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field descriptions" sheetId="3" r:id="rId3"/>
    <sheet name="metadata_schema" sheetId="4" r:id="rId4"/>
    <sheet name="metadata_form" sheetId="5" r:id="rId5"/>
    <sheet name="readme" sheetId="6" r:id="rId6"/>
  </sheets>
  <calcPr calcId="124519" fullCalcOnLoad="1"/>
</workbook>
</file>

<file path=xl/sharedStrings.xml><?xml version="1.0" encoding="utf-8"?>
<sst xmlns="http://schemas.openxmlformats.org/spreadsheetml/2006/main" count="37" uniqueCount="24">
  <si>
    <t>sample_id</t>
  </si>
  <si>
    <t>sample_name</t>
  </si>
  <si>
    <t>No more than 1000 samples can be entered in this worksheet.  If you need to submit metadata for &gt;1000 samples, please contact CMI directly.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</si>
  <si>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</si>
  <si>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</si>
  <si>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</si>
  <si>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</si>
  <si>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</si>
  <si>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</si>
  <si>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</si>
  <si>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</si>
  <si>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</si>
  <si>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</si>
  <si>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</si>
  <si>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</si>
  <si>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</si>
  <si>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</si>
  <si>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</si>
  <si>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"other". The default value is other.</t>
  </si>
  <si>
    <t>The value must be a string and must equal "metagenome". The default value is metagenome.</t>
  </si>
  <si>
    <t>The value must be a string and must equal "256318". The default value is 256318.</t>
  </si>
  <si>
    <t xml:space="preserve">sample_name:
  empty: false
  is_phi: false
  regex: ^[a-zA-Z0-9\.]+$
  required: true
  type: string
  unique: true
sample_type:
  allowed:
  - other
  default: other
  empty: false
  is_phi: false
  required: true
  type: string
scientific_name:
  allowed:
  - metagenome
  default: metagenome
  empty: false
  is_phi: false
  required: true
  type: string
taxon_id:
  allowed:
  - '256318'
  default: '256318'
  empty: false
  is_phi: false
  required: true
  type: string
</t>
  </si>
  <si>
    <t xml:space="preserve">0:
  categorical_default_select: other
  categorical_values: other
  default_value: categorical_default
  field_name: sample_type
  field_type: categorical
1:
  categorical_default_select: metagenome
  categorical_values: metagenome
  default_value: categorical_default
  field_name: scientific_name
  field_type: categorical
2:
  categorical_default_select: '256318'
  categorical_values: '256318'
  default_value: categorical_default
  field_name: taxon_id
  field_type: categorical
</t>
  </si>
  <si>
    <t>This file was created by the Metadata Wizard v0.3 at 2018-01-03 23:39:59.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</si>
</sst>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</cols>
  <sheetData>
    <row r="1" spans="1: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</row>
    <row r="2" spans="1:5">
      <c r="A2">
        <f>IF(COUNTBLANK(B2:E2)&lt;&gt;COLUMNS(B2:E2),1,"")</f>
        <v>0</v>
      </c>
      <c r="C2" s="1">
        <f>IF(B2="", "", "other")</f>
        <v>0</v>
      </c>
      <c r="D2" s="1">
        <f>IF(B2="", "", "metagenome")</f>
        <v>0</v>
      </c>
      <c r="E2" s="1">
        <f>IF(B2="", "", "256318")</f>
        <v>0</v>
      </c>
    </row>
    <row r="3" spans="1:5">
      <c r="A3">
        <f>IF(COUNTBLANK(B3:E3)&lt;&gt;COLUMNS(B3:E3),2,"")</f>
        <v>0</v>
      </c>
      <c r="C3" s="1">
        <f>IF(B3="", "", "other")</f>
        <v>0</v>
      </c>
      <c r="D3" s="1">
        <f>IF(B3="", "", "metagenome")</f>
        <v>0</v>
      </c>
      <c r="E3" s="1">
        <f>IF(B3="", "", "256318")</f>
        <v>0</v>
      </c>
    </row>
    <row r="4" spans="1:5">
      <c r="A4">
        <f>IF(COUNTBLANK(B4:E4)&lt;&gt;COLUMNS(B4:E4),3,"")</f>
        <v>0</v>
      </c>
      <c r="C4" s="1">
        <f>IF(B4="", "", "other")</f>
        <v>0</v>
      </c>
      <c r="D4" s="1">
        <f>IF(B4="", "", "metagenome")</f>
        <v>0</v>
      </c>
      <c r="E4" s="1">
        <f>IF(B4="", "", "256318")</f>
        <v>0</v>
      </c>
    </row>
    <row r="5" spans="1:5">
      <c r="A5">
        <f>IF(COUNTBLANK(B5:E5)&lt;&gt;COLUMNS(B5:E5),4,"")</f>
        <v>0</v>
      </c>
      <c r="C5" s="1">
        <f>IF(B5="", "", "other")</f>
        <v>0</v>
      </c>
      <c r="D5" s="1">
        <f>IF(B5="", "", "metagenome")</f>
        <v>0</v>
      </c>
      <c r="E5" s="1">
        <f>IF(B5="", "", "256318")</f>
        <v>0</v>
      </c>
    </row>
    <row r="6" spans="1:5">
      <c r="A6">
        <f>IF(COUNTBLANK(B6:E6)&lt;&gt;COLUMNS(B6:E6),5,"")</f>
        <v>0</v>
      </c>
      <c r="C6" s="1">
        <f>IF(B6="", "", "other")</f>
        <v>0</v>
      </c>
      <c r="D6" s="1">
        <f>IF(B6="", "", "metagenome")</f>
        <v>0</v>
      </c>
      <c r="E6" s="1">
        <f>IF(B6="", "", "256318")</f>
        <v>0</v>
      </c>
    </row>
    <row r="7" spans="1:5">
      <c r="A7">
        <f>IF(COUNTBLANK(B7:E7)&lt;&gt;COLUMNS(B7:E7),6,"")</f>
        <v>0</v>
      </c>
      <c r="C7" s="1">
        <f>IF(B7="", "", "other")</f>
        <v>0</v>
      </c>
      <c r="D7" s="1">
        <f>IF(B7="", "", "metagenome")</f>
        <v>0</v>
      </c>
      <c r="E7" s="1">
        <f>IF(B7="", "", "256318")</f>
        <v>0</v>
      </c>
    </row>
    <row r="8" spans="1:5">
      <c r="A8">
        <f>IF(COUNTBLANK(B8:E8)&lt;&gt;COLUMNS(B8:E8),7,"")</f>
        <v>0</v>
      </c>
      <c r="C8" s="1">
        <f>IF(B8="", "", "other")</f>
        <v>0</v>
      </c>
      <c r="D8" s="1">
        <f>IF(B8="", "", "metagenome")</f>
        <v>0</v>
      </c>
      <c r="E8" s="1">
        <f>IF(B8="", "", "256318")</f>
        <v>0</v>
      </c>
    </row>
    <row r="9" spans="1:5">
      <c r="A9">
        <f>IF(COUNTBLANK(B9:E9)&lt;&gt;COLUMNS(B9:E9),8,"")</f>
        <v>0</v>
      </c>
      <c r="C9" s="1">
        <f>IF(B9="", "", "other")</f>
        <v>0</v>
      </c>
      <c r="D9" s="1">
        <f>IF(B9="", "", "metagenome")</f>
        <v>0</v>
      </c>
      <c r="E9" s="1">
        <f>IF(B9="", "", "256318")</f>
        <v>0</v>
      </c>
    </row>
    <row r="10" spans="1:5">
      <c r="A10">
        <f>IF(COUNTBLANK(B10:E10)&lt;&gt;COLUMNS(B10:E10),9,"")</f>
        <v>0</v>
      </c>
      <c r="C10" s="1">
        <f>IF(B10="", "", "other")</f>
        <v>0</v>
      </c>
      <c r="D10" s="1">
        <f>IF(B10="", "", "metagenome")</f>
        <v>0</v>
      </c>
      <c r="E10" s="1">
        <f>IF(B10="", "", "256318")</f>
        <v>0</v>
      </c>
    </row>
    <row r="11" spans="1:5">
      <c r="A11">
        <f>IF(COUNTBLANK(B11:E11)&lt;&gt;COLUMNS(B11:E11),10,"")</f>
        <v>0</v>
      </c>
      <c r="C11" s="1">
        <f>IF(B11="", "", "other")</f>
        <v>0</v>
      </c>
      <c r="D11" s="1">
        <f>IF(B11="", "", "metagenome")</f>
        <v>0</v>
      </c>
      <c r="E11" s="1">
        <f>IF(B11="", "", "256318")</f>
        <v>0</v>
      </c>
    </row>
    <row r="12" spans="1:5">
      <c r="A12">
        <f>IF(COUNTBLANK(B12:E12)&lt;&gt;COLUMNS(B12:E12),11,"")</f>
        <v>0</v>
      </c>
      <c r="C12" s="1">
        <f>IF(B12="", "", "other")</f>
        <v>0</v>
      </c>
      <c r="D12" s="1">
        <f>IF(B12="", "", "metagenome")</f>
        <v>0</v>
      </c>
      <c r="E12" s="1">
        <f>IF(B12="", "", "256318")</f>
        <v>0</v>
      </c>
    </row>
    <row r="13" spans="1:5">
      <c r="A13">
        <f>IF(COUNTBLANK(B13:E13)&lt;&gt;COLUMNS(B13:E13),12,"")</f>
        <v>0</v>
      </c>
      <c r="C13" s="1">
        <f>IF(B13="", "", "other")</f>
        <v>0</v>
      </c>
      <c r="D13" s="1">
        <f>IF(B13="", "", "metagenome")</f>
        <v>0</v>
      </c>
      <c r="E13" s="1">
        <f>IF(B13="", "", "256318")</f>
        <v>0</v>
      </c>
    </row>
    <row r="14" spans="1:5">
      <c r="A14">
        <f>IF(COUNTBLANK(B14:E14)&lt;&gt;COLUMNS(B14:E14),13,"")</f>
        <v>0</v>
      </c>
      <c r="C14" s="1">
        <f>IF(B14="", "", "other")</f>
        <v>0</v>
      </c>
      <c r="D14" s="1">
        <f>IF(B14="", "", "metagenome")</f>
        <v>0</v>
      </c>
      <c r="E14" s="1">
        <f>IF(B14="", "", "256318")</f>
        <v>0</v>
      </c>
    </row>
    <row r="15" spans="1:5">
      <c r="A15">
        <f>IF(COUNTBLANK(B15:E15)&lt;&gt;COLUMNS(B15:E15),14,"")</f>
        <v>0</v>
      </c>
      <c r="C15" s="1">
        <f>IF(B15="", "", "other")</f>
        <v>0</v>
      </c>
      <c r="D15" s="1">
        <f>IF(B15="", "", "metagenome")</f>
        <v>0</v>
      </c>
      <c r="E15" s="1">
        <f>IF(B15="", "", "256318")</f>
        <v>0</v>
      </c>
    </row>
    <row r="16" spans="1:5">
      <c r="A16">
        <f>IF(COUNTBLANK(B16:E16)&lt;&gt;COLUMNS(B16:E16),15,"")</f>
        <v>0</v>
      </c>
      <c r="C16" s="1">
        <f>IF(B16="", "", "other")</f>
        <v>0</v>
      </c>
      <c r="D16" s="1">
        <f>IF(B16="", "", "metagenome")</f>
        <v>0</v>
      </c>
      <c r="E16" s="1">
        <f>IF(B16="", "", "256318")</f>
        <v>0</v>
      </c>
    </row>
    <row r="17" spans="1:5">
      <c r="A17">
        <f>IF(COUNTBLANK(B17:E17)&lt;&gt;COLUMNS(B17:E17),16,"")</f>
        <v>0</v>
      </c>
      <c r="C17" s="1">
        <f>IF(B17="", "", "other")</f>
        <v>0</v>
      </c>
      <c r="D17" s="1">
        <f>IF(B17="", "", "metagenome")</f>
        <v>0</v>
      </c>
      <c r="E17" s="1">
        <f>IF(B17="", "", "256318")</f>
        <v>0</v>
      </c>
    </row>
    <row r="18" spans="1:5">
      <c r="A18">
        <f>IF(COUNTBLANK(B18:E18)&lt;&gt;COLUMNS(B18:E18),17,"")</f>
        <v>0</v>
      </c>
      <c r="C18" s="1">
        <f>IF(B18="", "", "other")</f>
        <v>0</v>
      </c>
      <c r="D18" s="1">
        <f>IF(B18="", "", "metagenome")</f>
        <v>0</v>
      </c>
      <c r="E18" s="1">
        <f>IF(B18="", "", "256318")</f>
        <v>0</v>
      </c>
    </row>
    <row r="19" spans="1:5">
      <c r="A19">
        <f>IF(COUNTBLANK(B19:E19)&lt;&gt;COLUMNS(B19:E19),18,"")</f>
        <v>0</v>
      </c>
      <c r="C19" s="1">
        <f>IF(B19="", "", "other")</f>
        <v>0</v>
      </c>
      <c r="D19" s="1">
        <f>IF(B19="", "", "metagenome")</f>
        <v>0</v>
      </c>
      <c r="E19" s="1">
        <f>IF(B19="", "", "256318")</f>
        <v>0</v>
      </c>
    </row>
    <row r="20" spans="1:5">
      <c r="A20">
        <f>IF(COUNTBLANK(B20:E20)&lt;&gt;COLUMNS(B20:E20),19,"")</f>
        <v>0</v>
      </c>
      <c r="C20" s="1">
        <f>IF(B20="", "", "other")</f>
        <v>0</v>
      </c>
      <c r="D20" s="1">
        <f>IF(B20="", "", "metagenome")</f>
        <v>0</v>
      </c>
      <c r="E20" s="1">
        <f>IF(B20="", "", "256318")</f>
        <v>0</v>
      </c>
    </row>
    <row r="21" spans="1:5">
      <c r="A21">
        <f>IF(COUNTBLANK(B21:E21)&lt;&gt;COLUMNS(B21:E21),20,"")</f>
        <v>0</v>
      </c>
      <c r="C21" s="1">
        <f>IF(B21="", "", "other")</f>
        <v>0</v>
      </c>
      <c r="D21" s="1">
        <f>IF(B21="", "", "metagenome")</f>
        <v>0</v>
      </c>
      <c r="E21" s="1">
        <f>IF(B21="", "", "256318")</f>
        <v>0</v>
      </c>
    </row>
    <row r="22" spans="1:5">
      <c r="A22">
        <f>IF(COUNTBLANK(B22:E22)&lt;&gt;COLUMNS(B22:E22),21,"")</f>
        <v>0</v>
      </c>
      <c r="C22" s="1">
        <f>IF(B22="", "", "other")</f>
        <v>0</v>
      </c>
      <c r="D22" s="1">
        <f>IF(B22="", "", "metagenome")</f>
        <v>0</v>
      </c>
      <c r="E22" s="1">
        <f>IF(B22="", "", "256318")</f>
        <v>0</v>
      </c>
    </row>
    <row r="23" spans="1:5">
      <c r="A23">
        <f>IF(COUNTBLANK(B23:E23)&lt;&gt;COLUMNS(B23:E23),22,"")</f>
        <v>0</v>
      </c>
      <c r="C23" s="1">
        <f>IF(B23="", "", "other")</f>
        <v>0</v>
      </c>
      <c r="D23" s="1">
        <f>IF(B23="", "", "metagenome")</f>
        <v>0</v>
      </c>
      <c r="E23" s="1">
        <f>IF(B23="", "", "256318")</f>
        <v>0</v>
      </c>
    </row>
    <row r="24" spans="1:5">
      <c r="A24">
        <f>IF(COUNTBLANK(B24:E24)&lt;&gt;COLUMNS(B24:E24),23,"")</f>
        <v>0</v>
      </c>
      <c r="C24" s="1">
        <f>IF(B24="", "", "other")</f>
        <v>0</v>
      </c>
      <c r="D24" s="1">
        <f>IF(B24="", "", "metagenome")</f>
        <v>0</v>
      </c>
      <c r="E24" s="1">
        <f>IF(B24="", "", "256318")</f>
        <v>0</v>
      </c>
    </row>
    <row r="25" spans="1:5">
      <c r="A25">
        <f>IF(COUNTBLANK(B25:E25)&lt;&gt;COLUMNS(B25:E25),24,"")</f>
        <v>0</v>
      </c>
      <c r="C25" s="1">
        <f>IF(B25="", "", "other")</f>
        <v>0</v>
      </c>
      <c r="D25" s="1">
        <f>IF(B25="", "", "metagenome")</f>
        <v>0</v>
      </c>
      <c r="E25" s="1">
        <f>IF(B25="", "", "256318")</f>
        <v>0</v>
      </c>
    </row>
    <row r="26" spans="1:5">
      <c r="A26">
        <f>IF(COUNTBLANK(B26:E26)&lt;&gt;COLUMNS(B26:E26),25,"")</f>
        <v>0</v>
      </c>
      <c r="C26" s="1">
        <f>IF(B26="", "", "other")</f>
        <v>0</v>
      </c>
      <c r="D26" s="1">
        <f>IF(B26="", "", "metagenome")</f>
        <v>0</v>
      </c>
      <c r="E26" s="1">
        <f>IF(B26="", "", "256318")</f>
        <v>0</v>
      </c>
    </row>
    <row r="27" spans="1:5">
      <c r="A27">
        <f>IF(COUNTBLANK(B27:E27)&lt;&gt;COLUMNS(B27:E27),26,"")</f>
        <v>0</v>
      </c>
      <c r="C27" s="1">
        <f>IF(B27="", "", "other")</f>
        <v>0</v>
      </c>
      <c r="D27" s="1">
        <f>IF(B27="", "", "metagenome")</f>
        <v>0</v>
      </c>
      <c r="E27" s="1">
        <f>IF(B27="", "", "256318")</f>
        <v>0</v>
      </c>
    </row>
    <row r="28" spans="1:5">
      <c r="A28">
        <f>IF(COUNTBLANK(B28:E28)&lt;&gt;COLUMNS(B28:E28),27,"")</f>
        <v>0</v>
      </c>
      <c r="C28" s="1">
        <f>IF(B28="", "", "other")</f>
        <v>0</v>
      </c>
      <c r="D28" s="1">
        <f>IF(B28="", "", "metagenome")</f>
        <v>0</v>
      </c>
      <c r="E28" s="1">
        <f>IF(B28="", "", "256318")</f>
        <v>0</v>
      </c>
    </row>
    <row r="29" spans="1:5">
      <c r="A29">
        <f>IF(COUNTBLANK(B29:E29)&lt;&gt;COLUMNS(B29:E29),28,"")</f>
        <v>0</v>
      </c>
      <c r="C29" s="1">
        <f>IF(B29="", "", "other")</f>
        <v>0</v>
      </c>
      <c r="D29" s="1">
        <f>IF(B29="", "", "metagenome")</f>
        <v>0</v>
      </c>
      <c r="E29" s="1">
        <f>IF(B29="", "", "256318")</f>
        <v>0</v>
      </c>
    </row>
    <row r="30" spans="1:5">
      <c r="A30">
        <f>IF(COUNTBLANK(B30:E30)&lt;&gt;COLUMNS(B30:E30),29,"")</f>
        <v>0</v>
      </c>
      <c r="C30" s="1">
        <f>IF(B30="", "", "other")</f>
        <v>0</v>
      </c>
      <c r="D30" s="1">
        <f>IF(B30="", "", "metagenome")</f>
        <v>0</v>
      </c>
      <c r="E30" s="1">
        <f>IF(B30="", "", "256318")</f>
        <v>0</v>
      </c>
    </row>
    <row r="31" spans="1:5">
      <c r="A31">
        <f>IF(COUNTBLANK(B31:E31)&lt;&gt;COLUMNS(B31:E31),30,"")</f>
        <v>0</v>
      </c>
      <c r="C31" s="1">
        <f>IF(B31="", "", "other")</f>
        <v>0</v>
      </c>
      <c r="D31" s="1">
        <f>IF(B31="", "", "metagenome")</f>
        <v>0</v>
      </c>
      <c r="E31" s="1">
        <f>IF(B31="", "", "256318")</f>
        <v>0</v>
      </c>
    </row>
    <row r="32" spans="1:5">
      <c r="A32">
        <f>IF(COUNTBLANK(B32:E32)&lt;&gt;COLUMNS(B32:E32),31,"")</f>
        <v>0</v>
      </c>
      <c r="C32" s="1">
        <f>IF(B32="", "", "other")</f>
        <v>0</v>
      </c>
      <c r="D32" s="1">
        <f>IF(B32="", "", "metagenome")</f>
        <v>0</v>
      </c>
      <c r="E32" s="1">
        <f>IF(B32="", "", "256318")</f>
        <v>0</v>
      </c>
    </row>
    <row r="33" spans="1:5">
      <c r="A33">
        <f>IF(COUNTBLANK(B33:E33)&lt;&gt;COLUMNS(B33:E33),32,"")</f>
        <v>0</v>
      </c>
      <c r="C33" s="1">
        <f>IF(B33="", "", "other")</f>
        <v>0</v>
      </c>
      <c r="D33" s="1">
        <f>IF(B33="", "", "metagenome")</f>
        <v>0</v>
      </c>
      <c r="E33" s="1">
        <f>IF(B33="", "", "256318")</f>
        <v>0</v>
      </c>
    </row>
    <row r="34" spans="1:5">
      <c r="A34">
        <f>IF(COUNTBLANK(B34:E34)&lt;&gt;COLUMNS(B34:E34),33,"")</f>
        <v>0</v>
      </c>
      <c r="C34" s="1">
        <f>IF(B34="", "", "other")</f>
        <v>0</v>
      </c>
      <c r="D34" s="1">
        <f>IF(B34="", "", "metagenome")</f>
        <v>0</v>
      </c>
      <c r="E34" s="1">
        <f>IF(B34="", "", "256318")</f>
        <v>0</v>
      </c>
    </row>
    <row r="35" spans="1:5">
      <c r="A35">
        <f>IF(COUNTBLANK(B35:E35)&lt;&gt;COLUMNS(B35:E35),34,"")</f>
        <v>0</v>
      </c>
      <c r="C35" s="1">
        <f>IF(B35="", "", "other")</f>
        <v>0</v>
      </c>
      <c r="D35" s="1">
        <f>IF(B35="", "", "metagenome")</f>
        <v>0</v>
      </c>
      <c r="E35" s="1">
        <f>IF(B35="", "", "256318")</f>
        <v>0</v>
      </c>
    </row>
    <row r="36" spans="1:5">
      <c r="A36">
        <f>IF(COUNTBLANK(B36:E36)&lt;&gt;COLUMNS(B36:E36),35,"")</f>
        <v>0</v>
      </c>
      <c r="C36" s="1">
        <f>IF(B36="", "", "other")</f>
        <v>0</v>
      </c>
      <c r="D36" s="1">
        <f>IF(B36="", "", "metagenome")</f>
        <v>0</v>
      </c>
      <c r="E36" s="1">
        <f>IF(B36="", "", "256318")</f>
        <v>0</v>
      </c>
    </row>
    <row r="37" spans="1:5">
      <c r="A37">
        <f>IF(COUNTBLANK(B37:E37)&lt;&gt;COLUMNS(B37:E37),36,"")</f>
        <v>0</v>
      </c>
      <c r="C37" s="1">
        <f>IF(B37="", "", "other")</f>
        <v>0</v>
      </c>
      <c r="D37" s="1">
        <f>IF(B37="", "", "metagenome")</f>
        <v>0</v>
      </c>
      <c r="E37" s="1">
        <f>IF(B37="", "", "256318")</f>
        <v>0</v>
      </c>
    </row>
    <row r="38" spans="1:5">
      <c r="A38">
        <f>IF(COUNTBLANK(B38:E38)&lt;&gt;COLUMNS(B38:E38),37,"")</f>
        <v>0</v>
      </c>
      <c r="C38" s="1">
        <f>IF(B38="", "", "other")</f>
        <v>0</v>
      </c>
      <c r="D38" s="1">
        <f>IF(B38="", "", "metagenome")</f>
        <v>0</v>
      </c>
      <c r="E38" s="1">
        <f>IF(B38="", "", "256318")</f>
        <v>0</v>
      </c>
    </row>
    <row r="39" spans="1:5">
      <c r="A39">
        <f>IF(COUNTBLANK(B39:E39)&lt;&gt;COLUMNS(B39:E39),38,"")</f>
        <v>0</v>
      </c>
      <c r="C39" s="1">
        <f>IF(B39="", "", "other")</f>
        <v>0</v>
      </c>
      <c r="D39" s="1">
        <f>IF(B39="", "", "metagenome")</f>
        <v>0</v>
      </c>
      <c r="E39" s="1">
        <f>IF(B39="", "", "256318")</f>
        <v>0</v>
      </c>
    </row>
    <row r="40" spans="1:5">
      <c r="A40">
        <f>IF(COUNTBLANK(B40:E40)&lt;&gt;COLUMNS(B40:E40),39,"")</f>
        <v>0</v>
      </c>
      <c r="C40" s="1">
        <f>IF(B40="", "", "other")</f>
        <v>0</v>
      </c>
      <c r="D40" s="1">
        <f>IF(B40="", "", "metagenome")</f>
        <v>0</v>
      </c>
      <c r="E40" s="1">
        <f>IF(B40="", "", "256318")</f>
        <v>0</v>
      </c>
    </row>
    <row r="41" spans="1:5">
      <c r="A41">
        <f>IF(COUNTBLANK(B41:E41)&lt;&gt;COLUMNS(B41:E41),40,"")</f>
        <v>0</v>
      </c>
      <c r="C41" s="1">
        <f>IF(B41="", "", "other")</f>
        <v>0</v>
      </c>
      <c r="D41" s="1">
        <f>IF(B41="", "", "metagenome")</f>
        <v>0</v>
      </c>
      <c r="E41" s="1">
        <f>IF(B41="", "", "256318")</f>
        <v>0</v>
      </c>
    </row>
    <row r="42" spans="1:5">
      <c r="A42">
        <f>IF(COUNTBLANK(B42:E42)&lt;&gt;COLUMNS(B42:E42),41,"")</f>
        <v>0</v>
      </c>
      <c r="C42" s="1">
        <f>IF(B42="", "", "other")</f>
        <v>0</v>
      </c>
      <c r="D42" s="1">
        <f>IF(B42="", "", "metagenome")</f>
        <v>0</v>
      </c>
      <c r="E42" s="1">
        <f>IF(B42="", "", "256318")</f>
        <v>0</v>
      </c>
    </row>
    <row r="43" spans="1:5">
      <c r="A43">
        <f>IF(COUNTBLANK(B43:E43)&lt;&gt;COLUMNS(B43:E43),42,"")</f>
        <v>0</v>
      </c>
      <c r="C43" s="1">
        <f>IF(B43="", "", "other")</f>
        <v>0</v>
      </c>
      <c r="D43" s="1">
        <f>IF(B43="", "", "metagenome")</f>
        <v>0</v>
      </c>
      <c r="E43" s="1">
        <f>IF(B43="", "", "256318")</f>
        <v>0</v>
      </c>
    </row>
    <row r="44" spans="1:5">
      <c r="A44">
        <f>IF(COUNTBLANK(B44:E44)&lt;&gt;COLUMNS(B44:E44),43,"")</f>
        <v>0</v>
      </c>
      <c r="C44" s="1">
        <f>IF(B44="", "", "other")</f>
        <v>0</v>
      </c>
      <c r="D44" s="1">
        <f>IF(B44="", "", "metagenome")</f>
        <v>0</v>
      </c>
      <c r="E44" s="1">
        <f>IF(B44="", "", "256318")</f>
        <v>0</v>
      </c>
    </row>
    <row r="45" spans="1:5">
      <c r="A45">
        <f>IF(COUNTBLANK(B45:E45)&lt;&gt;COLUMNS(B45:E45),44,"")</f>
        <v>0</v>
      </c>
      <c r="C45" s="1">
        <f>IF(B45="", "", "other")</f>
        <v>0</v>
      </c>
      <c r="D45" s="1">
        <f>IF(B45="", "", "metagenome")</f>
        <v>0</v>
      </c>
      <c r="E45" s="1">
        <f>IF(B45="", "", "256318")</f>
        <v>0</v>
      </c>
    </row>
    <row r="46" spans="1:5">
      <c r="A46">
        <f>IF(COUNTBLANK(B46:E46)&lt;&gt;COLUMNS(B46:E46),45,"")</f>
        <v>0</v>
      </c>
      <c r="C46" s="1">
        <f>IF(B46="", "", "other")</f>
        <v>0</v>
      </c>
      <c r="D46" s="1">
        <f>IF(B46="", "", "metagenome")</f>
        <v>0</v>
      </c>
      <c r="E46" s="1">
        <f>IF(B46="", "", "256318")</f>
        <v>0</v>
      </c>
    </row>
    <row r="47" spans="1:5">
      <c r="A47">
        <f>IF(COUNTBLANK(B47:E47)&lt;&gt;COLUMNS(B47:E47),46,"")</f>
        <v>0</v>
      </c>
      <c r="C47" s="1">
        <f>IF(B47="", "", "other")</f>
        <v>0</v>
      </c>
      <c r="D47" s="1">
        <f>IF(B47="", "", "metagenome")</f>
        <v>0</v>
      </c>
      <c r="E47" s="1">
        <f>IF(B47="", "", "256318")</f>
        <v>0</v>
      </c>
    </row>
    <row r="48" spans="1:5">
      <c r="A48">
        <f>IF(COUNTBLANK(B48:E48)&lt;&gt;COLUMNS(B48:E48),47,"")</f>
        <v>0</v>
      </c>
      <c r="C48" s="1">
        <f>IF(B48="", "", "other")</f>
        <v>0</v>
      </c>
      <c r="D48" s="1">
        <f>IF(B48="", "", "metagenome")</f>
        <v>0</v>
      </c>
      <c r="E48" s="1">
        <f>IF(B48="", "", "256318")</f>
        <v>0</v>
      </c>
    </row>
    <row r="49" spans="1:5">
      <c r="A49">
        <f>IF(COUNTBLANK(B49:E49)&lt;&gt;COLUMNS(B49:E49),48,"")</f>
        <v>0</v>
      </c>
      <c r="C49" s="1">
        <f>IF(B49="", "", "other")</f>
        <v>0</v>
      </c>
      <c r="D49" s="1">
        <f>IF(B49="", "", "metagenome")</f>
        <v>0</v>
      </c>
      <c r="E49" s="1">
        <f>IF(B49="", "", "256318")</f>
        <v>0</v>
      </c>
    </row>
    <row r="50" spans="1:5">
      <c r="A50">
        <f>IF(COUNTBLANK(B50:E50)&lt;&gt;COLUMNS(B50:E50),49,"")</f>
        <v>0</v>
      </c>
      <c r="C50" s="1">
        <f>IF(B50="", "", "other")</f>
        <v>0</v>
      </c>
      <c r="D50" s="1">
        <f>IF(B50="", "", "metagenome")</f>
        <v>0</v>
      </c>
      <c r="E50" s="1">
        <f>IF(B50="", "", "256318")</f>
        <v>0</v>
      </c>
    </row>
    <row r="51" spans="1:5">
      <c r="A51">
        <f>IF(COUNTBLANK(B51:E51)&lt;&gt;COLUMNS(B51:E51),50,"")</f>
        <v>0</v>
      </c>
      <c r="C51" s="1">
        <f>IF(B51="", "", "other")</f>
        <v>0</v>
      </c>
      <c r="D51" s="1">
        <f>IF(B51="", "", "metagenome")</f>
        <v>0</v>
      </c>
      <c r="E51" s="1">
        <f>IF(B51="", "", "256318")</f>
        <v>0</v>
      </c>
    </row>
    <row r="52" spans="1:5">
      <c r="A52">
        <f>IF(COUNTBLANK(B52:E52)&lt;&gt;COLUMNS(B52:E52),51,"")</f>
        <v>0</v>
      </c>
      <c r="C52" s="1">
        <f>IF(B52="", "", "other")</f>
        <v>0</v>
      </c>
      <c r="D52" s="1">
        <f>IF(B52="", "", "metagenome")</f>
        <v>0</v>
      </c>
      <c r="E52" s="1">
        <f>IF(B52="", "", "256318")</f>
        <v>0</v>
      </c>
    </row>
    <row r="53" spans="1:5">
      <c r="A53">
        <f>IF(COUNTBLANK(B53:E53)&lt;&gt;COLUMNS(B53:E53),52,"")</f>
        <v>0</v>
      </c>
      <c r="C53" s="1">
        <f>IF(B53="", "", "other")</f>
        <v>0</v>
      </c>
      <c r="D53" s="1">
        <f>IF(B53="", "", "metagenome")</f>
        <v>0</v>
      </c>
      <c r="E53" s="1">
        <f>IF(B53="", "", "256318")</f>
        <v>0</v>
      </c>
    </row>
    <row r="54" spans="1:5">
      <c r="A54">
        <f>IF(COUNTBLANK(B54:E54)&lt;&gt;COLUMNS(B54:E54),53,"")</f>
        <v>0</v>
      </c>
      <c r="C54" s="1">
        <f>IF(B54="", "", "other")</f>
        <v>0</v>
      </c>
      <c r="D54" s="1">
        <f>IF(B54="", "", "metagenome")</f>
        <v>0</v>
      </c>
      <c r="E54" s="1">
        <f>IF(B54="", "", "256318")</f>
        <v>0</v>
      </c>
    </row>
    <row r="55" spans="1:5">
      <c r="A55">
        <f>IF(COUNTBLANK(B55:E55)&lt;&gt;COLUMNS(B55:E55),54,"")</f>
        <v>0</v>
      </c>
      <c r="C55" s="1">
        <f>IF(B55="", "", "other")</f>
        <v>0</v>
      </c>
      <c r="D55" s="1">
        <f>IF(B55="", "", "metagenome")</f>
        <v>0</v>
      </c>
      <c r="E55" s="1">
        <f>IF(B55="", "", "256318")</f>
        <v>0</v>
      </c>
    </row>
    <row r="56" spans="1:5">
      <c r="A56">
        <f>IF(COUNTBLANK(B56:E56)&lt;&gt;COLUMNS(B56:E56),55,"")</f>
        <v>0</v>
      </c>
      <c r="C56" s="1">
        <f>IF(B56="", "", "other")</f>
        <v>0</v>
      </c>
      <c r="D56" s="1">
        <f>IF(B56="", "", "metagenome")</f>
        <v>0</v>
      </c>
      <c r="E56" s="1">
        <f>IF(B56="", "", "256318")</f>
        <v>0</v>
      </c>
    </row>
    <row r="57" spans="1:5">
      <c r="A57">
        <f>IF(COUNTBLANK(B57:E57)&lt;&gt;COLUMNS(B57:E57),56,"")</f>
        <v>0</v>
      </c>
      <c r="C57" s="1">
        <f>IF(B57="", "", "other")</f>
        <v>0</v>
      </c>
      <c r="D57" s="1">
        <f>IF(B57="", "", "metagenome")</f>
        <v>0</v>
      </c>
      <c r="E57" s="1">
        <f>IF(B57="", "", "256318")</f>
        <v>0</v>
      </c>
    </row>
    <row r="58" spans="1:5">
      <c r="A58">
        <f>IF(COUNTBLANK(B58:E58)&lt;&gt;COLUMNS(B58:E58),57,"")</f>
        <v>0</v>
      </c>
      <c r="C58" s="1">
        <f>IF(B58="", "", "other")</f>
        <v>0</v>
      </c>
      <c r="D58" s="1">
        <f>IF(B58="", "", "metagenome")</f>
        <v>0</v>
      </c>
      <c r="E58" s="1">
        <f>IF(B58="", "", "256318")</f>
        <v>0</v>
      </c>
    </row>
    <row r="59" spans="1:5">
      <c r="A59">
        <f>IF(COUNTBLANK(B59:E59)&lt;&gt;COLUMNS(B59:E59),58,"")</f>
        <v>0</v>
      </c>
      <c r="C59" s="1">
        <f>IF(B59="", "", "other")</f>
        <v>0</v>
      </c>
      <c r="D59" s="1">
        <f>IF(B59="", "", "metagenome")</f>
        <v>0</v>
      </c>
      <c r="E59" s="1">
        <f>IF(B59="", "", "256318")</f>
        <v>0</v>
      </c>
    </row>
    <row r="60" spans="1:5">
      <c r="A60">
        <f>IF(COUNTBLANK(B60:E60)&lt;&gt;COLUMNS(B60:E60),59,"")</f>
        <v>0</v>
      </c>
      <c r="C60" s="1">
        <f>IF(B60="", "", "other")</f>
        <v>0</v>
      </c>
      <c r="D60" s="1">
        <f>IF(B60="", "", "metagenome")</f>
        <v>0</v>
      </c>
      <c r="E60" s="1">
        <f>IF(B60="", "", "256318")</f>
        <v>0</v>
      </c>
    </row>
    <row r="61" spans="1:5">
      <c r="A61">
        <f>IF(COUNTBLANK(B61:E61)&lt;&gt;COLUMNS(B61:E61),60,"")</f>
        <v>0</v>
      </c>
      <c r="C61" s="1">
        <f>IF(B61="", "", "other")</f>
        <v>0</v>
      </c>
      <c r="D61" s="1">
        <f>IF(B61="", "", "metagenome")</f>
        <v>0</v>
      </c>
      <c r="E61" s="1">
        <f>IF(B61="", "", "256318")</f>
        <v>0</v>
      </c>
    </row>
    <row r="62" spans="1:5">
      <c r="A62">
        <f>IF(COUNTBLANK(B62:E62)&lt;&gt;COLUMNS(B62:E62),61,"")</f>
        <v>0</v>
      </c>
      <c r="C62" s="1">
        <f>IF(B62="", "", "other")</f>
        <v>0</v>
      </c>
      <c r="D62" s="1">
        <f>IF(B62="", "", "metagenome")</f>
        <v>0</v>
      </c>
      <c r="E62" s="1">
        <f>IF(B62="", "", "256318")</f>
        <v>0</v>
      </c>
    </row>
    <row r="63" spans="1:5">
      <c r="A63">
        <f>IF(COUNTBLANK(B63:E63)&lt;&gt;COLUMNS(B63:E63),62,"")</f>
        <v>0</v>
      </c>
      <c r="C63" s="1">
        <f>IF(B63="", "", "other")</f>
        <v>0</v>
      </c>
      <c r="D63" s="1">
        <f>IF(B63="", "", "metagenome")</f>
        <v>0</v>
      </c>
      <c r="E63" s="1">
        <f>IF(B63="", "", "256318")</f>
        <v>0</v>
      </c>
    </row>
    <row r="64" spans="1:5">
      <c r="A64">
        <f>IF(COUNTBLANK(B64:E64)&lt;&gt;COLUMNS(B64:E64),63,"")</f>
        <v>0</v>
      </c>
      <c r="C64" s="1">
        <f>IF(B64="", "", "other")</f>
        <v>0</v>
      </c>
      <c r="D64" s="1">
        <f>IF(B64="", "", "metagenome")</f>
        <v>0</v>
      </c>
      <c r="E64" s="1">
        <f>IF(B64="", "", "256318")</f>
        <v>0</v>
      </c>
    </row>
    <row r="65" spans="1:5">
      <c r="A65">
        <f>IF(COUNTBLANK(B65:E65)&lt;&gt;COLUMNS(B65:E65),64,"")</f>
        <v>0</v>
      </c>
      <c r="C65" s="1">
        <f>IF(B65="", "", "other")</f>
        <v>0</v>
      </c>
      <c r="D65" s="1">
        <f>IF(B65="", "", "metagenome")</f>
        <v>0</v>
      </c>
      <c r="E65" s="1">
        <f>IF(B65="", "", "256318")</f>
        <v>0</v>
      </c>
    </row>
    <row r="66" spans="1:5">
      <c r="A66">
        <f>IF(COUNTBLANK(B66:E66)&lt;&gt;COLUMNS(B66:E66),65,"")</f>
        <v>0</v>
      </c>
      <c r="C66" s="1">
        <f>IF(B66="", "", "other")</f>
        <v>0</v>
      </c>
      <c r="D66" s="1">
        <f>IF(B66="", "", "metagenome")</f>
        <v>0</v>
      </c>
      <c r="E66" s="1">
        <f>IF(B66="", "", "256318")</f>
        <v>0</v>
      </c>
    </row>
    <row r="67" spans="1:5">
      <c r="A67">
        <f>IF(COUNTBLANK(B67:E67)&lt;&gt;COLUMNS(B67:E67),66,"")</f>
        <v>0</v>
      </c>
      <c r="C67" s="1">
        <f>IF(B67="", "", "other")</f>
        <v>0</v>
      </c>
      <c r="D67" s="1">
        <f>IF(B67="", "", "metagenome")</f>
        <v>0</v>
      </c>
      <c r="E67" s="1">
        <f>IF(B67="", "", "256318")</f>
        <v>0</v>
      </c>
    </row>
    <row r="68" spans="1:5">
      <c r="A68">
        <f>IF(COUNTBLANK(B68:E68)&lt;&gt;COLUMNS(B68:E68),67,"")</f>
        <v>0</v>
      </c>
      <c r="C68" s="1">
        <f>IF(B68="", "", "other")</f>
        <v>0</v>
      </c>
      <c r="D68" s="1">
        <f>IF(B68="", "", "metagenome")</f>
        <v>0</v>
      </c>
      <c r="E68" s="1">
        <f>IF(B68="", "", "256318")</f>
        <v>0</v>
      </c>
    </row>
    <row r="69" spans="1:5">
      <c r="A69">
        <f>IF(COUNTBLANK(B69:E69)&lt;&gt;COLUMNS(B69:E69),68,"")</f>
        <v>0</v>
      </c>
      <c r="C69" s="1">
        <f>IF(B69="", "", "other")</f>
        <v>0</v>
      </c>
      <c r="D69" s="1">
        <f>IF(B69="", "", "metagenome")</f>
        <v>0</v>
      </c>
      <c r="E69" s="1">
        <f>IF(B69="", "", "256318")</f>
        <v>0</v>
      </c>
    </row>
    <row r="70" spans="1:5">
      <c r="A70">
        <f>IF(COUNTBLANK(B70:E70)&lt;&gt;COLUMNS(B70:E70),69,"")</f>
        <v>0</v>
      </c>
      <c r="C70" s="1">
        <f>IF(B70="", "", "other")</f>
        <v>0</v>
      </c>
      <c r="D70" s="1">
        <f>IF(B70="", "", "metagenome")</f>
        <v>0</v>
      </c>
      <c r="E70" s="1">
        <f>IF(B70="", "", "256318")</f>
        <v>0</v>
      </c>
    </row>
    <row r="71" spans="1:5">
      <c r="A71">
        <f>IF(COUNTBLANK(B71:E71)&lt;&gt;COLUMNS(B71:E71),70,"")</f>
        <v>0</v>
      </c>
      <c r="C71" s="1">
        <f>IF(B71="", "", "other")</f>
        <v>0</v>
      </c>
      <c r="D71" s="1">
        <f>IF(B71="", "", "metagenome")</f>
        <v>0</v>
      </c>
      <c r="E71" s="1">
        <f>IF(B71="", "", "256318")</f>
        <v>0</v>
      </c>
    </row>
    <row r="72" spans="1:5">
      <c r="A72">
        <f>IF(COUNTBLANK(B72:E72)&lt;&gt;COLUMNS(B72:E72),71,"")</f>
        <v>0</v>
      </c>
      <c r="C72" s="1">
        <f>IF(B72="", "", "other")</f>
        <v>0</v>
      </c>
      <c r="D72" s="1">
        <f>IF(B72="", "", "metagenome")</f>
        <v>0</v>
      </c>
      <c r="E72" s="1">
        <f>IF(B72="", "", "256318")</f>
        <v>0</v>
      </c>
    </row>
    <row r="73" spans="1:5">
      <c r="A73">
        <f>IF(COUNTBLANK(B73:E73)&lt;&gt;COLUMNS(B73:E73),72,"")</f>
        <v>0</v>
      </c>
      <c r="C73" s="1">
        <f>IF(B73="", "", "other")</f>
        <v>0</v>
      </c>
      <c r="D73" s="1">
        <f>IF(B73="", "", "metagenome")</f>
        <v>0</v>
      </c>
      <c r="E73" s="1">
        <f>IF(B73="", "", "256318")</f>
        <v>0</v>
      </c>
    </row>
    <row r="74" spans="1:5">
      <c r="A74">
        <f>IF(COUNTBLANK(B74:E74)&lt;&gt;COLUMNS(B74:E74),73,"")</f>
        <v>0</v>
      </c>
      <c r="C74" s="1">
        <f>IF(B74="", "", "other")</f>
        <v>0</v>
      </c>
      <c r="D74" s="1">
        <f>IF(B74="", "", "metagenome")</f>
        <v>0</v>
      </c>
      <c r="E74" s="1">
        <f>IF(B74="", "", "256318")</f>
        <v>0</v>
      </c>
    </row>
    <row r="75" spans="1:5">
      <c r="A75">
        <f>IF(COUNTBLANK(B75:E75)&lt;&gt;COLUMNS(B75:E75),74,"")</f>
        <v>0</v>
      </c>
      <c r="C75" s="1">
        <f>IF(B75="", "", "other")</f>
        <v>0</v>
      </c>
      <c r="D75" s="1">
        <f>IF(B75="", "", "metagenome")</f>
        <v>0</v>
      </c>
      <c r="E75" s="1">
        <f>IF(B75="", "", "256318")</f>
        <v>0</v>
      </c>
    </row>
    <row r="76" spans="1:5">
      <c r="A76">
        <f>IF(COUNTBLANK(B76:E76)&lt;&gt;COLUMNS(B76:E76),75,"")</f>
        <v>0</v>
      </c>
      <c r="C76" s="1">
        <f>IF(B76="", "", "other")</f>
        <v>0</v>
      </c>
      <c r="D76" s="1">
        <f>IF(B76="", "", "metagenome")</f>
        <v>0</v>
      </c>
      <c r="E76" s="1">
        <f>IF(B76="", "", "256318")</f>
        <v>0</v>
      </c>
    </row>
    <row r="77" spans="1:5">
      <c r="A77">
        <f>IF(COUNTBLANK(B77:E77)&lt;&gt;COLUMNS(B77:E77),76,"")</f>
        <v>0</v>
      </c>
      <c r="C77" s="1">
        <f>IF(B77="", "", "other")</f>
        <v>0</v>
      </c>
      <c r="D77" s="1">
        <f>IF(B77="", "", "metagenome")</f>
        <v>0</v>
      </c>
      <c r="E77" s="1">
        <f>IF(B77="", "", "256318")</f>
        <v>0</v>
      </c>
    </row>
    <row r="78" spans="1:5">
      <c r="A78">
        <f>IF(COUNTBLANK(B78:E78)&lt;&gt;COLUMNS(B78:E78),77,"")</f>
        <v>0</v>
      </c>
      <c r="C78" s="1">
        <f>IF(B78="", "", "other")</f>
        <v>0</v>
      </c>
      <c r="D78" s="1">
        <f>IF(B78="", "", "metagenome")</f>
        <v>0</v>
      </c>
      <c r="E78" s="1">
        <f>IF(B78="", "", "256318")</f>
        <v>0</v>
      </c>
    </row>
    <row r="79" spans="1:5">
      <c r="A79">
        <f>IF(COUNTBLANK(B79:E79)&lt;&gt;COLUMNS(B79:E79),78,"")</f>
        <v>0</v>
      </c>
      <c r="C79" s="1">
        <f>IF(B79="", "", "other")</f>
        <v>0</v>
      </c>
      <c r="D79" s="1">
        <f>IF(B79="", "", "metagenome")</f>
        <v>0</v>
      </c>
      <c r="E79" s="1">
        <f>IF(B79="", "", "256318")</f>
        <v>0</v>
      </c>
    </row>
    <row r="80" spans="1:5">
      <c r="A80">
        <f>IF(COUNTBLANK(B80:E80)&lt;&gt;COLUMNS(B80:E80),79,"")</f>
        <v>0</v>
      </c>
      <c r="C80" s="1">
        <f>IF(B80="", "", "other")</f>
        <v>0</v>
      </c>
      <c r="D80" s="1">
        <f>IF(B80="", "", "metagenome")</f>
        <v>0</v>
      </c>
      <c r="E80" s="1">
        <f>IF(B80="", "", "256318")</f>
        <v>0</v>
      </c>
    </row>
    <row r="81" spans="1:5">
      <c r="A81">
        <f>IF(COUNTBLANK(B81:E81)&lt;&gt;COLUMNS(B81:E81),80,"")</f>
        <v>0</v>
      </c>
      <c r="C81" s="1">
        <f>IF(B81="", "", "other")</f>
        <v>0</v>
      </c>
      <c r="D81" s="1">
        <f>IF(B81="", "", "metagenome")</f>
        <v>0</v>
      </c>
      <c r="E81" s="1">
        <f>IF(B81="", "", "256318")</f>
        <v>0</v>
      </c>
    </row>
    <row r="82" spans="1:5">
      <c r="A82">
        <f>IF(COUNTBLANK(B82:E82)&lt;&gt;COLUMNS(B82:E82),81,"")</f>
        <v>0</v>
      </c>
      <c r="C82" s="1">
        <f>IF(B82="", "", "other")</f>
        <v>0</v>
      </c>
      <c r="D82" s="1">
        <f>IF(B82="", "", "metagenome")</f>
        <v>0</v>
      </c>
      <c r="E82" s="1">
        <f>IF(B82="", "", "256318")</f>
        <v>0</v>
      </c>
    </row>
    <row r="83" spans="1:5">
      <c r="A83">
        <f>IF(COUNTBLANK(B83:E83)&lt;&gt;COLUMNS(B83:E83),82,"")</f>
        <v>0</v>
      </c>
      <c r="C83" s="1">
        <f>IF(B83="", "", "other")</f>
        <v>0</v>
      </c>
      <c r="D83" s="1">
        <f>IF(B83="", "", "metagenome")</f>
        <v>0</v>
      </c>
      <c r="E83" s="1">
        <f>IF(B83="", "", "256318")</f>
        <v>0</v>
      </c>
    </row>
    <row r="84" spans="1:5">
      <c r="A84">
        <f>IF(COUNTBLANK(B84:E84)&lt;&gt;COLUMNS(B84:E84),83,"")</f>
        <v>0</v>
      </c>
      <c r="C84" s="1">
        <f>IF(B84="", "", "other")</f>
        <v>0</v>
      </c>
      <c r="D84" s="1">
        <f>IF(B84="", "", "metagenome")</f>
        <v>0</v>
      </c>
      <c r="E84" s="1">
        <f>IF(B84="", "", "256318")</f>
        <v>0</v>
      </c>
    </row>
    <row r="85" spans="1:5">
      <c r="A85">
        <f>IF(COUNTBLANK(B85:E85)&lt;&gt;COLUMNS(B85:E85),84,"")</f>
        <v>0</v>
      </c>
      <c r="C85" s="1">
        <f>IF(B85="", "", "other")</f>
        <v>0</v>
      </c>
      <c r="D85" s="1">
        <f>IF(B85="", "", "metagenome")</f>
        <v>0</v>
      </c>
      <c r="E85" s="1">
        <f>IF(B85="", "", "256318")</f>
        <v>0</v>
      </c>
    </row>
    <row r="86" spans="1:5">
      <c r="A86">
        <f>IF(COUNTBLANK(B86:E86)&lt;&gt;COLUMNS(B86:E86),85,"")</f>
        <v>0</v>
      </c>
      <c r="C86" s="1">
        <f>IF(B86="", "", "other")</f>
        <v>0</v>
      </c>
      <c r="D86" s="1">
        <f>IF(B86="", "", "metagenome")</f>
        <v>0</v>
      </c>
      <c r="E86" s="1">
        <f>IF(B86="", "", "256318")</f>
        <v>0</v>
      </c>
    </row>
    <row r="87" spans="1:5">
      <c r="A87">
        <f>IF(COUNTBLANK(B87:E87)&lt;&gt;COLUMNS(B87:E87),86,"")</f>
        <v>0</v>
      </c>
      <c r="C87" s="1">
        <f>IF(B87="", "", "other")</f>
        <v>0</v>
      </c>
      <c r="D87" s="1">
        <f>IF(B87="", "", "metagenome")</f>
        <v>0</v>
      </c>
      <c r="E87" s="1">
        <f>IF(B87="", "", "256318")</f>
        <v>0</v>
      </c>
    </row>
    <row r="88" spans="1:5">
      <c r="A88">
        <f>IF(COUNTBLANK(B88:E88)&lt;&gt;COLUMNS(B88:E88),87,"")</f>
        <v>0</v>
      </c>
      <c r="C88" s="1">
        <f>IF(B88="", "", "other")</f>
        <v>0</v>
      </c>
      <c r="D88" s="1">
        <f>IF(B88="", "", "metagenome")</f>
        <v>0</v>
      </c>
      <c r="E88" s="1">
        <f>IF(B88="", "", "256318")</f>
        <v>0</v>
      </c>
    </row>
    <row r="89" spans="1:5">
      <c r="A89">
        <f>IF(COUNTBLANK(B89:E89)&lt;&gt;COLUMNS(B89:E89),88,"")</f>
        <v>0</v>
      </c>
      <c r="C89" s="1">
        <f>IF(B89="", "", "other")</f>
        <v>0</v>
      </c>
      <c r="D89" s="1">
        <f>IF(B89="", "", "metagenome")</f>
        <v>0</v>
      </c>
      <c r="E89" s="1">
        <f>IF(B89="", "", "256318")</f>
        <v>0</v>
      </c>
    </row>
    <row r="90" spans="1:5">
      <c r="A90">
        <f>IF(COUNTBLANK(B90:E90)&lt;&gt;COLUMNS(B90:E90),89,"")</f>
        <v>0</v>
      </c>
      <c r="C90" s="1">
        <f>IF(B90="", "", "other")</f>
        <v>0</v>
      </c>
      <c r="D90" s="1">
        <f>IF(B90="", "", "metagenome")</f>
        <v>0</v>
      </c>
      <c r="E90" s="1">
        <f>IF(B90="", "", "256318")</f>
        <v>0</v>
      </c>
    </row>
    <row r="91" spans="1:5">
      <c r="A91">
        <f>IF(COUNTBLANK(B91:E91)&lt;&gt;COLUMNS(B91:E91),90,"")</f>
        <v>0</v>
      </c>
      <c r="C91" s="1">
        <f>IF(B91="", "", "other")</f>
        <v>0</v>
      </c>
      <c r="D91" s="1">
        <f>IF(B91="", "", "metagenome")</f>
        <v>0</v>
      </c>
      <c r="E91" s="1">
        <f>IF(B91="", "", "256318")</f>
        <v>0</v>
      </c>
    </row>
    <row r="92" spans="1:5">
      <c r="A92">
        <f>IF(COUNTBLANK(B92:E92)&lt;&gt;COLUMNS(B92:E92),91,"")</f>
        <v>0</v>
      </c>
      <c r="C92" s="1">
        <f>IF(B92="", "", "other")</f>
        <v>0</v>
      </c>
      <c r="D92" s="1">
        <f>IF(B92="", "", "metagenome")</f>
        <v>0</v>
      </c>
      <c r="E92" s="1">
        <f>IF(B92="", "", "256318")</f>
        <v>0</v>
      </c>
    </row>
    <row r="93" spans="1:5">
      <c r="A93">
        <f>IF(COUNTBLANK(B93:E93)&lt;&gt;COLUMNS(B93:E93),92,"")</f>
        <v>0</v>
      </c>
      <c r="C93" s="1">
        <f>IF(B93="", "", "other")</f>
        <v>0</v>
      </c>
      <c r="D93" s="1">
        <f>IF(B93="", "", "metagenome")</f>
        <v>0</v>
      </c>
      <c r="E93" s="1">
        <f>IF(B93="", "", "256318")</f>
        <v>0</v>
      </c>
    </row>
    <row r="94" spans="1:5">
      <c r="A94">
        <f>IF(COUNTBLANK(B94:E94)&lt;&gt;COLUMNS(B94:E94),93,"")</f>
        <v>0</v>
      </c>
      <c r="C94" s="1">
        <f>IF(B94="", "", "other")</f>
        <v>0</v>
      </c>
      <c r="D94" s="1">
        <f>IF(B94="", "", "metagenome")</f>
        <v>0</v>
      </c>
      <c r="E94" s="1">
        <f>IF(B94="", "", "256318")</f>
        <v>0</v>
      </c>
    </row>
    <row r="95" spans="1:5">
      <c r="A95">
        <f>IF(COUNTBLANK(B95:E95)&lt;&gt;COLUMNS(B95:E95),94,"")</f>
        <v>0</v>
      </c>
      <c r="C95" s="1">
        <f>IF(B95="", "", "other")</f>
        <v>0</v>
      </c>
      <c r="D95" s="1">
        <f>IF(B95="", "", "metagenome")</f>
        <v>0</v>
      </c>
      <c r="E95" s="1">
        <f>IF(B95="", "", "256318")</f>
        <v>0</v>
      </c>
    </row>
    <row r="96" spans="1:5">
      <c r="A96">
        <f>IF(COUNTBLANK(B96:E96)&lt;&gt;COLUMNS(B96:E96),95,"")</f>
        <v>0</v>
      </c>
      <c r="C96" s="1">
        <f>IF(B96="", "", "other")</f>
        <v>0</v>
      </c>
      <c r="D96" s="1">
        <f>IF(B96="", "", "metagenome")</f>
        <v>0</v>
      </c>
      <c r="E96" s="1">
        <f>IF(B96="", "", "256318")</f>
        <v>0</v>
      </c>
    </row>
    <row r="97" spans="1:5">
      <c r="A97">
        <f>IF(COUNTBLANK(B97:E97)&lt;&gt;COLUMNS(B97:E97),96,"")</f>
        <v>0</v>
      </c>
      <c r="C97" s="1">
        <f>IF(B97="", "", "other")</f>
        <v>0</v>
      </c>
      <c r="D97" s="1">
        <f>IF(B97="", "", "metagenome")</f>
        <v>0</v>
      </c>
      <c r="E97" s="1">
        <f>IF(B97="", "", "256318")</f>
        <v>0</v>
      </c>
    </row>
    <row r="98" spans="1:5">
      <c r="A98">
        <f>IF(COUNTBLANK(B98:E98)&lt;&gt;COLUMNS(B98:E98),97,"")</f>
        <v>0</v>
      </c>
      <c r="C98" s="1">
        <f>IF(B98="", "", "other")</f>
        <v>0</v>
      </c>
      <c r="D98" s="1">
        <f>IF(B98="", "", "metagenome")</f>
        <v>0</v>
      </c>
      <c r="E98" s="1">
        <f>IF(B98="", "", "256318")</f>
        <v>0</v>
      </c>
    </row>
    <row r="99" spans="1:5">
      <c r="A99">
        <f>IF(COUNTBLANK(B99:E99)&lt;&gt;COLUMNS(B99:E99),98,"")</f>
        <v>0</v>
      </c>
      <c r="C99" s="1">
        <f>IF(B99="", "", "other")</f>
        <v>0</v>
      </c>
      <c r="D99" s="1">
        <f>IF(B99="", "", "metagenome")</f>
        <v>0</v>
      </c>
      <c r="E99" s="1">
        <f>IF(B99="", "", "256318")</f>
        <v>0</v>
      </c>
    </row>
    <row r="100" spans="1:5">
      <c r="A100">
        <f>IF(COUNTBLANK(B100:E100)&lt;&gt;COLUMNS(B100:E100),99,"")</f>
        <v>0</v>
      </c>
      <c r="C100" s="1">
        <f>IF(B100="", "", "other")</f>
        <v>0</v>
      </c>
      <c r="D100" s="1">
        <f>IF(B100="", "", "metagenome")</f>
        <v>0</v>
      </c>
      <c r="E100" s="1">
        <f>IF(B100="", "", "256318")</f>
        <v>0</v>
      </c>
    </row>
    <row r="101" spans="1:5">
      <c r="A101">
        <f>IF(COUNTBLANK(B101:E101)&lt;&gt;COLUMNS(B101:E101),100,"")</f>
        <v>0</v>
      </c>
      <c r="C101" s="1">
        <f>IF(B101="", "", "other")</f>
        <v>0</v>
      </c>
      <c r="D101" s="1">
        <f>IF(B101="", "", "metagenome")</f>
        <v>0</v>
      </c>
      <c r="E101" s="1">
        <f>IF(B101="", "", "256318")</f>
        <v>0</v>
      </c>
    </row>
    <row r="102" spans="1:5">
      <c r="A102">
        <f>IF(COUNTBLANK(B102:E102)&lt;&gt;COLUMNS(B102:E102),101,"")</f>
        <v>0</v>
      </c>
      <c r="C102" s="1">
        <f>IF(B102="", "", "other")</f>
        <v>0</v>
      </c>
      <c r="D102" s="1">
        <f>IF(B102="", "", "metagenome")</f>
        <v>0</v>
      </c>
      <c r="E102" s="1">
        <f>IF(B102="", "", "256318")</f>
        <v>0</v>
      </c>
    </row>
    <row r="103" spans="1:5">
      <c r="A103">
        <f>IF(COUNTBLANK(B103:E103)&lt;&gt;COLUMNS(B103:E103),102,"")</f>
        <v>0</v>
      </c>
      <c r="C103" s="1">
        <f>IF(B103="", "", "other")</f>
        <v>0</v>
      </c>
      <c r="D103" s="1">
        <f>IF(B103="", "", "metagenome")</f>
        <v>0</v>
      </c>
      <c r="E103" s="1">
        <f>IF(B103="", "", "256318")</f>
        <v>0</v>
      </c>
    </row>
    <row r="104" spans="1:5">
      <c r="A104">
        <f>IF(COUNTBLANK(B104:E104)&lt;&gt;COLUMNS(B104:E104),103,"")</f>
        <v>0</v>
      </c>
      <c r="C104" s="1">
        <f>IF(B104="", "", "other")</f>
        <v>0</v>
      </c>
      <c r="D104" s="1">
        <f>IF(B104="", "", "metagenome")</f>
        <v>0</v>
      </c>
      <c r="E104" s="1">
        <f>IF(B104="", "", "256318")</f>
        <v>0</v>
      </c>
    </row>
    <row r="105" spans="1:5">
      <c r="A105">
        <f>IF(COUNTBLANK(B105:E105)&lt;&gt;COLUMNS(B105:E105),104,"")</f>
        <v>0</v>
      </c>
      <c r="C105" s="1">
        <f>IF(B105="", "", "other")</f>
        <v>0</v>
      </c>
      <c r="D105" s="1">
        <f>IF(B105="", "", "metagenome")</f>
        <v>0</v>
      </c>
      <c r="E105" s="1">
        <f>IF(B105="", "", "256318")</f>
        <v>0</v>
      </c>
    </row>
    <row r="106" spans="1:5">
      <c r="A106">
        <f>IF(COUNTBLANK(B106:E106)&lt;&gt;COLUMNS(B106:E106),105,"")</f>
        <v>0</v>
      </c>
      <c r="C106" s="1">
        <f>IF(B106="", "", "other")</f>
        <v>0</v>
      </c>
      <c r="D106" s="1">
        <f>IF(B106="", "", "metagenome")</f>
        <v>0</v>
      </c>
      <c r="E106" s="1">
        <f>IF(B106="", "", "256318")</f>
        <v>0</v>
      </c>
    </row>
    <row r="107" spans="1:5">
      <c r="A107">
        <f>IF(COUNTBLANK(B107:E107)&lt;&gt;COLUMNS(B107:E107),106,"")</f>
        <v>0</v>
      </c>
      <c r="C107" s="1">
        <f>IF(B107="", "", "other")</f>
        <v>0</v>
      </c>
      <c r="D107" s="1">
        <f>IF(B107="", "", "metagenome")</f>
        <v>0</v>
      </c>
      <c r="E107" s="1">
        <f>IF(B107="", "", "256318")</f>
        <v>0</v>
      </c>
    </row>
    <row r="108" spans="1:5">
      <c r="A108">
        <f>IF(COUNTBLANK(B108:E108)&lt;&gt;COLUMNS(B108:E108),107,"")</f>
        <v>0</v>
      </c>
      <c r="C108" s="1">
        <f>IF(B108="", "", "other")</f>
        <v>0</v>
      </c>
      <c r="D108" s="1">
        <f>IF(B108="", "", "metagenome")</f>
        <v>0</v>
      </c>
      <c r="E108" s="1">
        <f>IF(B108="", "", "256318")</f>
        <v>0</v>
      </c>
    </row>
    <row r="109" spans="1:5">
      <c r="A109">
        <f>IF(COUNTBLANK(B109:E109)&lt;&gt;COLUMNS(B109:E109),108,"")</f>
        <v>0</v>
      </c>
      <c r="C109" s="1">
        <f>IF(B109="", "", "other")</f>
        <v>0</v>
      </c>
      <c r="D109" s="1">
        <f>IF(B109="", "", "metagenome")</f>
        <v>0</v>
      </c>
      <c r="E109" s="1">
        <f>IF(B109="", "", "256318")</f>
        <v>0</v>
      </c>
    </row>
    <row r="110" spans="1:5">
      <c r="A110">
        <f>IF(COUNTBLANK(B110:E110)&lt;&gt;COLUMNS(B110:E110),109,"")</f>
        <v>0</v>
      </c>
      <c r="C110" s="1">
        <f>IF(B110="", "", "other")</f>
        <v>0</v>
      </c>
      <c r="D110" s="1">
        <f>IF(B110="", "", "metagenome")</f>
        <v>0</v>
      </c>
      <c r="E110" s="1">
        <f>IF(B110="", "", "256318")</f>
        <v>0</v>
      </c>
    </row>
    <row r="111" spans="1:5">
      <c r="A111">
        <f>IF(COUNTBLANK(B111:E111)&lt;&gt;COLUMNS(B111:E111),110,"")</f>
        <v>0</v>
      </c>
      <c r="C111" s="1">
        <f>IF(B111="", "", "other")</f>
        <v>0</v>
      </c>
      <c r="D111" s="1">
        <f>IF(B111="", "", "metagenome")</f>
        <v>0</v>
      </c>
      <c r="E111" s="1">
        <f>IF(B111="", "", "256318")</f>
        <v>0</v>
      </c>
    </row>
    <row r="112" spans="1:5">
      <c r="A112">
        <f>IF(COUNTBLANK(B112:E112)&lt;&gt;COLUMNS(B112:E112),111,"")</f>
        <v>0</v>
      </c>
      <c r="C112" s="1">
        <f>IF(B112="", "", "other")</f>
        <v>0</v>
      </c>
      <c r="D112" s="1">
        <f>IF(B112="", "", "metagenome")</f>
        <v>0</v>
      </c>
      <c r="E112" s="1">
        <f>IF(B112="", "", "256318")</f>
        <v>0</v>
      </c>
    </row>
    <row r="113" spans="1:5">
      <c r="A113">
        <f>IF(COUNTBLANK(B113:E113)&lt;&gt;COLUMNS(B113:E113),112,"")</f>
        <v>0</v>
      </c>
      <c r="C113" s="1">
        <f>IF(B113="", "", "other")</f>
        <v>0</v>
      </c>
      <c r="D113" s="1">
        <f>IF(B113="", "", "metagenome")</f>
        <v>0</v>
      </c>
      <c r="E113" s="1">
        <f>IF(B113="", "", "256318")</f>
        <v>0</v>
      </c>
    </row>
    <row r="114" spans="1:5">
      <c r="A114">
        <f>IF(COUNTBLANK(B114:E114)&lt;&gt;COLUMNS(B114:E114),113,"")</f>
        <v>0</v>
      </c>
      <c r="C114" s="1">
        <f>IF(B114="", "", "other")</f>
        <v>0</v>
      </c>
      <c r="D114" s="1">
        <f>IF(B114="", "", "metagenome")</f>
        <v>0</v>
      </c>
      <c r="E114" s="1">
        <f>IF(B114="", "", "256318")</f>
        <v>0</v>
      </c>
    </row>
    <row r="115" spans="1:5">
      <c r="A115">
        <f>IF(COUNTBLANK(B115:E115)&lt;&gt;COLUMNS(B115:E115),114,"")</f>
        <v>0</v>
      </c>
      <c r="C115" s="1">
        <f>IF(B115="", "", "other")</f>
        <v>0</v>
      </c>
      <c r="D115" s="1">
        <f>IF(B115="", "", "metagenome")</f>
        <v>0</v>
      </c>
      <c r="E115" s="1">
        <f>IF(B115="", "", "256318")</f>
        <v>0</v>
      </c>
    </row>
    <row r="116" spans="1:5">
      <c r="A116">
        <f>IF(COUNTBLANK(B116:E116)&lt;&gt;COLUMNS(B116:E116),115,"")</f>
        <v>0</v>
      </c>
      <c r="C116" s="1">
        <f>IF(B116="", "", "other")</f>
        <v>0</v>
      </c>
      <c r="D116" s="1">
        <f>IF(B116="", "", "metagenome")</f>
        <v>0</v>
      </c>
      <c r="E116" s="1">
        <f>IF(B116="", "", "256318")</f>
        <v>0</v>
      </c>
    </row>
    <row r="117" spans="1:5">
      <c r="A117">
        <f>IF(COUNTBLANK(B117:E117)&lt;&gt;COLUMNS(B117:E117),116,"")</f>
        <v>0</v>
      </c>
      <c r="C117" s="1">
        <f>IF(B117="", "", "other")</f>
        <v>0</v>
      </c>
      <c r="D117" s="1">
        <f>IF(B117="", "", "metagenome")</f>
        <v>0</v>
      </c>
      <c r="E117" s="1">
        <f>IF(B117="", "", "256318")</f>
        <v>0</v>
      </c>
    </row>
    <row r="118" spans="1:5">
      <c r="A118">
        <f>IF(COUNTBLANK(B118:E118)&lt;&gt;COLUMNS(B118:E118),117,"")</f>
        <v>0</v>
      </c>
      <c r="C118" s="1">
        <f>IF(B118="", "", "other")</f>
        <v>0</v>
      </c>
      <c r="D118" s="1">
        <f>IF(B118="", "", "metagenome")</f>
        <v>0</v>
      </c>
      <c r="E118" s="1">
        <f>IF(B118="", "", "256318")</f>
        <v>0</v>
      </c>
    </row>
    <row r="119" spans="1:5">
      <c r="A119">
        <f>IF(COUNTBLANK(B119:E119)&lt;&gt;COLUMNS(B119:E119),118,"")</f>
        <v>0</v>
      </c>
      <c r="C119" s="1">
        <f>IF(B119="", "", "other")</f>
        <v>0</v>
      </c>
      <c r="D119" s="1">
        <f>IF(B119="", "", "metagenome")</f>
        <v>0</v>
      </c>
      <c r="E119" s="1">
        <f>IF(B119="", "", "256318")</f>
        <v>0</v>
      </c>
    </row>
    <row r="120" spans="1:5">
      <c r="A120">
        <f>IF(COUNTBLANK(B120:E120)&lt;&gt;COLUMNS(B120:E120),119,"")</f>
        <v>0</v>
      </c>
      <c r="C120" s="1">
        <f>IF(B120="", "", "other")</f>
        <v>0</v>
      </c>
      <c r="D120" s="1">
        <f>IF(B120="", "", "metagenome")</f>
        <v>0</v>
      </c>
      <c r="E120" s="1">
        <f>IF(B120="", "", "256318")</f>
        <v>0</v>
      </c>
    </row>
    <row r="121" spans="1:5">
      <c r="A121">
        <f>IF(COUNTBLANK(B121:E121)&lt;&gt;COLUMNS(B121:E121),120,"")</f>
        <v>0</v>
      </c>
      <c r="C121" s="1">
        <f>IF(B121="", "", "other")</f>
        <v>0</v>
      </c>
      <c r="D121" s="1">
        <f>IF(B121="", "", "metagenome")</f>
        <v>0</v>
      </c>
      <c r="E121" s="1">
        <f>IF(B121="", "", "256318")</f>
        <v>0</v>
      </c>
    </row>
    <row r="122" spans="1:5">
      <c r="A122">
        <f>IF(COUNTBLANK(B122:E122)&lt;&gt;COLUMNS(B122:E122),121,"")</f>
        <v>0</v>
      </c>
      <c r="C122" s="1">
        <f>IF(B122="", "", "other")</f>
        <v>0</v>
      </c>
      <c r="D122" s="1">
        <f>IF(B122="", "", "metagenome")</f>
        <v>0</v>
      </c>
      <c r="E122" s="1">
        <f>IF(B122="", "", "256318")</f>
        <v>0</v>
      </c>
    </row>
    <row r="123" spans="1:5">
      <c r="A123">
        <f>IF(COUNTBLANK(B123:E123)&lt;&gt;COLUMNS(B123:E123),122,"")</f>
        <v>0</v>
      </c>
      <c r="C123" s="1">
        <f>IF(B123="", "", "other")</f>
        <v>0</v>
      </c>
      <c r="D123" s="1">
        <f>IF(B123="", "", "metagenome")</f>
        <v>0</v>
      </c>
      <c r="E123" s="1">
        <f>IF(B123="", "", "256318")</f>
        <v>0</v>
      </c>
    </row>
    <row r="124" spans="1:5">
      <c r="A124">
        <f>IF(COUNTBLANK(B124:E124)&lt;&gt;COLUMNS(B124:E124),123,"")</f>
        <v>0</v>
      </c>
      <c r="C124" s="1">
        <f>IF(B124="", "", "other")</f>
        <v>0</v>
      </c>
      <c r="D124" s="1">
        <f>IF(B124="", "", "metagenome")</f>
        <v>0</v>
      </c>
      <c r="E124" s="1">
        <f>IF(B124="", "", "256318")</f>
        <v>0</v>
      </c>
    </row>
    <row r="125" spans="1:5">
      <c r="A125">
        <f>IF(COUNTBLANK(B125:E125)&lt;&gt;COLUMNS(B125:E125),124,"")</f>
        <v>0</v>
      </c>
      <c r="C125" s="1">
        <f>IF(B125="", "", "other")</f>
        <v>0</v>
      </c>
      <c r="D125" s="1">
        <f>IF(B125="", "", "metagenome")</f>
        <v>0</v>
      </c>
      <c r="E125" s="1">
        <f>IF(B125="", "", "256318")</f>
        <v>0</v>
      </c>
    </row>
    <row r="126" spans="1:5">
      <c r="A126">
        <f>IF(COUNTBLANK(B126:E126)&lt;&gt;COLUMNS(B126:E126),125,"")</f>
        <v>0</v>
      </c>
      <c r="C126" s="1">
        <f>IF(B126="", "", "other")</f>
        <v>0</v>
      </c>
      <c r="D126" s="1">
        <f>IF(B126="", "", "metagenome")</f>
        <v>0</v>
      </c>
      <c r="E126" s="1">
        <f>IF(B126="", "", "256318")</f>
        <v>0</v>
      </c>
    </row>
    <row r="127" spans="1:5">
      <c r="A127">
        <f>IF(COUNTBLANK(B127:E127)&lt;&gt;COLUMNS(B127:E127),126,"")</f>
        <v>0</v>
      </c>
      <c r="C127" s="1">
        <f>IF(B127="", "", "other")</f>
        <v>0</v>
      </c>
      <c r="D127" s="1">
        <f>IF(B127="", "", "metagenome")</f>
        <v>0</v>
      </c>
      <c r="E127" s="1">
        <f>IF(B127="", "", "256318")</f>
        <v>0</v>
      </c>
    </row>
    <row r="128" spans="1:5">
      <c r="A128">
        <f>IF(COUNTBLANK(B128:E128)&lt;&gt;COLUMNS(B128:E128),127,"")</f>
        <v>0</v>
      </c>
      <c r="C128" s="1">
        <f>IF(B128="", "", "other")</f>
        <v>0</v>
      </c>
      <c r="D128" s="1">
        <f>IF(B128="", "", "metagenome")</f>
        <v>0</v>
      </c>
      <c r="E128" s="1">
        <f>IF(B128="", "", "256318")</f>
        <v>0</v>
      </c>
    </row>
    <row r="129" spans="1:5">
      <c r="A129">
        <f>IF(COUNTBLANK(B129:E129)&lt;&gt;COLUMNS(B129:E129),128,"")</f>
        <v>0</v>
      </c>
      <c r="C129" s="1">
        <f>IF(B129="", "", "other")</f>
        <v>0</v>
      </c>
      <c r="D129" s="1">
        <f>IF(B129="", "", "metagenome")</f>
        <v>0</v>
      </c>
      <c r="E129" s="1">
        <f>IF(B129="", "", "256318")</f>
        <v>0</v>
      </c>
    </row>
    <row r="130" spans="1:5">
      <c r="A130">
        <f>IF(COUNTBLANK(B130:E130)&lt;&gt;COLUMNS(B130:E130),129,"")</f>
        <v>0</v>
      </c>
      <c r="C130" s="1">
        <f>IF(B130="", "", "other")</f>
        <v>0</v>
      </c>
      <c r="D130" s="1">
        <f>IF(B130="", "", "metagenome")</f>
        <v>0</v>
      </c>
      <c r="E130" s="1">
        <f>IF(B130="", "", "256318")</f>
        <v>0</v>
      </c>
    </row>
    <row r="131" spans="1:5">
      <c r="A131">
        <f>IF(COUNTBLANK(B131:E131)&lt;&gt;COLUMNS(B131:E131),130,"")</f>
        <v>0</v>
      </c>
      <c r="C131" s="1">
        <f>IF(B131="", "", "other")</f>
        <v>0</v>
      </c>
      <c r="D131" s="1">
        <f>IF(B131="", "", "metagenome")</f>
        <v>0</v>
      </c>
      <c r="E131" s="1">
        <f>IF(B131="", "", "256318")</f>
        <v>0</v>
      </c>
    </row>
    <row r="132" spans="1:5">
      <c r="A132">
        <f>IF(COUNTBLANK(B132:E132)&lt;&gt;COLUMNS(B132:E132),131,"")</f>
        <v>0</v>
      </c>
      <c r="C132" s="1">
        <f>IF(B132="", "", "other")</f>
        <v>0</v>
      </c>
      <c r="D132" s="1">
        <f>IF(B132="", "", "metagenome")</f>
        <v>0</v>
      </c>
      <c r="E132" s="1">
        <f>IF(B132="", "", "256318")</f>
        <v>0</v>
      </c>
    </row>
    <row r="133" spans="1:5">
      <c r="A133">
        <f>IF(COUNTBLANK(B133:E133)&lt;&gt;COLUMNS(B133:E133),132,"")</f>
        <v>0</v>
      </c>
      <c r="C133" s="1">
        <f>IF(B133="", "", "other")</f>
        <v>0</v>
      </c>
      <c r="D133" s="1">
        <f>IF(B133="", "", "metagenome")</f>
        <v>0</v>
      </c>
      <c r="E133" s="1">
        <f>IF(B133="", "", "256318")</f>
        <v>0</v>
      </c>
    </row>
    <row r="134" spans="1:5">
      <c r="A134">
        <f>IF(COUNTBLANK(B134:E134)&lt;&gt;COLUMNS(B134:E134),133,"")</f>
        <v>0</v>
      </c>
      <c r="C134" s="1">
        <f>IF(B134="", "", "other")</f>
        <v>0</v>
      </c>
      <c r="D134" s="1">
        <f>IF(B134="", "", "metagenome")</f>
        <v>0</v>
      </c>
      <c r="E134" s="1">
        <f>IF(B134="", "", "256318")</f>
        <v>0</v>
      </c>
    </row>
    <row r="135" spans="1:5">
      <c r="A135">
        <f>IF(COUNTBLANK(B135:E135)&lt;&gt;COLUMNS(B135:E135),134,"")</f>
        <v>0</v>
      </c>
      <c r="C135" s="1">
        <f>IF(B135="", "", "other")</f>
        <v>0</v>
      </c>
      <c r="D135" s="1">
        <f>IF(B135="", "", "metagenome")</f>
        <v>0</v>
      </c>
      <c r="E135" s="1">
        <f>IF(B135="", "", "256318")</f>
        <v>0</v>
      </c>
    </row>
    <row r="136" spans="1:5">
      <c r="A136">
        <f>IF(COUNTBLANK(B136:E136)&lt;&gt;COLUMNS(B136:E136),135,"")</f>
        <v>0</v>
      </c>
      <c r="C136" s="1">
        <f>IF(B136="", "", "other")</f>
        <v>0</v>
      </c>
      <c r="D136" s="1">
        <f>IF(B136="", "", "metagenome")</f>
        <v>0</v>
      </c>
      <c r="E136" s="1">
        <f>IF(B136="", "", "256318")</f>
        <v>0</v>
      </c>
    </row>
    <row r="137" spans="1:5">
      <c r="A137">
        <f>IF(COUNTBLANK(B137:E137)&lt;&gt;COLUMNS(B137:E137),136,"")</f>
        <v>0</v>
      </c>
      <c r="C137" s="1">
        <f>IF(B137="", "", "other")</f>
        <v>0</v>
      </c>
      <c r="D137" s="1">
        <f>IF(B137="", "", "metagenome")</f>
        <v>0</v>
      </c>
      <c r="E137" s="1">
        <f>IF(B137="", "", "256318")</f>
        <v>0</v>
      </c>
    </row>
    <row r="138" spans="1:5">
      <c r="A138">
        <f>IF(COUNTBLANK(B138:E138)&lt;&gt;COLUMNS(B138:E138),137,"")</f>
        <v>0</v>
      </c>
      <c r="C138" s="1">
        <f>IF(B138="", "", "other")</f>
        <v>0</v>
      </c>
      <c r="D138" s="1">
        <f>IF(B138="", "", "metagenome")</f>
        <v>0</v>
      </c>
      <c r="E138" s="1">
        <f>IF(B138="", "", "256318")</f>
        <v>0</v>
      </c>
    </row>
    <row r="139" spans="1:5">
      <c r="A139">
        <f>IF(COUNTBLANK(B139:E139)&lt;&gt;COLUMNS(B139:E139),138,"")</f>
        <v>0</v>
      </c>
      <c r="C139" s="1">
        <f>IF(B139="", "", "other")</f>
        <v>0</v>
      </c>
      <c r="D139" s="1">
        <f>IF(B139="", "", "metagenome")</f>
        <v>0</v>
      </c>
      <c r="E139" s="1">
        <f>IF(B139="", "", "256318")</f>
        <v>0</v>
      </c>
    </row>
    <row r="140" spans="1:5">
      <c r="A140">
        <f>IF(COUNTBLANK(B140:E140)&lt;&gt;COLUMNS(B140:E140),139,"")</f>
        <v>0</v>
      </c>
      <c r="C140" s="1">
        <f>IF(B140="", "", "other")</f>
        <v>0</v>
      </c>
      <c r="D140" s="1">
        <f>IF(B140="", "", "metagenome")</f>
        <v>0</v>
      </c>
      <c r="E140" s="1">
        <f>IF(B140="", "", "256318")</f>
        <v>0</v>
      </c>
    </row>
    <row r="141" spans="1:5">
      <c r="A141">
        <f>IF(COUNTBLANK(B141:E141)&lt;&gt;COLUMNS(B141:E141),140,"")</f>
        <v>0</v>
      </c>
      <c r="C141" s="1">
        <f>IF(B141="", "", "other")</f>
        <v>0</v>
      </c>
      <c r="D141" s="1">
        <f>IF(B141="", "", "metagenome")</f>
        <v>0</v>
      </c>
      <c r="E141" s="1">
        <f>IF(B141="", "", "256318")</f>
        <v>0</v>
      </c>
    </row>
    <row r="142" spans="1:5">
      <c r="A142">
        <f>IF(COUNTBLANK(B142:E142)&lt;&gt;COLUMNS(B142:E142),141,"")</f>
        <v>0</v>
      </c>
      <c r="C142" s="1">
        <f>IF(B142="", "", "other")</f>
        <v>0</v>
      </c>
      <c r="D142" s="1">
        <f>IF(B142="", "", "metagenome")</f>
        <v>0</v>
      </c>
      <c r="E142" s="1">
        <f>IF(B142="", "", "256318")</f>
        <v>0</v>
      </c>
    </row>
    <row r="143" spans="1:5">
      <c r="A143">
        <f>IF(COUNTBLANK(B143:E143)&lt;&gt;COLUMNS(B143:E143),142,"")</f>
        <v>0</v>
      </c>
      <c r="C143" s="1">
        <f>IF(B143="", "", "other")</f>
        <v>0</v>
      </c>
      <c r="D143" s="1">
        <f>IF(B143="", "", "metagenome")</f>
        <v>0</v>
      </c>
      <c r="E143" s="1">
        <f>IF(B143="", "", "256318")</f>
        <v>0</v>
      </c>
    </row>
    <row r="144" spans="1:5">
      <c r="A144">
        <f>IF(COUNTBLANK(B144:E144)&lt;&gt;COLUMNS(B144:E144),143,"")</f>
        <v>0</v>
      </c>
      <c r="C144" s="1">
        <f>IF(B144="", "", "other")</f>
        <v>0</v>
      </c>
      <c r="D144" s="1">
        <f>IF(B144="", "", "metagenome")</f>
        <v>0</v>
      </c>
      <c r="E144" s="1">
        <f>IF(B144="", "", "256318")</f>
        <v>0</v>
      </c>
    </row>
    <row r="145" spans="1:5">
      <c r="A145">
        <f>IF(COUNTBLANK(B145:E145)&lt;&gt;COLUMNS(B145:E145),144,"")</f>
        <v>0</v>
      </c>
      <c r="C145" s="1">
        <f>IF(B145="", "", "other")</f>
        <v>0</v>
      </c>
      <c r="D145" s="1">
        <f>IF(B145="", "", "metagenome")</f>
        <v>0</v>
      </c>
      <c r="E145" s="1">
        <f>IF(B145="", "", "256318")</f>
        <v>0</v>
      </c>
    </row>
    <row r="146" spans="1:5">
      <c r="A146">
        <f>IF(COUNTBLANK(B146:E146)&lt;&gt;COLUMNS(B146:E146),145,"")</f>
        <v>0</v>
      </c>
      <c r="C146" s="1">
        <f>IF(B146="", "", "other")</f>
        <v>0</v>
      </c>
      <c r="D146" s="1">
        <f>IF(B146="", "", "metagenome")</f>
        <v>0</v>
      </c>
      <c r="E146" s="1">
        <f>IF(B146="", "", "256318")</f>
        <v>0</v>
      </c>
    </row>
    <row r="147" spans="1:5">
      <c r="A147">
        <f>IF(COUNTBLANK(B147:E147)&lt;&gt;COLUMNS(B147:E147),146,"")</f>
        <v>0</v>
      </c>
      <c r="C147" s="1">
        <f>IF(B147="", "", "other")</f>
        <v>0</v>
      </c>
      <c r="D147" s="1">
        <f>IF(B147="", "", "metagenome")</f>
        <v>0</v>
      </c>
      <c r="E147" s="1">
        <f>IF(B147="", "", "256318")</f>
        <v>0</v>
      </c>
    </row>
    <row r="148" spans="1:5">
      <c r="A148">
        <f>IF(COUNTBLANK(B148:E148)&lt;&gt;COLUMNS(B148:E148),147,"")</f>
        <v>0</v>
      </c>
      <c r="C148" s="1">
        <f>IF(B148="", "", "other")</f>
        <v>0</v>
      </c>
      <c r="D148" s="1">
        <f>IF(B148="", "", "metagenome")</f>
        <v>0</v>
      </c>
      <c r="E148" s="1">
        <f>IF(B148="", "", "256318")</f>
        <v>0</v>
      </c>
    </row>
    <row r="149" spans="1:5">
      <c r="A149">
        <f>IF(COUNTBLANK(B149:E149)&lt;&gt;COLUMNS(B149:E149),148,"")</f>
        <v>0</v>
      </c>
      <c r="C149" s="1">
        <f>IF(B149="", "", "other")</f>
        <v>0</v>
      </c>
      <c r="D149" s="1">
        <f>IF(B149="", "", "metagenome")</f>
        <v>0</v>
      </c>
      <c r="E149" s="1">
        <f>IF(B149="", "", "256318")</f>
        <v>0</v>
      </c>
    </row>
    <row r="150" spans="1:5">
      <c r="A150">
        <f>IF(COUNTBLANK(B150:E150)&lt;&gt;COLUMNS(B150:E150),149,"")</f>
        <v>0</v>
      </c>
      <c r="C150" s="1">
        <f>IF(B150="", "", "other")</f>
        <v>0</v>
      </c>
      <c r="D150" s="1">
        <f>IF(B150="", "", "metagenome")</f>
        <v>0</v>
      </c>
      <c r="E150" s="1">
        <f>IF(B150="", "", "256318")</f>
        <v>0</v>
      </c>
    </row>
    <row r="151" spans="1:5">
      <c r="A151">
        <f>IF(COUNTBLANK(B151:E151)&lt;&gt;COLUMNS(B151:E151),150,"")</f>
        <v>0</v>
      </c>
      <c r="C151" s="1">
        <f>IF(B151="", "", "other")</f>
        <v>0</v>
      </c>
      <c r="D151" s="1">
        <f>IF(B151="", "", "metagenome")</f>
        <v>0</v>
      </c>
      <c r="E151" s="1">
        <f>IF(B151="", "", "256318")</f>
        <v>0</v>
      </c>
    </row>
    <row r="152" spans="1:5">
      <c r="A152">
        <f>IF(COUNTBLANK(B152:E152)&lt;&gt;COLUMNS(B152:E152),151,"")</f>
        <v>0</v>
      </c>
      <c r="C152" s="1">
        <f>IF(B152="", "", "other")</f>
        <v>0</v>
      </c>
      <c r="D152" s="1">
        <f>IF(B152="", "", "metagenome")</f>
        <v>0</v>
      </c>
      <c r="E152" s="1">
        <f>IF(B152="", "", "256318")</f>
        <v>0</v>
      </c>
    </row>
    <row r="153" spans="1:5">
      <c r="A153">
        <f>IF(COUNTBLANK(B153:E153)&lt;&gt;COLUMNS(B153:E153),152,"")</f>
        <v>0</v>
      </c>
      <c r="C153" s="1">
        <f>IF(B153="", "", "other")</f>
        <v>0</v>
      </c>
      <c r="D153" s="1">
        <f>IF(B153="", "", "metagenome")</f>
        <v>0</v>
      </c>
      <c r="E153" s="1">
        <f>IF(B153="", "", "256318")</f>
        <v>0</v>
      </c>
    </row>
    <row r="154" spans="1:5">
      <c r="A154">
        <f>IF(COUNTBLANK(B154:E154)&lt;&gt;COLUMNS(B154:E154),153,"")</f>
        <v>0</v>
      </c>
      <c r="C154" s="1">
        <f>IF(B154="", "", "other")</f>
        <v>0</v>
      </c>
      <c r="D154" s="1">
        <f>IF(B154="", "", "metagenome")</f>
        <v>0</v>
      </c>
      <c r="E154" s="1">
        <f>IF(B154="", "", "256318")</f>
        <v>0</v>
      </c>
    </row>
    <row r="155" spans="1:5">
      <c r="A155">
        <f>IF(COUNTBLANK(B155:E155)&lt;&gt;COLUMNS(B155:E155),154,"")</f>
        <v>0</v>
      </c>
      <c r="C155" s="1">
        <f>IF(B155="", "", "other")</f>
        <v>0</v>
      </c>
      <c r="D155" s="1">
        <f>IF(B155="", "", "metagenome")</f>
        <v>0</v>
      </c>
      <c r="E155" s="1">
        <f>IF(B155="", "", "256318")</f>
        <v>0</v>
      </c>
    </row>
    <row r="156" spans="1:5">
      <c r="A156">
        <f>IF(COUNTBLANK(B156:E156)&lt;&gt;COLUMNS(B156:E156),155,"")</f>
        <v>0</v>
      </c>
      <c r="C156" s="1">
        <f>IF(B156="", "", "other")</f>
        <v>0</v>
      </c>
      <c r="D156" s="1">
        <f>IF(B156="", "", "metagenome")</f>
        <v>0</v>
      </c>
      <c r="E156" s="1">
        <f>IF(B156="", "", "256318")</f>
        <v>0</v>
      </c>
    </row>
    <row r="157" spans="1:5">
      <c r="A157">
        <f>IF(COUNTBLANK(B157:E157)&lt;&gt;COLUMNS(B157:E157),156,"")</f>
        <v>0</v>
      </c>
      <c r="C157" s="1">
        <f>IF(B157="", "", "other")</f>
        <v>0</v>
      </c>
      <c r="D157" s="1">
        <f>IF(B157="", "", "metagenome")</f>
        <v>0</v>
      </c>
      <c r="E157" s="1">
        <f>IF(B157="", "", "256318")</f>
        <v>0</v>
      </c>
    </row>
    <row r="158" spans="1:5">
      <c r="A158">
        <f>IF(COUNTBLANK(B158:E158)&lt;&gt;COLUMNS(B158:E158),157,"")</f>
        <v>0</v>
      </c>
      <c r="C158" s="1">
        <f>IF(B158="", "", "other")</f>
        <v>0</v>
      </c>
      <c r="D158" s="1">
        <f>IF(B158="", "", "metagenome")</f>
        <v>0</v>
      </c>
      <c r="E158" s="1">
        <f>IF(B158="", "", "256318")</f>
        <v>0</v>
      </c>
    </row>
    <row r="159" spans="1:5">
      <c r="A159">
        <f>IF(COUNTBLANK(B159:E159)&lt;&gt;COLUMNS(B159:E159),158,"")</f>
        <v>0</v>
      </c>
      <c r="C159" s="1">
        <f>IF(B159="", "", "other")</f>
        <v>0</v>
      </c>
      <c r="D159" s="1">
        <f>IF(B159="", "", "metagenome")</f>
        <v>0</v>
      </c>
      <c r="E159" s="1">
        <f>IF(B159="", "", "256318")</f>
        <v>0</v>
      </c>
    </row>
    <row r="160" spans="1:5">
      <c r="A160">
        <f>IF(COUNTBLANK(B160:E160)&lt;&gt;COLUMNS(B160:E160),159,"")</f>
        <v>0</v>
      </c>
      <c r="C160" s="1">
        <f>IF(B160="", "", "other")</f>
        <v>0</v>
      </c>
      <c r="D160" s="1">
        <f>IF(B160="", "", "metagenome")</f>
        <v>0</v>
      </c>
      <c r="E160" s="1">
        <f>IF(B160="", "", "256318")</f>
        <v>0</v>
      </c>
    </row>
    <row r="161" spans="1:5">
      <c r="A161">
        <f>IF(COUNTBLANK(B161:E161)&lt;&gt;COLUMNS(B161:E161),160,"")</f>
        <v>0</v>
      </c>
      <c r="C161" s="1">
        <f>IF(B161="", "", "other")</f>
        <v>0</v>
      </c>
      <c r="D161" s="1">
        <f>IF(B161="", "", "metagenome")</f>
        <v>0</v>
      </c>
      <c r="E161" s="1">
        <f>IF(B161="", "", "256318")</f>
        <v>0</v>
      </c>
    </row>
    <row r="162" spans="1:5">
      <c r="A162">
        <f>IF(COUNTBLANK(B162:E162)&lt;&gt;COLUMNS(B162:E162),161,"")</f>
        <v>0</v>
      </c>
      <c r="C162" s="1">
        <f>IF(B162="", "", "other")</f>
        <v>0</v>
      </c>
      <c r="D162" s="1">
        <f>IF(B162="", "", "metagenome")</f>
        <v>0</v>
      </c>
      <c r="E162" s="1">
        <f>IF(B162="", "", "256318")</f>
        <v>0</v>
      </c>
    </row>
    <row r="163" spans="1:5">
      <c r="A163">
        <f>IF(COUNTBLANK(B163:E163)&lt;&gt;COLUMNS(B163:E163),162,"")</f>
        <v>0</v>
      </c>
      <c r="C163" s="1">
        <f>IF(B163="", "", "other")</f>
        <v>0</v>
      </c>
      <c r="D163" s="1">
        <f>IF(B163="", "", "metagenome")</f>
        <v>0</v>
      </c>
      <c r="E163" s="1">
        <f>IF(B163="", "", "256318")</f>
        <v>0</v>
      </c>
    </row>
    <row r="164" spans="1:5">
      <c r="A164">
        <f>IF(COUNTBLANK(B164:E164)&lt;&gt;COLUMNS(B164:E164),163,"")</f>
        <v>0</v>
      </c>
      <c r="C164" s="1">
        <f>IF(B164="", "", "other")</f>
        <v>0</v>
      </c>
      <c r="D164" s="1">
        <f>IF(B164="", "", "metagenome")</f>
        <v>0</v>
      </c>
      <c r="E164" s="1">
        <f>IF(B164="", "", "256318")</f>
        <v>0</v>
      </c>
    </row>
    <row r="165" spans="1:5">
      <c r="A165">
        <f>IF(COUNTBLANK(B165:E165)&lt;&gt;COLUMNS(B165:E165),164,"")</f>
        <v>0</v>
      </c>
      <c r="C165" s="1">
        <f>IF(B165="", "", "other")</f>
        <v>0</v>
      </c>
      <c r="D165" s="1">
        <f>IF(B165="", "", "metagenome")</f>
        <v>0</v>
      </c>
      <c r="E165" s="1">
        <f>IF(B165="", "", "256318")</f>
        <v>0</v>
      </c>
    </row>
    <row r="166" spans="1:5">
      <c r="A166">
        <f>IF(COUNTBLANK(B166:E166)&lt;&gt;COLUMNS(B166:E166),165,"")</f>
        <v>0</v>
      </c>
      <c r="C166" s="1">
        <f>IF(B166="", "", "other")</f>
        <v>0</v>
      </c>
      <c r="D166" s="1">
        <f>IF(B166="", "", "metagenome")</f>
        <v>0</v>
      </c>
      <c r="E166" s="1">
        <f>IF(B166="", "", "256318")</f>
        <v>0</v>
      </c>
    </row>
    <row r="167" spans="1:5">
      <c r="A167">
        <f>IF(COUNTBLANK(B167:E167)&lt;&gt;COLUMNS(B167:E167),166,"")</f>
        <v>0</v>
      </c>
      <c r="C167" s="1">
        <f>IF(B167="", "", "other")</f>
        <v>0</v>
      </c>
      <c r="D167" s="1">
        <f>IF(B167="", "", "metagenome")</f>
        <v>0</v>
      </c>
      <c r="E167" s="1">
        <f>IF(B167="", "", "256318")</f>
        <v>0</v>
      </c>
    </row>
    <row r="168" spans="1:5">
      <c r="A168">
        <f>IF(COUNTBLANK(B168:E168)&lt;&gt;COLUMNS(B168:E168),167,"")</f>
        <v>0</v>
      </c>
      <c r="C168" s="1">
        <f>IF(B168="", "", "other")</f>
        <v>0</v>
      </c>
      <c r="D168" s="1">
        <f>IF(B168="", "", "metagenome")</f>
        <v>0</v>
      </c>
      <c r="E168" s="1">
        <f>IF(B168="", "", "256318")</f>
        <v>0</v>
      </c>
    </row>
    <row r="169" spans="1:5">
      <c r="A169">
        <f>IF(COUNTBLANK(B169:E169)&lt;&gt;COLUMNS(B169:E169),168,"")</f>
        <v>0</v>
      </c>
      <c r="C169" s="1">
        <f>IF(B169="", "", "other")</f>
        <v>0</v>
      </c>
      <c r="D169" s="1">
        <f>IF(B169="", "", "metagenome")</f>
        <v>0</v>
      </c>
      <c r="E169" s="1">
        <f>IF(B169="", "", "256318")</f>
        <v>0</v>
      </c>
    </row>
    <row r="170" spans="1:5">
      <c r="A170">
        <f>IF(COUNTBLANK(B170:E170)&lt;&gt;COLUMNS(B170:E170),169,"")</f>
        <v>0</v>
      </c>
      <c r="C170" s="1">
        <f>IF(B170="", "", "other")</f>
        <v>0</v>
      </c>
      <c r="D170" s="1">
        <f>IF(B170="", "", "metagenome")</f>
        <v>0</v>
      </c>
      <c r="E170" s="1">
        <f>IF(B170="", "", "256318")</f>
        <v>0</v>
      </c>
    </row>
    <row r="171" spans="1:5">
      <c r="A171">
        <f>IF(COUNTBLANK(B171:E171)&lt;&gt;COLUMNS(B171:E171),170,"")</f>
        <v>0</v>
      </c>
      <c r="C171" s="1">
        <f>IF(B171="", "", "other")</f>
        <v>0</v>
      </c>
      <c r="D171" s="1">
        <f>IF(B171="", "", "metagenome")</f>
        <v>0</v>
      </c>
      <c r="E171" s="1">
        <f>IF(B171="", "", "256318")</f>
        <v>0</v>
      </c>
    </row>
    <row r="172" spans="1:5">
      <c r="A172">
        <f>IF(COUNTBLANK(B172:E172)&lt;&gt;COLUMNS(B172:E172),171,"")</f>
        <v>0</v>
      </c>
      <c r="C172" s="1">
        <f>IF(B172="", "", "other")</f>
        <v>0</v>
      </c>
      <c r="D172" s="1">
        <f>IF(B172="", "", "metagenome")</f>
        <v>0</v>
      </c>
      <c r="E172" s="1">
        <f>IF(B172="", "", "256318")</f>
        <v>0</v>
      </c>
    </row>
    <row r="173" spans="1:5">
      <c r="A173">
        <f>IF(COUNTBLANK(B173:E173)&lt;&gt;COLUMNS(B173:E173),172,"")</f>
        <v>0</v>
      </c>
      <c r="C173" s="1">
        <f>IF(B173="", "", "other")</f>
        <v>0</v>
      </c>
      <c r="D173" s="1">
        <f>IF(B173="", "", "metagenome")</f>
        <v>0</v>
      </c>
      <c r="E173" s="1">
        <f>IF(B173="", "", "256318")</f>
        <v>0</v>
      </c>
    </row>
    <row r="174" spans="1:5">
      <c r="A174">
        <f>IF(COUNTBLANK(B174:E174)&lt;&gt;COLUMNS(B174:E174),173,"")</f>
        <v>0</v>
      </c>
      <c r="C174" s="1">
        <f>IF(B174="", "", "other")</f>
        <v>0</v>
      </c>
      <c r="D174" s="1">
        <f>IF(B174="", "", "metagenome")</f>
        <v>0</v>
      </c>
      <c r="E174" s="1">
        <f>IF(B174="", "", "256318")</f>
        <v>0</v>
      </c>
    </row>
    <row r="175" spans="1:5">
      <c r="A175">
        <f>IF(COUNTBLANK(B175:E175)&lt;&gt;COLUMNS(B175:E175),174,"")</f>
        <v>0</v>
      </c>
      <c r="C175" s="1">
        <f>IF(B175="", "", "other")</f>
        <v>0</v>
      </c>
      <c r="D175" s="1">
        <f>IF(B175="", "", "metagenome")</f>
        <v>0</v>
      </c>
      <c r="E175" s="1">
        <f>IF(B175="", "", "256318")</f>
        <v>0</v>
      </c>
    </row>
    <row r="176" spans="1:5">
      <c r="A176">
        <f>IF(COUNTBLANK(B176:E176)&lt;&gt;COLUMNS(B176:E176),175,"")</f>
        <v>0</v>
      </c>
      <c r="C176" s="1">
        <f>IF(B176="", "", "other")</f>
        <v>0</v>
      </c>
      <c r="D176" s="1">
        <f>IF(B176="", "", "metagenome")</f>
        <v>0</v>
      </c>
      <c r="E176" s="1">
        <f>IF(B176="", "", "256318")</f>
        <v>0</v>
      </c>
    </row>
    <row r="177" spans="1:5">
      <c r="A177">
        <f>IF(COUNTBLANK(B177:E177)&lt;&gt;COLUMNS(B177:E177),176,"")</f>
        <v>0</v>
      </c>
      <c r="C177" s="1">
        <f>IF(B177="", "", "other")</f>
        <v>0</v>
      </c>
      <c r="D177" s="1">
        <f>IF(B177="", "", "metagenome")</f>
        <v>0</v>
      </c>
      <c r="E177" s="1">
        <f>IF(B177="", "", "256318")</f>
        <v>0</v>
      </c>
    </row>
    <row r="178" spans="1:5">
      <c r="A178">
        <f>IF(COUNTBLANK(B178:E178)&lt;&gt;COLUMNS(B178:E178),177,"")</f>
        <v>0</v>
      </c>
      <c r="C178" s="1">
        <f>IF(B178="", "", "other")</f>
        <v>0</v>
      </c>
      <c r="D178" s="1">
        <f>IF(B178="", "", "metagenome")</f>
        <v>0</v>
      </c>
      <c r="E178" s="1">
        <f>IF(B178="", "", "256318")</f>
        <v>0</v>
      </c>
    </row>
    <row r="179" spans="1:5">
      <c r="A179">
        <f>IF(COUNTBLANK(B179:E179)&lt;&gt;COLUMNS(B179:E179),178,"")</f>
        <v>0</v>
      </c>
      <c r="C179" s="1">
        <f>IF(B179="", "", "other")</f>
        <v>0</v>
      </c>
      <c r="D179" s="1">
        <f>IF(B179="", "", "metagenome")</f>
        <v>0</v>
      </c>
      <c r="E179" s="1">
        <f>IF(B179="", "", "256318")</f>
        <v>0</v>
      </c>
    </row>
    <row r="180" spans="1:5">
      <c r="A180">
        <f>IF(COUNTBLANK(B180:E180)&lt;&gt;COLUMNS(B180:E180),179,"")</f>
        <v>0</v>
      </c>
      <c r="C180" s="1">
        <f>IF(B180="", "", "other")</f>
        <v>0</v>
      </c>
      <c r="D180" s="1">
        <f>IF(B180="", "", "metagenome")</f>
        <v>0</v>
      </c>
      <c r="E180" s="1">
        <f>IF(B180="", "", "256318")</f>
        <v>0</v>
      </c>
    </row>
    <row r="181" spans="1:5">
      <c r="A181">
        <f>IF(COUNTBLANK(B181:E181)&lt;&gt;COLUMNS(B181:E181),180,"")</f>
        <v>0</v>
      </c>
      <c r="C181" s="1">
        <f>IF(B181="", "", "other")</f>
        <v>0</v>
      </c>
      <c r="D181" s="1">
        <f>IF(B181="", "", "metagenome")</f>
        <v>0</v>
      </c>
      <c r="E181" s="1">
        <f>IF(B181="", "", "256318")</f>
        <v>0</v>
      </c>
    </row>
    <row r="182" spans="1:5">
      <c r="A182">
        <f>IF(COUNTBLANK(B182:E182)&lt;&gt;COLUMNS(B182:E182),181,"")</f>
        <v>0</v>
      </c>
      <c r="C182" s="1">
        <f>IF(B182="", "", "other")</f>
        <v>0</v>
      </c>
      <c r="D182" s="1">
        <f>IF(B182="", "", "metagenome")</f>
        <v>0</v>
      </c>
      <c r="E182" s="1">
        <f>IF(B182="", "", "256318")</f>
        <v>0</v>
      </c>
    </row>
    <row r="183" spans="1:5">
      <c r="A183">
        <f>IF(COUNTBLANK(B183:E183)&lt;&gt;COLUMNS(B183:E183),182,"")</f>
        <v>0</v>
      </c>
      <c r="C183" s="1">
        <f>IF(B183="", "", "other")</f>
        <v>0</v>
      </c>
      <c r="D183" s="1">
        <f>IF(B183="", "", "metagenome")</f>
        <v>0</v>
      </c>
      <c r="E183" s="1">
        <f>IF(B183="", "", "256318")</f>
        <v>0</v>
      </c>
    </row>
    <row r="184" spans="1:5">
      <c r="A184">
        <f>IF(COUNTBLANK(B184:E184)&lt;&gt;COLUMNS(B184:E184),183,"")</f>
        <v>0</v>
      </c>
      <c r="C184" s="1">
        <f>IF(B184="", "", "other")</f>
        <v>0</v>
      </c>
      <c r="D184" s="1">
        <f>IF(B184="", "", "metagenome")</f>
        <v>0</v>
      </c>
      <c r="E184" s="1">
        <f>IF(B184="", "", "256318")</f>
        <v>0</v>
      </c>
    </row>
    <row r="185" spans="1:5">
      <c r="A185">
        <f>IF(COUNTBLANK(B185:E185)&lt;&gt;COLUMNS(B185:E185),184,"")</f>
        <v>0</v>
      </c>
      <c r="C185" s="1">
        <f>IF(B185="", "", "other")</f>
        <v>0</v>
      </c>
      <c r="D185" s="1">
        <f>IF(B185="", "", "metagenome")</f>
        <v>0</v>
      </c>
      <c r="E185" s="1">
        <f>IF(B185="", "", "256318")</f>
        <v>0</v>
      </c>
    </row>
    <row r="186" spans="1:5">
      <c r="A186">
        <f>IF(COUNTBLANK(B186:E186)&lt;&gt;COLUMNS(B186:E186),185,"")</f>
        <v>0</v>
      </c>
      <c r="C186" s="1">
        <f>IF(B186="", "", "other")</f>
        <v>0</v>
      </c>
      <c r="D186" s="1">
        <f>IF(B186="", "", "metagenome")</f>
        <v>0</v>
      </c>
      <c r="E186" s="1">
        <f>IF(B186="", "", "256318")</f>
        <v>0</v>
      </c>
    </row>
    <row r="187" spans="1:5">
      <c r="A187">
        <f>IF(COUNTBLANK(B187:E187)&lt;&gt;COLUMNS(B187:E187),186,"")</f>
        <v>0</v>
      </c>
      <c r="C187" s="1">
        <f>IF(B187="", "", "other")</f>
        <v>0</v>
      </c>
      <c r="D187" s="1">
        <f>IF(B187="", "", "metagenome")</f>
        <v>0</v>
      </c>
      <c r="E187" s="1">
        <f>IF(B187="", "", "256318")</f>
        <v>0</v>
      </c>
    </row>
    <row r="188" spans="1:5">
      <c r="A188">
        <f>IF(COUNTBLANK(B188:E188)&lt;&gt;COLUMNS(B188:E188),187,"")</f>
        <v>0</v>
      </c>
      <c r="C188" s="1">
        <f>IF(B188="", "", "other")</f>
        <v>0</v>
      </c>
      <c r="D188" s="1">
        <f>IF(B188="", "", "metagenome")</f>
        <v>0</v>
      </c>
      <c r="E188" s="1">
        <f>IF(B188="", "", "256318")</f>
        <v>0</v>
      </c>
    </row>
    <row r="189" spans="1:5">
      <c r="A189">
        <f>IF(COUNTBLANK(B189:E189)&lt;&gt;COLUMNS(B189:E189),188,"")</f>
        <v>0</v>
      </c>
      <c r="C189" s="1">
        <f>IF(B189="", "", "other")</f>
        <v>0</v>
      </c>
      <c r="D189" s="1">
        <f>IF(B189="", "", "metagenome")</f>
        <v>0</v>
      </c>
      <c r="E189" s="1">
        <f>IF(B189="", "", "256318")</f>
        <v>0</v>
      </c>
    </row>
    <row r="190" spans="1:5">
      <c r="A190">
        <f>IF(COUNTBLANK(B190:E190)&lt;&gt;COLUMNS(B190:E190),189,"")</f>
        <v>0</v>
      </c>
      <c r="C190" s="1">
        <f>IF(B190="", "", "other")</f>
        <v>0</v>
      </c>
      <c r="D190" s="1">
        <f>IF(B190="", "", "metagenome")</f>
        <v>0</v>
      </c>
      <c r="E190" s="1">
        <f>IF(B190="", "", "256318")</f>
        <v>0</v>
      </c>
    </row>
    <row r="191" spans="1:5">
      <c r="A191">
        <f>IF(COUNTBLANK(B191:E191)&lt;&gt;COLUMNS(B191:E191),190,"")</f>
        <v>0</v>
      </c>
      <c r="C191" s="1">
        <f>IF(B191="", "", "other")</f>
        <v>0</v>
      </c>
      <c r="D191" s="1">
        <f>IF(B191="", "", "metagenome")</f>
        <v>0</v>
      </c>
      <c r="E191" s="1">
        <f>IF(B191="", "", "256318")</f>
        <v>0</v>
      </c>
    </row>
    <row r="192" spans="1:5">
      <c r="A192">
        <f>IF(COUNTBLANK(B192:E192)&lt;&gt;COLUMNS(B192:E192),191,"")</f>
        <v>0</v>
      </c>
      <c r="C192" s="1">
        <f>IF(B192="", "", "other")</f>
        <v>0</v>
      </c>
      <c r="D192" s="1">
        <f>IF(B192="", "", "metagenome")</f>
        <v>0</v>
      </c>
      <c r="E192" s="1">
        <f>IF(B192="", "", "256318")</f>
        <v>0</v>
      </c>
    </row>
    <row r="193" spans="1:5">
      <c r="A193">
        <f>IF(COUNTBLANK(B193:E193)&lt;&gt;COLUMNS(B193:E193),192,"")</f>
        <v>0</v>
      </c>
      <c r="C193" s="1">
        <f>IF(B193="", "", "other")</f>
        <v>0</v>
      </c>
      <c r="D193" s="1">
        <f>IF(B193="", "", "metagenome")</f>
        <v>0</v>
      </c>
      <c r="E193" s="1">
        <f>IF(B193="", "", "256318")</f>
        <v>0</v>
      </c>
    </row>
    <row r="194" spans="1:5">
      <c r="A194">
        <f>IF(COUNTBLANK(B194:E194)&lt;&gt;COLUMNS(B194:E194),193,"")</f>
        <v>0</v>
      </c>
      <c r="C194" s="1">
        <f>IF(B194="", "", "other")</f>
        <v>0</v>
      </c>
      <c r="D194" s="1">
        <f>IF(B194="", "", "metagenome")</f>
        <v>0</v>
      </c>
      <c r="E194" s="1">
        <f>IF(B194="", "", "256318")</f>
        <v>0</v>
      </c>
    </row>
    <row r="195" spans="1:5">
      <c r="A195">
        <f>IF(COUNTBLANK(B195:E195)&lt;&gt;COLUMNS(B195:E195),194,"")</f>
        <v>0</v>
      </c>
      <c r="C195" s="1">
        <f>IF(B195="", "", "other")</f>
        <v>0</v>
      </c>
      <c r="D195" s="1">
        <f>IF(B195="", "", "metagenome")</f>
        <v>0</v>
      </c>
      <c r="E195" s="1">
        <f>IF(B195="", "", "256318")</f>
        <v>0</v>
      </c>
    </row>
    <row r="196" spans="1:5">
      <c r="A196">
        <f>IF(COUNTBLANK(B196:E196)&lt;&gt;COLUMNS(B196:E196),195,"")</f>
        <v>0</v>
      </c>
      <c r="C196" s="1">
        <f>IF(B196="", "", "other")</f>
        <v>0</v>
      </c>
      <c r="D196" s="1">
        <f>IF(B196="", "", "metagenome")</f>
        <v>0</v>
      </c>
      <c r="E196" s="1">
        <f>IF(B196="", "", "256318")</f>
        <v>0</v>
      </c>
    </row>
    <row r="197" spans="1:5">
      <c r="A197">
        <f>IF(COUNTBLANK(B197:E197)&lt;&gt;COLUMNS(B197:E197),196,"")</f>
        <v>0</v>
      </c>
      <c r="C197" s="1">
        <f>IF(B197="", "", "other")</f>
        <v>0</v>
      </c>
      <c r="D197" s="1">
        <f>IF(B197="", "", "metagenome")</f>
        <v>0</v>
      </c>
      <c r="E197" s="1">
        <f>IF(B197="", "", "256318")</f>
        <v>0</v>
      </c>
    </row>
    <row r="198" spans="1:5">
      <c r="A198">
        <f>IF(COUNTBLANK(B198:E198)&lt;&gt;COLUMNS(B198:E198),197,"")</f>
        <v>0</v>
      </c>
      <c r="C198" s="1">
        <f>IF(B198="", "", "other")</f>
        <v>0</v>
      </c>
      <c r="D198" s="1">
        <f>IF(B198="", "", "metagenome")</f>
        <v>0</v>
      </c>
      <c r="E198" s="1">
        <f>IF(B198="", "", "256318")</f>
        <v>0</v>
      </c>
    </row>
    <row r="199" spans="1:5">
      <c r="A199">
        <f>IF(COUNTBLANK(B199:E199)&lt;&gt;COLUMNS(B199:E199),198,"")</f>
        <v>0</v>
      </c>
      <c r="C199" s="1">
        <f>IF(B199="", "", "other")</f>
        <v>0</v>
      </c>
      <c r="D199" s="1">
        <f>IF(B199="", "", "metagenome")</f>
        <v>0</v>
      </c>
      <c r="E199" s="1">
        <f>IF(B199="", "", "256318")</f>
        <v>0</v>
      </c>
    </row>
    <row r="200" spans="1:5">
      <c r="A200">
        <f>IF(COUNTBLANK(B200:E200)&lt;&gt;COLUMNS(B200:E200),199,"")</f>
        <v>0</v>
      </c>
      <c r="C200" s="1">
        <f>IF(B200="", "", "other")</f>
        <v>0</v>
      </c>
      <c r="D200" s="1">
        <f>IF(B200="", "", "metagenome")</f>
        <v>0</v>
      </c>
      <c r="E200" s="1">
        <f>IF(B200="", "", "256318")</f>
        <v>0</v>
      </c>
    </row>
    <row r="201" spans="1:5">
      <c r="A201">
        <f>IF(COUNTBLANK(B201:E201)&lt;&gt;COLUMNS(B201:E201),200,"")</f>
        <v>0</v>
      </c>
      <c r="C201" s="1">
        <f>IF(B201="", "", "other")</f>
        <v>0</v>
      </c>
      <c r="D201" s="1">
        <f>IF(B201="", "", "metagenome")</f>
        <v>0</v>
      </c>
      <c r="E201" s="1">
        <f>IF(B201="", "", "256318")</f>
        <v>0</v>
      </c>
    </row>
    <row r="202" spans="1:5">
      <c r="A202">
        <f>IF(COUNTBLANK(B202:E202)&lt;&gt;COLUMNS(B202:E202),201,"")</f>
        <v>0</v>
      </c>
      <c r="C202" s="1">
        <f>IF(B202="", "", "other")</f>
        <v>0</v>
      </c>
      <c r="D202" s="1">
        <f>IF(B202="", "", "metagenome")</f>
        <v>0</v>
      </c>
      <c r="E202" s="1">
        <f>IF(B202="", "", "256318")</f>
        <v>0</v>
      </c>
    </row>
    <row r="203" spans="1:5">
      <c r="A203">
        <f>IF(COUNTBLANK(B203:E203)&lt;&gt;COLUMNS(B203:E203),202,"")</f>
        <v>0</v>
      </c>
      <c r="C203" s="1">
        <f>IF(B203="", "", "other")</f>
        <v>0</v>
      </c>
      <c r="D203" s="1">
        <f>IF(B203="", "", "metagenome")</f>
        <v>0</v>
      </c>
      <c r="E203" s="1">
        <f>IF(B203="", "", "256318")</f>
        <v>0</v>
      </c>
    </row>
    <row r="204" spans="1:5">
      <c r="A204">
        <f>IF(COUNTBLANK(B204:E204)&lt;&gt;COLUMNS(B204:E204),203,"")</f>
        <v>0</v>
      </c>
      <c r="C204" s="1">
        <f>IF(B204="", "", "other")</f>
        <v>0</v>
      </c>
      <c r="D204" s="1">
        <f>IF(B204="", "", "metagenome")</f>
        <v>0</v>
      </c>
      <c r="E204" s="1">
        <f>IF(B204="", "", "256318")</f>
        <v>0</v>
      </c>
    </row>
    <row r="205" spans="1:5">
      <c r="A205">
        <f>IF(COUNTBLANK(B205:E205)&lt;&gt;COLUMNS(B205:E205),204,"")</f>
        <v>0</v>
      </c>
      <c r="C205" s="1">
        <f>IF(B205="", "", "other")</f>
        <v>0</v>
      </c>
      <c r="D205" s="1">
        <f>IF(B205="", "", "metagenome")</f>
        <v>0</v>
      </c>
      <c r="E205" s="1">
        <f>IF(B205="", "", "256318")</f>
        <v>0</v>
      </c>
    </row>
    <row r="206" spans="1:5">
      <c r="A206">
        <f>IF(COUNTBLANK(B206:E206)&lt;&gt;COLUMNS(B206:E206),205,"")</f>
        <v>0</v>
      </c>
      <c r="C206" s="1">
        <f>IF(B206="", "", "other")</f>
        <v>0</v>
      </c>
      <c r="D206" s="1">
        <f>IF(B206="", "", "metagenome")</f>
        <v>0</v>
      </c>
      <c r="E206" s="1">
        <f>IF(B206="", "", "256318")</f>
        <v>0</v>
      </c>
    </row>
    <row r="207" spans="1:5">
      <c r="A207">
        <f>IF(COUNTBLANK(B207:E207)&lt;&gt;COLUMNS(B207:E207),206,"")</f>
        <v>0</v>
      </c>
      <c r="C207" s="1">
        <f>IF(B207="", "", "other")</f>
        <v>0</v>
      </c>
      <c r="D207" s="1">
        <f>IF(B207="", "", "metagenome")</f>
        <v>0</v>
      </c>
      <c r="E207" s="1">
        <f>IF(B207="", "", "256318")</f>
        <v>0</v>
      </c>
    </row>
    <row r="208" spans="1:5">
      <c r="A208">
        <f>IF(COUNTBLANK(B208:E208)&lt;&gt;COLUMNS(B208:E208),207,"")</f>
        <v>0</v>
      </c>
      <c r="C208" s="1">
        <f>IF(B208="", "", "other")</f>
        <v>0</v>
      </c>
      <c r="D208" s="1">
        <f>IF(B208="", "", "metagenome")</f>
        <v>0</v>
      </c>
      <c r="E208" s="1">
        <f>IF(B208="", "", "256318")</f>
        <v>0</v>
      </c>
    </row>
    <row r="209" spans="1:5">
      <c r="A209">
        <f>IF(COUNTBLANK(B209:E209)&lt;&gt;COLUMNS(B209:E209),208,"")</f>
        <v>0</v>
      </c>
      <c r="C209" s="1">
        <f>IF(B209="", "", "other")</f>
        <v>0</v>
      </c>
      <c r="D209" s="1">
        <f>IF(B209="", "", "metagenome")</f>
        <v>0</v>
      </c>
      <c r="E209" s="1">
        <f>IF(B209="", "", "256318")</f>
        <v>0</v>
      </c>
    </row>
    <row r="210" spans="1:5">
      <c r="A210">
        <f>IF(COUNTBLANK(B210:E210)&lt;&gt;COLUMNS(B210:E210),209,"")</f>
        <v>0</v>
      </c>
      <c r="C210" s="1">
        <f>IF(B210="", "", "other")</f>
        <v>0</v>
      </c>
      <c r="D210" s="1">
        <f>IF(B210="", "", "metagenome")</f>
        <v>0</v>
      </c>
      <c r="E210" s="1">
        <f>IF(B210="", "", "256318")</f>
        <v>0</v>
      </c>
    </row>
    <row r="211" spans="1:5">
      <c r="A211">
        <f>IF(COUNTBLANK(B211:E211)&lt;&gt;COLUMNS(B211:E211),210,"")</f>
        <v>0</v>
      </c>
      <c r="C211" s="1">
        <f>IF(B211="", "", "other")</f>
        <v>0</v>
      </c>
      <c r="D211" s="1">
        <f>IF(B211="", "", "metagenome")</f>
        <v>0</v>
      </c>
      <c r="E211" s="1">
        <f>IF(B211="", "", "256318")</f>
        <v>0</v>
      </c>
    </row>
    <row r="212" spans="1:5">
      <c r="A212">
        <f>IF(COUNTBLANK(B212:E212)&lt;&gt;COLUMNS(B212:E212),211,"")</f>
        <v>0</v>
      </c>
      <c r="C212" s="1">
        <f>IF(B212="", "", "other")</f>
        <v>0</v>
      </c>
      <c r="D212" s="1">
        <f>IF(B212="", "", "metagenome")</f>
        <v>0</v>
      </c>
      <c r="E212" s="1">
        <f>IF(B212="", "", "256318")</f>
        <v>0</v>
      </c>
    </row>
    <row r="213" spans="1:5">
      <c r="A213">
        <f>IF(COUNTBLANK(B213:E213)&lt;&gt;COLUMNS(B213:E213),212,"")</f>
        <v>0</v>
      </c>
      <c r="C213" s="1">
        <f>IF(B213="", "", "other")</f>
        <v>0</v>
      </c>
      <c r="D213" s="1">
        <f>IF(B213="", "", "metagenome")</f>
        <v>0</v>
      </c>
      <c r="E213" s="1">
        <f>IF(B213="", "", "256318")</f>
        <v>0</v>
      </c>
    </row>
    <row r="214" spans="1:5">
      <c r="A214">
        <f>IF(COUNTBLANK(B214:E214)&lt;&gt;COLUMNS(B214:E214),213,"")</f>
        <v>0</v>
      </c>
      <c r="C214" s="1">
        <f>IF(B214="", "", "other")</f>
        <v>0</v>
      </c>
      <c r="D214" s="1">
        <f>IF(B214="", "", "metagenome")</f>
        <v>0</v>
      </c>
      <c r="E214" s="1">
        <f>IF(B214="", "", "256318")</f>
        <v>0</v>
      </c>
    </row>
    <row r="215" spans="1:5">
      <c r="A215">
        <f>IF(COUNTBLANK(B215:E215)&lt;&gt;COLUMNS(B215:E215),214,"")</f>
        <v>0</v>
      </c>
      <c r="C215" s="1">
        <f>IF(B215="", "", "other")</f>
        <v>0</v>
      </c>
      <c r="D215" s="1">
        <f>IF(B215="", "", "metagenome")</f>
        <v>0</v>
      </c>
      <c r="E215" s="1">
        <f>IF(B215="", "", "256318")</f>
        <v>0</v>
      </c>
    </row>
    <row r="216" spans="1:5">
      <c r="A216">
        <f>IF(COUNTBLANK(B216:E216)&lt;&gt;COLUMNS(B216:E216),215,"")</f>
        <v>0</v>
      </c>
      <c r="C216" s="1">
        <f>IF(B216="", "", "other")</f>
        <v>0</v>
      </c>
      <c r="D216" s="1">
        <f>IF(B216="", "", "metagenome")</f>
        <v>0</v>
      </c>
      <c r="E216" s="1">
        <f>IF(B216="", "", "256318")</f>
        <v>0</v>
      </c>
    </row>
    <row r="217" spans="1:5">
      <c r="A217">
        <f>IF(COUNTBLANK(B217:E217)&lt;&gt;COLUMNS(B217:E217),216,"")</f>
        <v>0</v>
      </c>
      <c r="C217" s="1">
        <f>IF(B217="", "", "other")</f>
        <v>0</v>
      </c>
      <c r="D217" s="1">
        <f>IF(B217="", "", "metagenome")</f>
        <v>0</v>
      </c>
      <c r="E217" s="1">
        <f>IF(B217="", "", "256318")</f>
        <v>0</v>
      </c>
    </row>
    <row r="218" spans="1:5">
      <c r="A218">
        <f>IF(COUNTBLANK(B218:E218)&lt;&gt;COLUMNS(B218:E218),217,"")</f>
        <v>0</v>
      </c>
      <c r="C218" s="1">
        <f>IF(B218="", "", "other")</f>
        <v>0</v>
      </c>
      <c r="D218" s="1">
        <f>IF(B218="", "", "metagenome")</f>
        <v>0</v>
      </c>
      <c r="E218" s="1">
        <f>IF(B218="", "", "256318")</f>
        <v>0</v>
      </c>
    </row>
    <row r="219" spans="1:5">
      <c r="A219">
        <f>IF(COUNTBLANK(B219:E219)&lt;&gt;COLUMNS(B219:E219),218,"")</f>
        <v>0</v>
      </c>
      <c r="C219" s="1">
        <f>IF(B219="", "", "other")</f>
        <v>0</v>
      </c>
      <c r="D219" s="1">
        <f>IF(B219="", "", "metagenome")</f>
        <v>0</v>
      </c>
      <c r="E219" s="1">
        <f>IF(B219="", "", "256318")</f>
        <v>0</v>
      </c>
    </row>
    <row r="220" spans="1:5">
      <c r="A220">
        <f>IF(COUNTBLANK(B220:E220)&lt;&gt;COLUMNS(B220:E220),219,"")</f>
        <v>0</v>
      </c>
      <c r="C220" s="1">
        <f>IF(B220="", "", "other")</f>
        <v>0</v>
      </c>
      <c r="D220" s="1">
        <f>IF(B220="", "", "metagenome")</f>
        <v>0</v>
      </c>
      <c r="E220" s="1">
        <f>IF(B220="", "", "256318")</f>
        <v>0</v>
      </c>
    </row>
    <row r="221" spans="1:5">
      <c r="A221">
        <f>IF(COUNTBLANK(B221:E221)&lt;&gt;COLUMNS(B221:E221),220,"")</f>
        <v>0</v>
      </c>
      <c r="C221" s="1">
        <f>IF(B221="", "", "other")</f>
        <v>0</v>
      </c>
      <c r="D221" s="1">
        <f>IF(B221="", "", "metagenome")</f>
        <v>0</v>
      </c>
      <c r="E221" s="1">
        <f>IF(B221="", "", "256318")</f>
        <v>0</v>
      </c>
    </row>
    <row r="222" spans="1:5">
      <c r="A222">
        <f>IF(COUNTBLANK(B222:E222)&lt;&gt;COLUMNS(B222:E222),221,"")</f>
        <v>0</v>
      </c>
      <c r="C222" s="1">
        <f>IF(B222="", "", "other")</f>
        <v>0</v>
      </c>
      <c r="D222" s="1">
        <f>IF(B222="", "", "metagenome")</f>
        <v>0</v>
      </c>
      <c r="E222" s="1">
        <f>IF(B222="", "", "256318")</f>
        <v>0</v>
      </c>
    </row>
    <row r="223" spans="1:5">
      <c r="A223">
        <f>IF(COUNTBLANK(B223:E223)&lt;&gt;COLUMNS(B223:E223),222,"")</f>
        <v>0</v>
      </c>
      <c r="C223" s="1">
        <f>IF(B223="", "", "other")</f>
        <v>0</v>
      </c>
      <c r="D223" s="1">
        <f>IF(B223="", "", "metagenome")</f>
        <v>0</v>
      </c>
      <c r="E223" s="1">
        <f>IF(B223="", "", "256318")</f>
        <v>0</v>
      </c>
    </row>
    <row r="224" spans="1:5">
      <c r="A224">
        <f>IF(COUNTBLANK(B224:E224)&lt;&gt;COLUMNS(B224:E224),223,"")</f>
        <v>0</v>
      </c>
      <c r="C224" s="1">
        <f>IF(B224="", "", "other")</f>
        <v>0</v>
      </c>
      <c r="D224" s="1">
        <f>IF(B224="", "", "metagenome")</f>
        <v>0</v>
      </c>
      <c r="E224" s="1">
        <f>IF(B224="", "", "256318")</f>
        <v>0</v>
      </c>
    </row>
    <row r="225" spans="1:5">
      <c r="A225">
        <f>IF(COUNTBLANK(B225:E225)&lt;&gt;COLUMNS(B225:E225),224,"")</f>
        <v>0</v>
      </c>
      <c r="C225" s="1">
        <f>IF(B225="", "", "other")</f>
        <v>0</v>
      </c>
      <c r="D225" s="1">
        <f>IF(B225="", "", "metagenome")</f>
        <v>0</v>
      </c>
      <c r="E225" s="1">
        <f>IF(B225="", "", "256318")</f>
        <v>0</v>
      </c>
    </row>
    <row r="226" spans="1:5">
      <c r="A226">
        <f>IF(COUNTBLANK(B226:E226)&lt;&gt;COLUMNS(B226:E226),225,"")</f>
        <v>0</v>
      </c>
      <c r="C226" s="1">
        <f>IF(B226="", "", "other")</f>
        <v>0</v>
      </c>
      <c r="D226" s="1">
        <f>IF(B226="", "", "metagenome")</f>
        <v>0</v>
      </c>
      <c r="E226" s="1">
        <f>IF(B226="", "", "256318")</f>
        <v>0</v>
      </c>
    </row>
    <row r="227" spans="1:5">
      <c r="A227">
        <f>IF(COUNTBLANK(B227:E227)&lt;&gt;COLUMNS(B227:E227),226,"")</f>
        <v>0</v>
      </c>
      <c r="C227" s="1">
        <f>IF(B227="", "", "other")</f>
        <v>0</v>
      </c>
      <c r="D227" s="1">
        <f>IF(B227="", "", "metagenome")</f>
        <v>0</v>
      </c>
      <c r="E227" s="1">
        <f>IF(B227="", "", "256318")</f>
        <v>0</v>
      </c>
    </row>
    <row r="228" spans="1:5">
      <c r="A228">
        <f>IF(COUNTBLANK(B228:E228)&lt;&gt;COLUMNS(B228:E228),227,"")</f>
        <v>0</v>
      </c>
      <c r="C228" s="1">
        <f>IF(B228="", "", "other")</f>
        <v>0</v>
      </c>
      <c r="D228" s="1">
        <f>IF(B228="", "", "metagenome")</f>
        <v>0</v>
      </c>
      <c r="E228" s="1">
        <f>IF(B228="", "", "256318")</f>
        <v>0</v>
      </c>
    </row>
    <row r="229" spans="1:5">
      <c r="A229">
        <f>IF(COUNTBLANK(B229:E229)&lt;&gt;COLUMNS(B229:E229),228,"")</f>
        <v>0</v>
      </c>
      <c r="C229" s="1">
        <f>IF(B229="", "", "other")</f>
        <v>0</v>
      </c>
      <c r="D229" s="1">
        <f>IF(B229="", "", "metagenome")</f>
        <v>0</v>
      </c>
      <c r="E229" s="1">
        <f>IF(B229="", "", "256318")</f>
        <v>0</v>
      </c>
    </row>
    <row r="230" spans="1:5">
      <c r="A230">
        <f>IF(COUNTBLANK(B230:E230)&lt;&gt;COLUMNS(B230:E230),229,"")</f>
        <v>0</v>
      </c>
      <c r="C230" s="1">
        <f>IF(B230="", "", "other")</f>
        <v>0</v>
      </c>
      <c r="D230" s="1">
        <f>IF(B230="", "", "metagenome")</f>
        <v>0</v>
      </c>
      <c r="E230" s="1">
        <f>IF(B230="", "", "256318")</f>
        <v>0</v>
      </c>
    </row>
    <row r="231" spans="1:5">
      <c r="A231">
        <f>IF(COUNTBLANK(B231:E231)&lt;&gt;COLUMNS(B231:E231),230,"")</f>
        <v>0</v>
      </c>
      <c r="C231" s="1">
        <f>IF(B231="", "", "other")</f>
        <v>0</v>
      </c>
      <c r="D231" s="1">
        <f>IF(B231="", "", "metagenome")</f>
        <v>0</v>
      </c>
      <c r="E231" s="1">
        <f>IF(B231="", "", "256318")</f>
        <v>0</v>
      </c>
    </row>
    <row r="232" spans="1:5">
      <c r="A232">
        <f>IF(COUNTBLANK(B232:E232)&lt;&gt;COLUMNS(B232:E232),231,"")</f>
        <v>0</v>
      </c>
      <c r="C232" s="1">
        <f>IF(B232="", "", "other")</f>
        <v>0</v>
      </c>
      <c r="D232" s="1">
        <f>IF(B232="", "", "metagenome")</f>
        <v>0</v>
      </c>
      <c r="E232" s="1">
        <f>IF(B232="", "", "256318")</f>
        <v>0</v>
      </c>
    </row>
    <row r="233" spans="1:5">
      <c r="A233">
        <f>IF(COUNTBLANK(B233:E233)&lt;&gt;COLUMNS(B233:E233),232,"")</f>
        <v>0</v>
      </c>
      <c r="C233" s="1">
        <f>IF(B233="", "", "other")</f>
        <v>0</v>
      </c>
      <c r="D233" s="1">
        <f>IF(B233="", "", "metagenome")</f>
        <v>0</v>
      </c>
      <c r="E233" s="1">
        <f>IF(B233="", "", "256318")</f>
        <v>0</v>
      </c>
    </row>
    <row r="234" spans="1:5">
      <c r="A234">
        <f>IF(COUNTBLANK(B234:E234)&lt;&gt;COLUMNS(B234:E234),233,"")</f>
        <v>0</v>
      </c>
      <c r="C234" s="1">
        <f>IF(B234="", "", "other")</f>
        <v>0</v>
      </c>
      <c r="D234" s="1">
        <f>IF(B234="", "", "metagenome")</f>
        <v>0</v>
      </c>
      <c r="E234" s="1">
        <f>IF(B234="", "", "256318")</f>
        <v>0</v>
      </c>
    </row>
    <row r="235" spans="1:5">
      <c r="A235">
        <f>IF(COUNTBLANK(B235:E235)&lt;&gt;COLUMNS(B235:E235),234,"")</f>
        <v>0</v>
      </c>
      <c r="C235" s="1">
        <f>IF(B235="", "", "other")</f>
        <v>0</v>
      </c>
      <c r="D235" s="1">
        <f>IF(B235="", "", "metagenome")</f>
        <v>0</v>
      </c>
      <c r="E235" s="1">
        <f>IF(B235="", "", "256318")</f>
        <v>0</v>
      </c>
    </row>
    <row r="236" spans="1:5">
      <c r="A236">
        <f>IF(COUNTBLANK(B236:E236)&lt;&gt;COLUMNS(B236:E236),235,"")</f>
        <v>0</v>
      </c>
      <c r="C236" s="1">
        <f>IF(B236="", "", "other")</f>
        <v>0</v>
      </c>
      <c r="D236" s="1">
        <f>IF(B236="", "", "metagenome")</f>
        <v>0</v>
      </c>
      <c r="E236" s="1">
        <f>IF(B236="", "", "256318")</f>
        <v>0</v>
      </c>
    </row>
    <row r="237" spans="1:5">
      <c r="A237">
        <f>IF(COUNTBLANK(B237:E237)&lt;&gt;COLUMNS(B237:E237),236,"")</f>
        <v>0</v>
      </c>
      <c r="C237" s="1">
        <f>IF(B237="", "", "other")</f>
        <v>0</v>
      </c>
      <c r="D237" s="1">
        <f>IF(B237="", "", "metagenome")</f>
        <v>0</v>
      </c>
      <c r="E237" s="1">
        <f>IF(B237="", "", "256318")</f>
        <v>0</v>
      </c>
    </row>
    <row r="238" spans="1:5">
      <c r="A238">
        <f>IF(COUNTBLANK(B238:E238)&lt;&gt;COLUMNS(B238:E238),237,"")</f>
        <v>0</v>
      </c>
      <c r="C238" s="1">
        <f>IF(B238="", "", "other")</f>
        <v>0</v>
      </c>
      <c r="D238" s="1">
        <f>IF(B238="", "", "metagenome")</f>
        <v>0</v>
      </c>
      <c r="E238" s="1">
        <f>IF(B238="", "", "256318")</f>
        <v>0</v>
      </c>
    </row>
    <row r="239" spans="1:5">
      <c r="A239">
        <f>IF(COUNTBLANK(B239:E239)&lt;&gt;COLUMNS(B239:E239),238,"")</f>
        <v>0</v>
      </c>
      <c r="C239" s="1">
        <f>IF(B239="", "", "other")</f>
        <v>0</v>
      </c>
      <c r="D239" s="1">
        <f>IF(B239="", "", "metagenome")</f>
        <v>0</v>
      </c>
      <c r="E239" s="1">
        <f>IF(B239="", "", "256318")</f>
        <v>0</v>
      </c>
    </row>
    <row r="240" spans="1:5">
      <c r="A240">
        <f>IF(COUNTBLANK(B240:E240)&lt;&gt;COLUMNS(B240:E240),239,"")</f>
        <v>0</v>
      </c>
      <c r="C240" s="1">
        <f>IF(B240="", "", "other")</f>
        <v>0</v>
      </c>
      <c r="D240" s="1">
        <f>IF(B240="", "", "metagenome")</f>
        <v>0</v>
      </c>
      <c r="E240" s="1">
        <f>IF(B240="", "", "256318")</f>
        <v>0</v>
      </c>
    </row>
    <row r="241" spans="1:5">
      <c r="A241">
        <f>IF(COUNTBLANK(B241:E241)&lt;&gt;COLUMNS(B241:E241),240,"")</f>
        <v>0</v>
      </c>
      <c r="C241" s="1">
        <f>IF(B241="", "", "other")</f>
        <v>0</v>
      </c>
      <c r="D241" s="1">
        <f>IF(B241="", "", "metagenome")</f>
        <v>0</v>
      </c>
      <c r="E241" s="1">
        <f>IF(B241="", "", "256318")</f>
        <v>0</v>
      </c>
    </row>
    <row r="242" spans="1:5">
      <c r="A242">
        <f>IF(COUNTBLANK(B242:E242)&lt;&gt;COLUMNS(B242:E242),241,"")</f>
        <v>0</v>
      </c>
      <c r="C242" s="1">
        <f>IF(B242="", "", "other")</f>
        <v>0</v>
      </c>
      <c r="D242" s="1">
        <f>IF(B242="", "", "metagenome")</f>
        <v>0</v>
      </c>
      <c r="E242" s="1">
        <f>IF(B242="", "", "256318")</f>
        <v>0</v>
      </c>
    </row>
    <row r="243" spans="1:5">
      <c r="A243">
        <f>IF(COUNTBLANK(B243:E243)&lt;&gt;COLUMNS(B243:E243),242,"")</f>
        <v>0</v>
      </c>
      <c r="C243" s="1">
        <f>IF(B243="", "", "other")</f>
        <v>0</v>
      </c>
      <c r="D243" s="1">
        <f>IF(B243="", "", "metagenome")</f>
        <v>0</v>
      </c>
      <c r="E243" s="1">
        <f>IF(B243="", "", "256318")</f>
        <v>0</v>
      </c>
    </row>
    <row r="244" spans="1:5">
      <c r="A244">
        <f>IF(COUNTBLANK(B244:E244)&lt;&gt;COLUMNS(B244:E244),243,"")</f>
        <v>0</v>
      </c>
      <c r="C244" s="1">
        <f>IF(B244="", "", "other")</f>
        <v>0</v>
      </c>
      <c r="D244" s="1">
        <f>IF(B244="", "", "metagenome")</f>
        <v>0</v>
      </c>
      <c r="E244" s="1">
        <f>IF(B244="", "", "256318")</f>
        <v>0</v>
      </c>
    </row>
    <row r="245" spans="1:5">
      <c r="A245">
        <f>IF(COUNTBLANK(B245:E245)&lt;&gt;COLUMNS(B245:E245),244,"")</f>
        <v>0</v>
      </c>
      <c r="C245" s="1">
        <f>IF(B245="", "", "other")</f>
        <v>0</v>
      </c>
      <c r="D245" s="1">
        <f>IF(B245="", "", "metagenome")</f>
        <v>0</v>
      </c>
      <c r="E245" s="1">
        <f>IF(B245="", "", "256318")</f>
        <v>0</v>
      </c>
    </row>
    <row r="246" spans="1:5">
      <c r="A246">
        <f>IF(COUNTBLANK(B246:E246)&lt;&gt;COLUMNS(B246:E246),245,"")</f>
        <v>0</v>
      </c>
      <c r="C246" s="1">
        <f>IF(B246="", "", "other")</f>
        <v>0</v>
      </c>
      <c r="D246" s="1">
        <f>IF(B246="", "", "metagenome")</f>
        <v>0</v>
      </c>
      <c r="E246" s="1">
        <f>IF(B246="", "", "256318")</f>
        <v>0</v>
      </c>
    </row>
    <row r="247" spans="1:5">
      <c r="A247">
        <f>IF(COUNTBLANK(B247:E247)&lt;&gt;COLUMNS(B247:E247),246,"")</f>
        <v>0</v>
      </c>
      <c r="C247" s="1">
        <f>IF(B247="", "", "other")</f>
        <v>0</v>
      </c>
      <c r="D247" s="1">
        <f>IF(B247="", "", "metagenome")</f>
        <v>0</v>
      </c>
      <c r="E247" s="1">
        <f>IF(B247="", "", "256318")</f>
        <v>0</v>
      </c>
    </row>
    <row r="248" spans="1:5">
      <c r="A248">
        <f>IF(COUNTBLANK(B248:E248)&lt;&gt;COLUMNS(B248:E248),247,"")</f>
        <v>0</v>
      </c>
      <c r="C248" s="1">
        <f>IF(B248="", "", "other")</f>
        <v>0</v>
      </c>
      <c r="D248" s="1">
        <f>IF(B248="", "", "metagenome")</f>
        <v>0</v>
      </c>
      <c r="E248" s="1">
        <f>IF(B248="", "", "256318")</f>
        <v>0</v>
      </c>
    </row>
    <row r="249" spans="1:5">
      <c r="A249">
        <f>IF(COUNTBLANK(B249:E249)&lt;&gt;COLUMNS(B249:E249),248,"")</f>
        <v>0</v>
      </c>
      <c r="C249" s="1">
        <f>IF(B249="", "", "other")</f>
        <v>0</v>
      </c>
      <c r="D249" s="1">
        <f>IF(B249="", "", "metagenome")</f>
        <v>0</v>
      </c>
      <c r="E249" s="1">
        <f>IF(B249="", "", "256318")</f>
        <v>0</v>
      </c>
    </row>
    <row r="250" spans="1:5">
      <c r="A250">
        <f>IF(COUNTBLANK(B250:E250)&lt;&gt;COLUMNS(B250:E250),249,"")</f>
        <v>0</v>
      </c>
      <c r="C250" s="1">
        <f>IF(B250="", "", "other")</f>
        <v>0</v>
      </c>
      <c r="D250" s="1">
        <f>IF(B250="", "", "metagenome")</f>
        <v>0</v>
      </c>
      <c r="E250" s="1">
        <f>IF(B250="", "", "256318")</f>
        <v>0</v>
      </c>
    </row>
    <row r="251" spans="1:5">
      <c r="A251">
        <f>IF(COUNTBLANK(B251:E251)&lt;&gt;COLUMNS(B251:E251),250,"")</f>
        <v>0</v>
      </c>
      <c r="C251" s="1">
        <f>IF(B251="", "", "other")</f>
        <v>0</v>
      </c>
      <c r="D251" s="1">
        <f>IF(B251="", "", "metagenome")</f>
        <v>0</v>
      </c>
      <c r="E251" s="1">
        <f>IF(B251="", "", "256318")</f>
        <v>0</v>
      </c>
    </row>
    <row r="252" spans="1:5">
      <c r="A252">
        <f>IF(COUNTBLANK(B252:E252)&lt;&gt;COLUMNS(B252:E252),251,"")</f>
        <v>0</v>
      </c>
      <c r="C252" s="1">
        <f>IF(B252="", "", "other")</f>
        <v>0</v>
      </c>
      <c r="D252" s="1">
        <f>IF(B252="", "", "metagenome")</f>
        <v>0</v>
      </c>
      <c r="E252" s="1">
        <f>IF(B252="", "", "256318")</f>
        <v>0</v>
      </c>
    </row>
    <row r="253" spans="1:5">
      <c r="A253">
        <f>IF(COUNTBLANK(B253:E253)&lt;&gt;COLUMNS(B253:E253),252,"")</f>
        <v>0</v>
      </c>
      <c r="C253" s="1">
        <f>IF(B253="", "", "other")</f>
        <v>0</v>
      </c>
      <c r="D253" s="1">
        <f>IF(B253="", "", "metagenome")</f>
        <v>0</v>
      </c>
      <c r="E253" s="1">
        <f>IF(B253="", "", "256318")</f>
        <v>0</v>
      </c>
    </row>
    <row r="254" spans="1:5">
      <c r="A254">
        <f>IF(COUNTBLANK(B254:E254)&lt;&gt;COLUMNS(B254:E254),253,"")</f>
        <v>0</v>
      </c>
      <c r="C254" s="1">
        <f>IF(B254="", "", "other")</f>
        <v>0</v>
      </c>
      <c r="D254" s="1">
        <f>IF(B254="", "", "metagenome")</f>
        <v>0</v>
      </c>
      <c r="E254" s="1">
        <f>IF(B254="", "", "256318")</f>
        <v>0</v>
      </c>
    </row>
    <row r="255" spans="1:5">
      <c r="A255">
        <f>IF(COUNTBLANK(B255:E255)&lt;&gt;COLUMNS(B255:E255),254,"")</f>
        <v>0</v>
      </c>
      <c r="C255" s="1">
        <f>IF(B255="", "", "other")</f>
        <v>0</v>
      </c>
      <c r="D255" s="1">
        <f>IF(B255="", "", "metagenome")</f>
        <v>0</v>
      </c>
      <c r="E255" s="1">
        <f>IF(B255="", "", "256318")</f>
        <v>0</v>
      </c>
    </row>
    <row r="256" spans="1:5">
      <c r="A256">
        <f>IF(COUNTBLANK(B256:E256)&lt;&gt;COLUMNS(B256:E256),255,"")</f>
        <v>0</v>
      </c>
      <c r="C256" s="1">
        <f>IF(B256="", "", "other")</f>
        <v>0</v>
      </c>
      <c r="D256" s="1">
        <f>IF(B256="", "", "metagenome")</f>
        <v>0</v>
      </c>
      <c r="E256" s="1">
        <f>IF(B256="", "", "256318")</f>
        <v>0</v>
      </c>
    </row>
    <row r="257" spans="1:5">
      <c r="A257">
        <f>IF(COUNTBLANK(B257:E257)&lt;&gt;COLUMNS(B257:E257),256,"")</f>
        <v>0</v>
      </c>
      <c r="C257" s="1">
        <f>IF(B257="", "", "other")</f>
        <v>0</v>
      </c>
      <c r="D257" s="1">
        <f>IF(B257="", "", "metagenome")</f>
        <v>0</v>
      </c>
      <c r="E257" s="1">
        <f>IF(B257="", "", "256318")</f>
        <v>0</v>
      </c>
    </row>
    <row r="258" spans="1:5">
      <c r="A258">
        <f>IF(COUNTBLANK(B258:E258)&lt;&gt;COLUMNS(B258:E258),257,"")</f>
        <v>0</v>
      </c>
      <c r="C258" s="1">
        <f>IF(B258="", "", "other")</f>
        <v>0</v>
      </c>
      <c r="D258" s="1">
        <f>IF(B258="", "", "metagenome")</f>
        <v>0</v>
      </c>
      <c r="E258" s="1">
        <f>IF(B258="", "", "256318")</f>
        <v>0</v>
      </c>
    </row>
    <row r="259" spans="1:5">
      <c r="A259">
        <f>IF(COUNTBLANK(B259:E259)&lt;&gt;COLUMNS(B259:E259),258,"")</f>
        <v>0</v>
      </c>
      <c r="C259" s="1">
        <f>IF(B259="", "", "other")</f>
        <v>0</v>
      </c>
      <c r="D259" s="1">
        <f>IF(B259="", "", "metagenome")</f>
        <v>0</v>
      </c>
      <c r="E259" s="1">
        <f>IF(B259="", "", "256318")</f>
        <v>0</v>
      </c>
    </row>
    <row r="260" spans="1:5">
      <c r="A260">
        <f>IF(COUNTBLANK(B260:E260)&lt;&gt;COLUMNS(B260:E260),259,"")</f>
        <v>0</v>
      </c>
      <c r="C260" s="1">
        <f>IF(B260="", "", "other")</f>
        <v>0</v>
      </c>
      <c r="D260" s="1">
        <f>IF(B260="", "", "metagenome")</f>
        <v>0</v>
      </c>
      <c r="E260" s="1">
        <f>IF(B260="", "", "256318")</f>
        <v>0</v>
      </c>
    </row>
    <row r="261" spans="1:5">
      <c r="A261">
        <f>IF(COUNTBLANK(B261:E261)&lt;&gt;COLUMNS(B261:E261),260,"")</f>
        <v>0</v>
      </c>
      <c r="C261" s="1">
        <f>IF(B261="", "", "other")</f>
        <v>0</v>
      </c>
      <c r="D261" s="1">
        <f>IF(B261="", "", "metagenome")</f>
        <v>0</v>
      </c>
      <c r="E261" s="1">
        <f>IF(B261="", "", "256318")</f>
        <v>0</v>
      </c>
    </row>
    <row r="262" spans="1:5">
      <c r="A262">
        <f>IF(COUNTBLANK(B262:E262)&lt;&gt;COLUMNS(B262:E262),261,"")</f>
        <v>0</v>
      </c>
      <c r="C262" s="1">
        <f>IF(B262="", "", "other")</f>
        <v>0</v>
      </c>
      <c r="D262" s="1">
        <f>IF(B262="", "", "metagenome")</f>
        <v>0</v>
      </c>
      <c r="E262" s="1">
        <f>IF(B262="", "", "256318")</f>
        <v>0</v>
      </c>
    </row>
    <row r="263" spans="1:5">
      <c r="A263">
        <f>IF(COUNTBLANK(B263:E263)&lt;&gt;COLUMNS(B263:E263),262,"")</f>
        <v>0</v>
      </c>
      <c r="C263" s="1">
        <f>IF(B263="", "", "other")</f>
        <v>0</v>
      </c>
      <c r="D263" s="1">
        <f>IF(B263="", "", "metagenome")</f>
        <v>0</v>
      </c>
      <c r="E263" s="1">
        <f>IF(B263="", "", "256318")</f>
        <v>0</v>
      </c>
    </row>
    <row r="264" spans="1:5">
      <c r="A264">
        <f>IF(COUNTBLANK(B264:E264)&lt;&gt;COLUMNS(B264:E264),263,"")</f>
        <v>0</v>
      </c>
      <c r="C264" s="1">
        <f>IF(B264="", "", "other")</f>
        <v>0</v>
      </c>
      <c r="D264" s="1">
        <f>IF(B264="", "", "metagenome")</f>
        <v>0</v>
      </c>
      <c r="E264" s="1">
        <f>IF(B264="", "", "256318")</f>
        <v>0</v>
      </c>
    </row>
    <row r="265" spans="1:5">
      <c r="A265">
        <f>IF(COUNTBLANK(B265:E265)&lt;&gt;COLUMNS(B265:E265),264,"")</f>
        <v>0</v>
      </c>
      <c r="C265" s="1">
        <f>IF(B265="", "", "other")</f>
        <v>0</v>
      </c>
      <c r="D265" s="1">
        <f>IF(B265="", "", "metagenome")</f>
        <v>0</v>
      </c>
      <c r="E265" s="1">
        <f>IF(B265="", "", "256318")</f>
        <v>0</v>
      </c>
    </row>
    <row r="266" spans="1:5">
      <c r="A266">
        <f>IF(COUNTBLANK(B266:E266)&lt;&gt;COLUMNS(B266:E266),265,"")</f>
        <v>0</v>
      </c>
      <c r="C266" s="1">
        <f>IF(B266="", "", "other")</f>
        <v>0</v>
      </c>
      <c r="D266" s="1">
        <f>IF(B266="", "", "metagenome")</f>
        <v>0</v>
      </c>
      <c r="E266" s="1">
        <f>IF(B266="", "", "256318")</f>
        <v>0</v>
      </c>
    </row>
    <row r="267" spans="1:5">
      <c r="A267">
        <f>IF(COUNTBLANK(B267:E267)&lt;&gt;COLUMNS(B267:E267),266,"")</f>
        <v>0</v>
      </c>
      <c r="C267" s="1">
        <f>IF(B267="", "", "other")</f>
        <v>0</v>
      </c>
      <c r="D267" s="1">
        <f>IF(B267="", "", "metagenome")</f>
        <v>0</v>
      </c>
      <c r="E267" s="1">
        <f>IF(B267="", "", "256318")</f>
        <v>0</v>
      </c>
    </row>
    <row r="268" spans="1:5">
      <c r="A268">
        <f>IF(COUNTBLANK(B268:E268)&lt;&gt;COLUMNS(B268:E268),267,"")</f>
        <v>0</v>
      </c>
      <c r="C268" s="1">
        <f>IF(B268="", "", "other")</f>
        <v>0</v>
      </c>
      <c r="D268" s="1">
        <f>IF(B268="", "", "metagenome")</f>
        <v>0</v>
      </c>
      <c r="E268" s="1">
        <f>IF(B268="", "", "256318")</f>
        <v>0</v>
      </c>
    </row>
    <row r="269" spans="1:5">
      <c r="A269">
        <f>IF(COUNTBLANK(B269:E269)&lt;&gt;COLUMNS(B269:E269),268,"")</f>
        <v>0</v>
      </c>
      <c r="C269" s="1">
        <f>IF(B269="", "", "other")</f>
        <v>0</v>
      </c>
      <c r="D269" s="1">
        <f>IF(B269="", "", "metagenome")</f>
        <v>0</v>
      </c>
      <c r="E269" s="1">
        <f>IF(B269="", "", "256318")</f>
        <v>0</v>
      </c>
    </row>
    <row r="270" spans="1:5">
      <c r="A270">
        <f>IF(COUNTBLANK(B270:E270)&lt;&gt;COLUMNS(B270:E270),269,"")</f>
        <v>0</v>
      </c>
      <c r="C270" s="1">
        <f>IF(B270="", "", "other")</f>
        <v>0</v>
      </c>
      <c r="D270" s="1">
        <f>IF(B270="", "", "metagenome")</f>
        <v>0</v>
      </c>
      <c r="E270" s="1">
        <f>IF(B270="", "", "256318")</f>
        <v>0</v>
      </c>
    </row>
    <row r="271" spans="1:5">
      <c r="A271">
        <f>IF(COUNTBLANK(B271:E271)&lt;&gt;COLUMNS(B271:E271),270,"")</f>
        <v>0</v>
      </c>
      <c r="C271" s="1">
        <f>IF(B271="", "", "other")</f>
        <v>0</v>
      </c>
      <c r="D271" s="1">
        <f>IF(B271="", "", "metagenome")</f>
        <v>0</v>
      </c>
      <c r="E271" s="1">
        <f>IF(B271="", "", "256318")</f>
        <v>0</v>
      </c>
    </row>
    <row r="272" spans="1:5">
      <c r="A272">
        <f>IF(COUNTBLANK(B272:E272)&lt;&gt;COLUMNS(B272:E272),271,"")</f>
        <v>0</v>
      </c>
      <c r="C272" s="1">
        <f>IF(B272="", "", "other")</f>
        <v>0</v>
      </c>
      <c r="D272" s="1">
        <f>IF(B272="", "", "metagenome")</f>
        <v>0</v>
      </c>
      <c r="E272" s="1">
        <f>IF(B272="", "", "256318")</f>
        <v>0</v>
      </c>
    </row>
    <row r="273" spans="1:5">
      <c r="A273">
        <f>IF(COUNTBLANK(B273:E273)&lt;&gt;COLUMNS(B273:E273),272,"")</f>
        <v>0</v>
      </c>
      <c r="C273" s="1">
        <f>IF(B273="", "", "other")</f>
        <v>0</v>
      </c>
      <c r="D273" s="1">
        <f>IF(B273="", "", "metagenome")</f>
        <v>0</v>
      </c>
      <c r="E273" s="1">
        <f>IF(B273="", "", "256318")</f>
        <v>0</v>
      </c>
    </row>
    <row r="274" spans="1:5">
      <c r="A274">
        <f>IF(COUNTBLANK(B274:E274)&lt;&gt;COLUMNS(B274:E274),273,"")</f>
        <v>0</v>
      </c>
      <c r="C274" s="1">
        <f>IF(B274="", "", "other")</f>
        <v>0</v>
      </c>
      <c r="D274" s="1">
        <f>IF(B274="", "", "metagenome")</f>
        <v>0</v>
      </c>
      <c r="E274" s="1">
        <f>IF(B274="", "", "256318")</f>
        <v>0</v>
      </c>
    </row>
    <row r="275" spans="1:5">
      <c r="A275">
        <f>IF(COUNTBLANK(B275:E275)&lt;&gt;COLUMNS(B275:E275),274,"")</f>
        <v>0</v>
      </c>
      <c r="C275" s="1">
        <f>IF(B275="", "", "other")</f>
        <v>0</v>
      </c>
      <c r="D275" s="1">
        <f>IF(B275="", "", "metagenome")</f>
        <v>0</v>
      </c>
      <c r="E275" s="1">
        <f>IF(B275="", "", "256318")</f>
        <v>0</v>
      </c>
    </row>
    <row r="276" spans="1:5">
      <c r="A276">
        <f>IF(COUNTBLANK(B276:E276)&lt;&gt;COLUMNS(B276:E276),275,"")</f>
        <v>0</v>
      </c>
      <c r="C276" s="1">
        <f>IF(B276="", "", "other")</f>
        <v>0</v>
      </c>
      <c r="D276" s="1">
        <f>IF(B276="", "", "metagenome")</f>
        <v>0</v>
      </c>
      <c r="E276" s="1">
        <f>IF(B276="", "", "256318")</f>
        <v>0</v>
      </c>
    </row>
    <row r="277" spans="1:5">
      <c r="A277">
        <f>IF(COUNTBLANK(B277:E277)&lt;&gt;COLUMNS(B277:E277),276,"")</f>
        <v>0</v>
      </c>
      <c r="C277" s="1">
        <f>IF(B277="", "", "other")</f>
        <v>0</v>
      </c>
      <c r="D277" s="1">
        <f>IF(B277="", "", "metagenome")</f>
        <v>0</v>
      </c>
      <c r="E277" s="1">
        <f>IF(B277="", "", "256318")</f>
        <v>0</v>
      </c>
    </row>
    <row r="278" spans="1:5">
      <c r="A278">
        <f>IF(COUNTBLANK(B278:E278)&lt;&gt;COLUMNS(B278:E278),277,"")</f>
        <v>0</v>
      </c>
      <c r="C278" s="1">
        <f>IF(B278="", "", "other")</f>
        <v>0</v>
      </c>
      <c r="D278" s="1">
        <f>IF(B278="", "", "metagenome")</f>
        <v>0</v>
      </c>
      <c r="E278" s="1">
        <f>IF(B278="", "", "256318")</f>
        <v>0</v>
      </c>
    </row>
    <row r="279" spans="1:5">
      <c r="A279">
        <f>IF(COUNTBLANK(B279:E279)&lt;&gt;COLUMNS(B279:E279),278,"")</f>
        <v>0</v>
      </c>
      <c r="C279" s="1">
        <f>IF(B279="", "", "other")</f>
        <v>0</v>
      </c>
      <c r="D279" s="1">
        <f>IF(B279="", "", "metagenome")</f>
        <v>0</v>
      </c>
      <c r="E279" s="1">
        <f>IF(B279="", "", "256318")</f>
        <v>0</v>
      </c>
    </row>
    <row r="280" spans="1:5">
      <c r="A280">
        <f>IF(COUNTBLANK(B280:E280)&lt;&gt;COLUMNS(B280:E280),279,"")</f>
        <v>0</v>
      </c>
      <c r="C280" s="1">
        <f>IF(B280="", "", "other")</f>
        <v>0</v>
      </c>
      <c r="D280" s="1">
        <f>IF(B280="", "", "metagenome")</f>
        <v>0</v>
      </c>
      <c r="E280" s="1">
        <f>IF(B280="", "", "256318")</f>
        <v>0</v>
      </c>
    </row>
    <row r="281" spans="1:5">
      <c r="A281">
        <f>IF(COUNTBLANK(B281:E281)&lt;&gt;COLUMNS(B281:E281),280,"")</f>
        <v>0</v>
      </c>
      <c r="C281" s="1">
        <f>IF(B281="", "", "other")</f>
        <v>0</v>
      </c>
      <c r="D281" s="1">
        <f>IF(B281="", "", "metagenome")</f>
        <v>0</v>
      </c>
      <c r="E281" s="1">
        <f>IF(B281="", "", "256318")</f>
        <v>0</v>
      </c>
    </row>
    <row r="282" spans="1:5">
      <c r="A282">
        <f>IF(COUNTBLANK(B282:E282)&lt;&gt;COLUMNS(B282:E282),281,"")</f>
        <v>0</v>
      </c>
      <c r="C282" s="1">
        <f>IF(B282="", "", "other")</f>
        <v>0</v>
      </c>
      <c r="D282" s="1">
        <f>IF(B282="", "", "metagenome")</f>
        <v>0</v>
      </c>
      <c r="E282" s="1">
        <f>IF(B282="", "", "256318")</f>
        <v>0</v>
      </c>
    </row>
    <row r="283" spans="1:5">
      <c r="A283">
        <f>IF(COUNTBLANK(B283:E283)&lt;&gt;COLUMNS(B283:E283),282,"")</f>
        <v>0</v>
      </c>
      <c r="C283" s="1">
        <f>IF(B283="", "", "other")</f>
        <v>0</v>
      </c>
      <c r="D283" s="1">
        <f>IF(B283="", "", "metagenome")</f>
        <v>0</v>
      </c>
      <c r="E283" s="1">
        <f>IF(B283="", "", "256318")</f>
        <v>0</v>
      </c>
    </row>
    <row r="284" spans="1:5">
      <c r="A284">
        <f>IF(COUNTBLANK(B284:E284)&lt;&gt;COLUMNS(B284:E284),283,"")</f>
        <v>0</v>
      </c>
      <c r="C284" s="1">
        <f>IF(B284="", "", "other")</f>
        <v>0</v>
      </c>
      <c r="D284" s="1">
        <f>IF(B284="", "", "metagenome")</f>
        <v>0</v>
      </c>
      <c r="E284" s="1">
        <f>IF(B284="", "", "256318")</f>
        <v>0</v>
      </c>
    </row>
    <row r="285" spans="1:5">
      <c r="A285">
        <f>IF(COUNTBLANK(B285:E285)&lt;&gt;COLUMNS(B285:E285),284,"")</f>
        <v>0</v>
      </c>
      <c r="C285" s="1">
        <f>IF(B285="", "", "other")</f>
        <v>0</v>
      </c>
      <c r="D285" s="1">
        <f>IF(B285="", "", "metagenome")</f>
        <v>0</v>
      </c>
      <c r="E285" s="1">
        <f>IF(B285="", "", "256318")</f>
        <v>0</v>
      </c>
    </row>
    <row r="286" spans="1:5">
      <c r="A286">
        <f>IF(COUNTBLANK(B286:E286)&lt;&gt;COLUMNS(B286:E286),285,"")</f>
        <v>0</v>
      </c>
      <c r="C286" s="1">
        <f>IF(B286="", "", "other")</f>
        <v>0</v>
      </c>
      <c r="D286" s="1">
        <f>IF(B286="", "", "metagenome")</f>
        <v>0</v>
      </c>
      <c r="E286" s="1">
        <f>IF(B286="", "", "256318")</f>
        <v>0</v>
      </c>
    </row>
    <row r="287" spans="1:5">
      <c r="A287">
        <f>IF(COUNTBLANK(B287:E287)&lt;&gt;COLUMNS(B287:E287),286,"")</f>
        <v>0</v>
      </c>
      <c r="C287" s="1">
        <f>IF(B287="", "", "other")</f>
        <v>0</v>
      </c>
      <c r="D287" s="1">
        <f>IF(B287="", "", "metagenome")</f>
        <v>0</v>
      </c>
      <c r="E287" s="1">
        <f>IF(B287="", "", "256318")</f>
        <v>0</v>
      </c>
    </row>
    <row r="288" spans="1:5">
      <c r="A288">
        <f>IF(COUNTBLANK(B288:E288)&lt;&gt;COLUMNS(B288:E288),287,"")</f>
        <v>0</v>
      </c>
      <c r="C288" s="1">
        <f>IF(B288="", "", "other")</f>
        <v>0</v>
      </c>
      <c r="D288" s="1">
        <f>IF(B288="", "", "metagenome")</f>
        <v>0</v>
      </c>
      <c r="E288" s="1">
        <f>IF(B288="", "", "256318")</f>
        <v>0</v>
      </c>
    </row>
    <row r="289" spans="1:5">
      <c r="A289">
        <f>IF(COUNTBLANK(B289:E289)&lt;&gt;COLUMNS(B289:E289),288,"")</f>
        <v>0</v>
      </c>
      <c r="C289" s="1">
        <f>IF(B289="", "", "other")</f>
        <v>0</v>
      </c>
      <c r="D289" s="1">
        <f>IF(B289="", "", "metagenome")</f>
        <v>0</v>
      </c>
      <c r="E289" s="1">
        <f>IF(B289="", "", "256318")</f>
        <v>0</v>
      </c>
    </row>
    <row r="290" spans="1:5">
      <c r="A290">
        <f>IF(COUNTBLANK(B290:E290)&lt;&gt;COLUMNS(B290:E290),289,"")</f>
        <v>0</v>
      </c>
      <c r="C290" s="1">
        <f>IF(B290="", "", "other")</f>
        <v>0</v>
      </c>
      <c r="D290" s="1">
        <f>IF(B290="", "", "metagenome")</f>
        <v>0</v>
      </c>
      <c r="E290" s="1">
        <f>IF(B290="", "", "256318")</f>
        <v>0</v>
      </c>
    </row>
    <row r="291" spans="1:5">
      <c r="A291">
        <f>IF(COUNTBLANK(B291:E291)&lt;&gt;COLUMNS(B291:E291),290,"")</f>
        <v>0</v>
      </c>
      <c r="C291" s="1">
        <f>IF(B291="", "", "other")</f>
        <v>0</v>
      </c>
      <c r="D291" s="1">
        <f>IF(B291="", "", "metagenome")</f>
        <v>0</v>
      </c>
      <c r="E291" s="1">
        <f>IF(B291="", "", "256318")</f>
        <v>0</v>
      </c>
    </row>
    <row r="292" spans="1:5">
      <c r="A292">
        <f>IF(COUNTBLANK(B292:E292)&lt;&gt;COLUMNS(B292:E292),291,"")</f>
        <v>0</v>
      </c>
      <c r="C292" s="1">
        <f>IF(B292="", "", "other")</f>
        <v>0</v>
      </c>
      <c r="D292" s="1">
        <f>IF(B292="", "", "metagenome")</f>
        <v>0</v>
      </c>
      <c r="E292" s="1">
        <f>IF(B292="", "", "256318")</f>
        <v>0</v>
      </c>
    </row>
    <row r="293" spans="1:5">
      <c r="A293">
        <f>IF(COUNTBLANK(B293:E293)&lt;&gt;COLUMNS(B293:E293),292,"")</f>
        <v>0</v>
      </c>
      <c r="C293" s="1">
        <f>IF(B293="", "", "other")</f>
        <v>0</v>
      </c>
      <c r="D293" s="1">
        <f>IF(B293="", "", "metagenome")</f>
        <v>0</v>
      </c>
      <c r="E293" s="1">
        <f>IF(B293="", "", "256318")</f>
        <v>0</v>
      </c>
    </row>
    <row r="294" spans="1:5">
      <c r="A294">
        <f>IF(COUNTBLANK(B294:E294)&lt;&gt;COLUMNS(B294:E294),293,"")</f>
        <v>0</v>
      </c>
      <c r="C294" s="1">
        <f>IF(B294="", "", "other")</f>
        <v>0</v>
      </c>
      <c r="D294" s="1">
        <f>IF(B294="", "", "metagenome")</f>
        <v>0</v>
      </c>
      <c r="E294" s="1">
        <f>IF(B294="", "", "256318")</f>
        <v>0</v>
      </c>
    </row>
    <row r="295" spans="1:5">
      <c r="A295">
        <f>IF(COUNTBLANK(B295:E295)&lt;&gt;COLUMNS(B295:E295),294,"")</f>
        <v>0</v>
      </c>
      <c r="C295" s="1">
        <f>IF(B295="", "", "other")</f>
        <v>0</v>
      </c>
      <c r="D295" s="1">
        <f>IF(B295="", "", "metagenome")</f>
        <v>0</v>
      </c>
      <c r="E295" s="1">
        <f>IF(B295="", "", "256318")</f>
        <v>0</v>
      </c>
    </row>
    <row r="296" spans="1:5">
      <c r="A296">
        <f>IF(COUNTBLANK(B296:E296)&lt;&gt;COLUMNS(B296:E296),295,"")</f>
        <v>0</v>
      </c>
      <c r="C296" s="1">
        <f>IF(B296="", "", "other")</f>
        <v>0</v>
      </c>
      <c r="D296" s="1">
        <f>IF(B296="", "", "metagenome")</f>
        <v>0</v>
      </c>
      <c r="E296" s="1">
        <f>IF(B296="", "", "256318")</f>
        <v>0</v>
      </c>
    </row>
    <row r="297" spans="1:5">
      <c r="A297">
        <f>IF(COUNTBLANK(B297:E297)&lt;&gt;COLUMNS(B297:E297),296,"")</f>
        <v>0</v>
      </c>
      <c r="C297" s="1">
        <f>IF(B297="", "", "other")</f>
        <v>0</v>
      </c>
      <c r="D297" s="1">
        <f>IF(B297="", "", "metagenome")</f>
        <v>0</v>
      </c>
      <c r="E297" s="1">
        <f>IF(B297="", "", "256318")</f>
        <v>0</v>
      </c>
    </row>
    <row r="298" spans="1:5">
      <c r="A298">
        <f>IF(COUNTBLANK(B298:E298)&lt;&gt;COLUMNS(B298:E298),297,"")</f>
        <v>0</v>
      </c>
      <c r="C298" s="1">
        <f>IF(B298="", "", "other")</f>
        <v>0</v>
      </c>
      <c r="D298" s="1">
        <f>IF(B298="", "", "metagenome")</f>
        <v>0</v>
      </c>
      <c r="E298" s="1">
        <f>IF(B298="", "", "256318")</f>
        <v>0</v>
      </c>
    </row>
    <row r="299" spans="1:5">
      <c r="A299">
        <f>IF(COUNTBLANK(B299:E299)&lt;&gt;COLUMNS(B299:E299),298,"")</f>
        <v>0</v>
      </c>
      <c r="C299" s="1">
        <f>IF(B299="", "", "other")</f>
        <v>0</v>
      </c>
      <c r="D299" s="1">
        <f>IF(B299="", "", "metagenome")</f>
        <v>0</v>
      </c>
      <c r="E299" s="1">
        <f>IF(B299="", "", "256318")</f>
        <v>0</v>
      </c>
    </row>
    <row r="300" spans="1:5">
      <c r="A300">
        <f>IF(COUNTBLANK(B300:E300)&lt;&gt;COLUMNS(B300:E300),299,"")</f>
        <v>0</v>
      </c>
      <c r="C300" s="1">
        <f>IF(B300="", "", "other")</f>
        <v>0</v>
      </c>
      <c r="D300" s="1">
        <f>IF(B300="", "", "metagenome")</f>
        <v>0</v>
      </c>
      <c r="E300" s="1">
        <f>IF(B300="", "", "256318")</f>
        <v>0</v>
      </c>
    </row>
    <row r="301" spans="1:5">
      <c r="A301">
        <f>IF(COUNTBLANK(B301:E301)&lt;&gt;COLUMNS(B301:E301),300,"")</f>
        <v>0</v>
      </c>
      <c r="C301" s="1">
        <f>IF(B301="", "", "other")</f>
        <v>0</v>
      </c>
      <c r="D301" s="1">
        <f>IF(B301="", "", "metagenome")</f>
        <v>0</v>
      </c>
      <c r="E301" s="1">
        <f>IF(B301="", "", "256318")</f>
        <v>0</v>
      </c>
    </row>
    <row r="302" spans="1:5">
      <c r="A302">
        <f>IF(COUNTBLANK(B302:E302)&lt;&gt;COLUMNS(B302:E302),301,"")</f>
        <v>0</v>
      </c>
      <c r="C302" s="1">
        <f>IF(B302="", "", "other")</f>
        <v>0</v>
      </c>
      <c r="D302" s="1">
        <f>IF(B302="", "", "metagenome")</f>
        <v>0</v>
      </c>
      <c r="E302" s="1">
        <f>IF(B302="", "", "256318")</f>
        <v>0</v>
      </c>
    </row>
    <row r="303" spans="1:5">
      <c r="A303">
        <f>IF(COUNTBLANK(B303:E303)&lt;&gt;COLUMNS(B303:E303),302,"")</f>
        <v>0</v>
      </c>
      <c r="C303" s="1">
        <f>IF(B303="", "", "other")</f>
        <v>0</v>
      </c>
      <c r="D303" s="1">
        <f>IF(B303="", "", "metagenome")</f>
        <v>0</v>
      </c>
      <c r="E303" s="1">
        <f>IF(B303="", "", "256318")</f>
        <v>0</v>
      </c>
    </row>
    <row r="304" spans="1:5">
      <c r="A304">
        <f>IF(COUNTBLANK(B304:E304)&lt;&gt;COLUMNS(B304:E304),303,"")</f>
        <v>0</v>
      </c>
      <c r="C304" s="1">
        <f>IF(B304="", "", "other")</f>
        <v>0</v>
      </c>
      <c r="D304" s="1">
        <f>IF(B304="", "", "metagenome")</f>
        <v>0</v>
      </c>
      <c r="E304" s="1">
        <f>IF(B304="", "", "256318")</f>
        <v>0</v>
      </c>
    </row>
    <row r="305" spans="1:5">
      <c r="A305">
        <f>IF(COUNTBLANK(B305:E305)&lt;&gt;COLUMNS(B305:E305),304,"")</f>
        <v>0</v>
      </c>
      <c r="C305" s="1">
        <f>IF(B305="", "", "other")</f>
        <v>0</v>
      </c>
      <c r="D305" s="1">
        <f>IF(B305="", "", "metagenome")</f>
        <v>0</v>
      </c>
      <c r="E305" s="1">
        <f>IF(B305="", "", "256318")</f>
        <v>0</v>
      </c>
    </row>
    <row r="306" spans="1:5">
      <c r="A306">
        <f>IF(COUNTBLANK(B306:E306)&lt;&gt;COLUMNS(B306:E306),305,"")</f>
        <v>0</v>
      </c>
      <c r="C306" s="1">
        <f>IF(B306="", "", "other")</f>
        <v>0</v>
      </c>
      <c r="D306" s="1">
        <f>IF(B306="", "", "metagenome")</f>
        <v>0</v>
      </c>
      <c r="E306" s="1">
        <f>IF(B306="", "", "256318")</f>
        <v>0</v>
      </c>
    </row>
    <row r="307" spans="1:5">
      <c r="A307">
        <f>IF(COUNTBLANK(B307:E307)&lt;&gt;COLUMNS(B307:E307),306,"")</f>
        <v>0</v>
      </c>
      <c r="C307" s="1">
        <f>IF(B307="", "", "other")</f>
        <v>0</v>
      </c>
      <c r="D307" s="1">
        <f>IF(B307="", "", "metagenome")</f>
        <v>0</v>
      </c>
      <c r="E307" s="1">
        <f>IF(B307="", "", "256318")</f>
        <v>0</v>
      </c>
    </row>
    <row r="308" spans="1:5">
      <c r="A308">
        <f>IF(COUNTBLANK(B308:E308)&lt;&gt;COLUMNS(B308:E308),307,"")</f>
        <v>0</v>
      </c>
      <c r="C308" s="1">
        <f>IF(B308="", "", "other")</f>
        <v>0</v>
      </c>
      <c r="D308" s="1">
        <f>IF(B308="", "", "metagenome")</f>
        <v>0</v>
      </c>
      <c r="E308" s="1">
        <f>IF(B308="", "", "256318")</f>
        <v>0</v>
      </c>
    </row>
    <row r="309" spans="1:5">
      <c r="A309">
        <f>IF(COUNTBLANK(B309:E309)&lt;&gt;COLUMNS(B309:E309),308,"")</f>
        <v>0</v>
      </c>
      <c r="C309" s="1">
        <f>IF(B309="", "", "other")</f>
        <v>0</v>
      </c>
      <c r="D309" s="1">
        <f>IF(B309="", "", "metagenome")</f>
        <v>0</v>
      </c>
      <c r="E309" s="1">
        <f>IF(B309="", "", "256318")</f>
        <v>0</v>
      </c>
    </row>
    <row r="310" spans="1:5">
      <c r="A310">
        <f>IF(COUNTBLANK(B310:E310)&lt;&gt;COLUMNS(B310:E310),309,"")</f>
        <v>0</v>
      </c>
      <c r="C310" s="1">
        <f>IF(B310="", "", "other")</f>
        <v>0</v>
      </c>
      <c r="D310" s="1">
        <f>IF(B310="", "", "metagenome")</f>
        <v>0</v>
      </c>
      <c r="E310" s="1">
        <f>IF(B310="", "", "256318")</f>
        <v>0</v>
      </c>
    </row>
    <row r="311" spans="1:5">
      <c r="A311">
        <f>IF(COUNTBLANK(B311:E311)&lt;&gt;COLUMNS(B311:E311),310,"")</f>
        <v>0</v>
      </c>
      <c r="C311" s="1">
        <f>IF(B311="", "", "other")</f>
        <v>0</v>
      </c>
      <c r="D311" s="1">
        <f>IF(B311="", "", "metagenome")</f>
        <v>0</v>
      </c>
      <c r="E311" s="1">
        <f>IF(B311="", "", "256318")</f>
        <v>0</v>
      </c>
    </row>
    <row r="312" spans="1:5">
      <c r="A312">
        <f>IF(COUNTBLANK(B312:E312)&lt;&gt;COLUMNS(B312:E312),311,"")</f>
        <v>0</v>
      </c>
      <c r="C312" s="1">
        <f>IF(B312="", "", "other")</f>
        <v>0</v>
      </c>
      <c r="D312" s="1">
        <f>IF(B312="", "", "metagenome")</f>
        <v>0</v>
      </c>
      <c r="E312" s="1">
        <f>IF(B312="", "", "256318")</f>
        <v>0</v>
      </c>
    </row>
    <row r="313" spans="1:5">
      <c r="A313">
        <f>IF(COUNTBLANK(B313:E313)&lt;&gt;COLUMNS(B313:E313),312,"")</f>
        <v>0</v>
      </c>
      <c r="C313" s="1">
        <f>IF(B313="", "", "other")</f>
        <v>0</v>
      </c>
      <c r="D313" s="1">
        <f>IF(B313="", "", "metagenome")</f>
        <v>0</v>
      </c>
      <c r="E313" s="1">
        <f>IF(B313="", "", "256318")</f>
        <v>0</v>
      </c>
    </row>
    <row r="314" spans="1:5">
      <c r="A314">
        <f>IF(COUNTBLANK(B314:E314)&lt;&gt;COLUMNS(B314:E314),313,"")</f>
        <v>0</v>
      </c>
      <c r="C314" s="1">
        <f>IF(B314="", "", "other")</f>
        <v>0</v>
      </c>
      <c r="D314" s="1">
        <f>IF(B314="", "", "metagenome")</f>
        <v>0</v>
      </c>
      <c r="E314" s="1">
        <f>IF(B314="", "", "256318")</f>
        <v>0</v>
      </c>
    </row>
    <row r="315" spans="1:5">
      <c r="A315">
        <f>IF(COUNTBLANK(B315:E315)&lt;&gt;COLUMNS(B315:E315),314,"")</f>
        <v>0</v>
      </c>
      <c r="C315" s="1">
        <f>IF(B315="", "", "other")</f>
        <v>0</v>
      </c>
      <c r="D315" s="1">
        <f>IF(B315="", "", "metagenome")</f>
        <v>0</v>
      </c>
      <c r="E315" s="1">
        <f>IF(B315="", "", "256318")</f>
        <v>0</v>
      </c>
    </row>
    <row r="316" spans="1:5">
      <c r="A316">
        <f>IF(COUNTBLANK(B316:E316)&lt;&gt;COLUMNS(B316:E316),315,"")</f>
        <v>0</v>
      </c>
      <c r="C316" s="1">
        <f>IF(B316="", "", "other")</f>
        <v>0</v>
      </c>
      <c r="D316" s="1">
        <f>IF(B316="", "", "metagenome")</f>
        <v>0</v>
      </c>
      <c r="E316" s="1">
        <f>IF(B316="", "", "256318")</f>
        <v>0</v>
      </c>
    </row>
    <row r="317" spans="1:5">
      <c r="A317">
        <f>IF(COUNTBLANK(B317:E317)&lt;&gt;COLUMNS(B317:E317),316,"")</f>
        <v>0</v>
      </c>
      <c r="C317" s="1">
        <f>IF(B317="", "", "other")</f>
        <v>0</v>
      </c>
      <c r="D317" s="1">
        <f>IF(B317="", "", "metagenome")</f>
        <v>0</v>
      </c>
      <c r="E317" s="1">
        <f>IF(B317="", "", "256318")</f>
        <v>0</v>
      </c>
    </row>
    <row r="318" spans="1:5">
      <c r="A318">
        <f>IF(COUNTBLANK(B318:E318)&lt;&gt;COLUMNS(B318:E318),317,"")</f>
        <v>0</v>
      </c>
      <c r="C318" s="1">
        <f>IF(B318="", "", "other")</f>
        <v>0</v>
      </c>
      <c r="D318" s="1">
        <f>IF(B318="", "", "metagenome")</f>
        <v>0</v>
      </c>
      <c r="E318" s="1">
        <f>IF(B318="", "", "256318")</f>
        <v>0</v>
      </c>
    </row>
    <row r="319" spans="1:5">
      <c r="A319">
        <f>IF(COUNTBLANK(B319:E319)&lt;&gt;COLUMNS(B319:E319),318,"")</f>
        <v>0</v>
      </c>
      <c r="C319" s="1">
        <f>IF(B319="", "", "other")</f>
        <v>0</v>
      </c>
      <c r="D319" s="1">
        <f>IF(B319="", "", "metagenome")</f>
        <v>0</v>
      </c>
      <c r="E319" s="1">
        <f>IF(B319="", "", "256318")</f>
        <v>0</v>
      </c>
    </row>
    <row r="320" spans="1:5">
      <c r="A320">
        <f>IF(COUNTBLANK(B320:E320)&lt;&gt;COLUMNS(B320:E320),319,"")</f>
        <v>0</v>
      </c>
      <c r="C320" s="1">
        <f>IF(B320="", "", "other")</f>
        <v>0</v>
      </c>
      <c r="D320" s="1">
        <f>IF(B320="", "", "metagenome")</f>
        <v>0</v>
      </c>
      <c r="E320" s="1">
        <f>IF(B320="", "", "256318")</f>
        <v>0</v>
      </c>
    </row>
    <row r="321" spans="1:5">
      <c r="A321">
        <f>IF(COUNTBLANK(B321:E321)&lt;&gt;COLUMNS(B321:E321),320,"")</f>
        <v>0</v>
      </c>
      <c r="C321" s="1">
        <f>IF(B321="", "", "other")</f>
        <v>0</v>
      </c>
      <c r="D321" s="1">
        <f>IF(B321="", "", "metagenome")</f>
        <v>0</v>
      </c>
      <c r="E321" s="1">
        <f>IF(B321="", "", "256318")</f>
        <v>0</v>
      </c>
    </row>
    <row r="322" spans="1:5">
      <c r="A322">
        <f>IF(COUNTBLANK(B322:E322)&lt;&gt;COLUMNS(B322:E322),321,"")</f>
        <v>0</v>
      </c>
      <c r="C322" s="1">
        <f>IF(B322="", "", "other")</f>
        <v>0</v>
      </c>
      <c r="D322" s="1">
        <f>IF(B322="", "", "metagenome")</f>
        <v>0</v>
      </c>
      <c r="E322" s="1">
        <f>IF(B322="", "", "256318")</f>
        <v>0</v>
      </c>
    </row>
    <row r="323" spans="1:5">
      <c r="A323">
        <f>IF(COUNTBLANK(B323:E323)&lt;&gt;COLUMNS(B323:E323),322,"")</f>
        <v>0</v>
      </c>
      <c r="C323" s="1">
        <f>IF(B323="", "", "other")</f>
        <v>0</v>
      </c>
      <c r="D323" s="1">
        <f>IF(B323="", "", "metagenome")</f>
        <v>0</v>
      </c>
      <c r="E323" s="1">
        <f>IF(B323="", "", "256318")</f>
        <v>0</v>
      </c>
    </row>
    <row r="324" spans="1:5">
      <c r="A324">
        <f>IF(COUNTBLANK(B324:E324)&lt;&gt;COLUMNS(B324:E324),323,"")</f>
        <v>0</v>
      </c>
      <c r="C324" s="1">
        <f>IF(B324="", "", "other")</f>
        <v>0</v>
      </c>
      <c r="D324" s="1">
        <f>IF(B324="", "", "metagenome")</f>
        <v>0</v>
      </c>
      <c r="E324" s="1">
        <f>IF(B324="", "", "256318")</f>
        <v>0</v>
      </c>
    </row>
    <row r="325" spans="1:5">
      <c r="A325">
        <f>IF(COUNTBLANK(B325:E325)&lt;&gt;COLUMNS(B325:E325),324,"")</f>
        <v>0</v>
      </c>
      <c r="C325" s="1">
        <f>IF(B325="", "", "other")</f>
        <v>0</v>
      </c>
      <c r="D325" s="1">
        <f>IF(B325="", "", "metagenome")</f>
        <v>0</v>
      </c>
      <c r="E325" s="1">
        <f>IF(B325="", "", "256318")</f>
        <v>0</v>
      </c>
    </row>
    <row r="326" spans="1:5">
      <c r="A326">
        <f>IF(COUNTBLANK(B326:E326)&lt;&gt;COLUMNS(B326:E326),325,"")</f>
        <v>0</v>
      </c>
      <c r="C326" s="1">
        <f>IF(B326="", "", "other")</f>
        <v>0</v>
      </c>
      <c r="D326" s="1">
        <f>IF(B326="", "", "metagenome")</f>
        <v>0</v>
      </c>
      <c r="E326" s="1">
        <f>IF(B326="", "", "256318")</f>
        <v>0</v>
      </c>
    </row>
    <row r="327" spans="1:5">
      <c r="A327">
        <f>IF(COUNTBLANK(B327:E327)&lt;&gt;COLUMNS(B327:E327),326,"")</f>
        <v>0</v>
      </c>
      <c r="C327" s="1">
        <f>IF(B327="", "", "other")</f>
        <v>0</v>
      </c>
      <c r="D327" s="1">
        <f>IF(B327="", "", "metagenome")</f>
        <v>0</v>
      </c>
      <c r="E327" s="1">
        <f>IF(B327="", "", "256318")</f>
        <v>0</v>
      </c>
    </row>
    <row r="328" spans="1:5">
      <c r="A328">
        <f>IF(COUNTBLANK(B328:E328)&lt;&gt;COLUMNS(B328:E328),327,"")</f>
        <v>0</v>
      </c>
      <c r="C328" s="1">
        <f>IF(B328="", "", "other")</f>
        <v>0</v>
      </c>
      <c r="D328" s="1">
        <f>IF(B328="", "", "metagenome")</f>
        <v>0</v>
      </c>
      <c r="E328" s="1">
        <f>IF(B328="", "", "256318")</f>
        <v>0</v>
      </c>
    </row>
    <row r="329" spans="1:5">
      <c r="A329">
        <f>IF(COUNTBLANK(B329:E329)&lt;&gt;COLUMNS(B329:E329),328,"")</f>
        <v>0</v>
      </c>
      <c r="C329" s="1">
        <f>IF(B329="", "", "other")</f>
        <v>0</v>
      </c>
      <c r="D329" s="1">
        <f>IF(B329="", "", "metagenome")</f>
        <v>0</v>
      </c>
      <c r="E329" s="1">
        <f>IF(B329="", "", "256318")</f>
        <v>0</v>
      </c>
    </row>
    <row r="330" spans="1:5">
      <c r="A330">
        <f>IF(COUNTBLANK(B330:E330)&lt;&gt;COLUMNS(B330:E330),329,"")</f>
        <v>0</v>
      </c>
      <c r="C330" s="1">
        <f>IF(B330="", "", "other")</f>
        <v>0</v>
      </c>
      <c r="D330" s="1">
        <f>IF(B330="", "", "metagenome")</f>
        <v>0</v>
      </c>
      <c r="E330" s="1">
        <f>IF(B330="", "", "256318")</f>
        <v>0</v>
      </c>
    </row>
    <row r="331" spans="1:5">
      <c r="A331">
        <f>IF(COUNTBLANK(B331:E331)&lt;&gt;COLUMNS(B331:E331),330,"")</f>
        <v>0</v>
      </c>
      <c r="C331" s="1">
        <f>IF(B331="", "", "other")</f>
        <v>0</v>
      </c>
      <c r="D331" s="1">
        <f>IF(B331="", "", "metagenome")</f>
        <v>0</v>
      </c>
      <c r="E331" s="1">
        <f>IF(B331="", "", "256318")</f>
        <v>0</v>
      </c>
    </row>
    <row r="332" spans="1:5">
      <c r="A332">
        <f>IF(COUNTBLANK(B332:E332)&lt;&gt;COLUMNS(B332:E332),331,"")</f>
        <v>0</v>
      </c>
      <c r="C332" s="1">
        <f>IF(B332="", "", "other")</f>
        <v>0</v>
      </c>
      <c r="D332" s="1">
        <f>IF(B332="", "", "metagenome")</f>
        <v>0</v>
      </c>
      <c r="E332" s="1">
        <f>IF(B332="", "", "256318")</f>
        <v>0</v>
      </c>
    </row>
    <row r="333" spans="1:5">
      <c r="A333">
        <f>IF(COUNTBLANK(B333:E333)&lt;&gt;COLUMNS(B333:E333),332,"")</f>
        <v>0</v>
      </c>
      <c r="C333" s="1">
        <f>IF(B333="", "", "other")</f>
        <v>0</v>
      </c>
      <c r="D333" s="1">
        <f>IF(B333="", "", "metagenome")</f>
        <v>0</v>
      </c>
      <c r="E333" s="1">
        <f>IF(B333="", "", "256318")</f>
        <v>0</v>
      </c>
    </row>
    <row r="334" spans="1:5">
      <c r="A334">
        <f>IF(COUNTBLANK(B334:E334)&lt;&gt;COLUMNS(B334:E334),333,"")</f>
        <v>0</v>
      </c>
      <c r="C334" s="1">
        <f>IF(B334="", "", "other")</f>
        <v>0</v>
      </c>
      <c r="D334" s="1">
        <f>IF(B334="", "", "metagenome")</f>
        <v>0</v>
      </c>
      <c r="E334" s="1">
        <f>IF(B334="", "", "256318")</f>
        <v>0</v>
      </c>
    </row>
    <row r="335" spans="1:5">
      <c r="A335">
        <f>IF(COUNTBLANK(B335:E335)&lt;&gt;COLUMNS(B335:E335),334,"")</f>
        <v>0</v>
      </c>
      <c r="C335" s="1">
        <f>IF(B335="", "", "other")</f>
        <v>0</v>
      </c>
      <c r="D335" s="1">
        <f>IF(B335="", "", "metagenome")</f>
        <v>0</v>
      </c>
      <c r="E335" s="1">
        <f>IF(B335="", "", "256318")</f>
        <v>0</v>
      </c>
    </row>
    <row r="336" spans="1:5">
      <c r="A336">
        <f>IF(COUNTBLANK(B336:E336)&lt;&gt;COLUMNS(B336:E336),335,"")</f>
        <v>0</v>
      </c>
      <c r="C336" s="1">
        <f>IF(B336="", "", "other")</f>
        <v>0</v>
      </c>
      <c r="D336" s="1">
        <f>IF(B336="", "", "metagenome")</f>
        <v>0</v>
      </c>
      <c r="E336" s="1">
        <f>IF(B336="", "", "256318")</f>
        <v>0</v>
      </c>
    </row>
    <row r="337" spans="1:5">
      <c r="A337">
        <f>IF(COUNTBLANK(B337:E337)&lt;&gt;COLUMNS(B337:E337),336,"")</f>
        <v>0</v>
      </c>
      <c r="C337" s="1">
        <f>IF(B337="", "", "other")</f>
        <v>0</v>
      </c>
      <c r="D337" s="1">
        <f>IF(B337="", "", "metagenome")</f>
        <v>0</v>
      </c>
      <c r="E337" s="1">
        <f>IF(B337="", "", "256318")</f>
        <v>0</v>
      </c>
    </row>
    <row r="338" spans="1:5">
      <c r="A338">
        <f>IF(COUNTBLANK(B338:E338)&lt;&gt;COLUMNS(B338:E338),337,"")</f>
        <v>0</v>
      </c>
      <c r="C338" s="1">
        <f>IF(B338="", "", "other")</f>
        <v>0</v>
      </c>
      <c r="D338" s="1">
        <f>IF(B338="", "", "metagenome")</f>
        <v>0</v>
      </c>
      <c r="E338" s="1">
        <f>IF(B338="", "", "256318")</f>
        <v>0</v>
      </c>
    </row>
    <row r="339" spans="1:5">
      <c r="A339">
        <f>IF(COUNTBLANK(B339:E339)&lt;&gt;COLUMNS(B339:E339),338,"")</f>
        <v>0</v>
      </c>
      <c r="C339" s="1">
        <f>IF(B339="", "", "other")</f>
        <v>0</v>
      </c>
      <c r="D339" s="1">
        <f>IF(B339="", "", "metagenome")</f>
        <v>0</v>
      </c>
      <c r="E339" s="1">
        <f>IF(B339="", "", "256318")</f>
        <v>0</v>
      </c>
    </row>
    <row r="340" spans="1:5">
      <c r="A340">
        <f>IF(COUNTBLANK(B340:E340)&lt;&gt;COLUMNS(B340:E340),339,"")</f>
        <v>0</v>
      </c>
      <c r="C340" s="1">
        <f>IF(B340="", "", "other")</f>
        <v>0</v>
      </c>
      <c r="D340" s="1">
        <f>IF(B340="", "", "metagenome")</f>
        <v>0</v>
      </c>
      <c r="E340" s="1">
        <f>IF(B340="", "", "256318")</f>
        <v>0</v>
      </c>
    </row>
    <row r="341" spans="1:5">
      <c r="A341">
        <f>IF(COUNTBLANK(B341:E341)&lt;&gt;COLUMNS(B341:E341),340,"")</f>
        <v>0</v>
      </c>
      <c r="C341" s="1">
        <f>IF(B341="", "", "other")</f>
        <v>0</v>
      </c>
      <c r="D341" s="1">
        <f>IF(B341="", "", "metagenome")</f>
        <v>0</v>
      </c>
      <c r="E341" s="1">
        <f>IF(B341="", "", "256318")</f>
        <v>0</v>
      </c>
    </row>
    <row r="342" spans="1:5">
      <c r="A342">
        <f>IF(COUNTBLANK(B342:E342)&lt;&gt;COLUMNS(B342:E342),341,"")</f>
        <v>0</v>
      </c>
      <c r="C342" s="1">
        <f>IF(B342="", "", "other")</f>
        <v>0</v>
      </c>
      <c r="D342" s="1">
        <f>IF(B342="", "", "metagenome")</f>
        <v>0</v>
      </c>
      <c r="E342" s="1">
        <f>IF(B342="", "", "256318")</f>
        <v>0</v>
      </c>
    </row>
    <row r="343" spans="1:5">
      <c r="A343">
        <f>IF(COUNTBLANK(B343:E343)&lt;&gt;COLUMNS(B343:E343),342,"")</f>
        <v>0</v>
      </c>
      <c r="C343" s="1">
        <f>IF(B343="", "", "other")</f>
        <v>0</v>
      </c>
      <c r="D343" s="1">
        <f>IF(B343="", "", "metagenome")</f>
        <v>0</v>
      </c>
      <c r="E343" s="1">
        <f>IF(B343="", "", "256318")</f>
        <v>0</v>
      </c>
    </row>
    <row r="344" spans="1:5">
      <c r="A344">
        <f>IF(COUNTBLANK(B344:E344)&lt;&gt;COLUMNS(B344:E344),343,"")</f>
        <v>0</v>
      </c>
      <c r="C344" s="1">
        <f>IF(B344="", "", "other")</f>
        <v>0</v>
      </c>
      <c r="D344" s="1">
        <f>IF(B344="", "", "metagenome")</f>
        <v>0</v>
      </c>
      <c r="E344" s="1">
        <f>IF(B344="", "", "256318")</f>
        <v>0</v>
      </c>
    </row>
    <row r="345" spans="1:5">
      <c r="A345">
        <f>IF(COUNTBLANK(B345:E345)&lt;&gt;COLUMNS(B345:E345),344,"")</f>
        <v>0</v>
      </c>
      <c r="C345" s="1">
        <f>IF(B345="", "", "other")</f>
        <v>0</v>
      </c>
      <c r="D345" s="1">
        <f>IF(B345="", "", "metagenome")</f>
        <v>0</v>
      </c>
      <c r="E345" s="1">
        <f>IF(B345="", "", "256318")</f>
        <v>0</v>
      </c>
    </row>
    <row r="346" spans="1:5">
      <c r="A346">
        <f>IF(COUNTBLANK(B346:E346)&lt;&gt;COLUMNS(B346:E346),345,"")</f>
        <v>0</v>
      </c>
      <c r="C346" s="1">
        <f>IF(B346="", "", "other")</f>
        <v>0</v>
      </c>
      <c r="D346" s="1">
        <f>IF(B346="", "", "metagenome")</f>
        <v>0</v>
      </c>
      <c r="E346" s="1">
        <f>IF(B346="", "", "256318")</f>
        <v>0</v>
      </c>
    </row>
    <row r="347" spans="1:5">
      <c r="A347">
        <f>IF(COUNTBLANK(B347:E347)&lt;&gt;COLUMNS(B347:E347),346,"")</f>
        <v>0</v>
      </c>
      <c r="C347" s="1">
        <f>IF(B347="", "", "other")</f>
        <v>0</v>
      </c>
      <c r="D347" s="1">
        <f>IF(B347="", "", "metagenome")</f>
        <v>0</v>
      </c>
      <c r="E347" s="1">
        <f>IF(B347="", "", "256318")</f>
        <v>0</v>
      </c>
    </row>
    <row r="348" spans="1:5">
      <c r="A348">
        <f>IF(COUNTBLANK(B348:E348)&lt;&gt;COLUMNS(B348:E348),347,"")</f>
        <v>0</v>
      </c>
      <c r="C348" s="1">
        <f>IF(B348="", "", "other")</f>
        <v>0</v>
      </c>
      <c r="D348" s="1">
        <f>IF(B348="", "", "metagenome")</f>
        <v>0</v>
      </c>
      <c r="E348" s="1">
        <f>IF(B348="", "", "256318")</f>
        <v>0</v>
      </c>
    </row>
    <row r="349" spans="1:5">
      <c r="A349">
        <f>IF(COUNTBLANK(B349:E349)&lt;&gt;COLUMNS(B349:E349),348,"")</f>
        <v>0</v>
      </c>
      <c r="C349" s="1">
        <f>IF(B349="", "", "other")</f>
        <v>0</v>
      </c>
      <c r="D349" s="1">
        <f>IF(B349="", "", "metagenome")</f>
        <v>0</v>
      </c>
      <c r="E349" s="1">
        <f>IF(B349="", "", "256318")</f>
        <v>0</v>
      </c>
    </row>
    <row r="350" spans="1:5">
      <c r="A350">
        <f>IF(COUNTBLANK(B350:E350)&lt;&gt;COLUMNS(B350:E350),349,"")</f>
        <v>0</v>
      </c>
      <c r="C350" s="1">
        <f>IF(B350="", "", "other")</f>
        <v>0</v>
      </c>
      <c r="D350" s="1">
        <f>IF(B350="", "", "metagenome")</f>
        <v>0</v>
      </c>
      <c r="E350" s="1">
        <f>IF(B350="", "", "256318")</f>
        <v>0</v>
      </c>
    </row>
    <row r="351" spans="1:5">
      <c r="A351">
        <f>IF(COUNTBLANK(B351:E351)&lt;&gt;COLUMNS(B351:E351),350,"")</f>
        <v>0</v>
      </c>
      <c r="C351" s="1">
        <f>IF(B351="", "", "other")</f>
        <v>0</v>
      </c>
      <c r="D351" s="1">
        <f>IF(B351="", "", "metagenome")</f>
        <v>0</v>
      </c>
      <c r="E351" s="1">
        <f>IF(B351="", "", "256318")</f>
        <v>0</v>
      </c>
    </row>
    <row r="352" spans="1:5">
      <c r="A352">
        <f>IF(COUNTBLANK(B352:E352)&lt;&gt;COLUMNS(B352:E352),351,"")</f>
        <v>0</v>
      </c>
      <c r="C352" s="1">
        <f>IF(B352="", "", "other")</f>
        <v>0</v>
      </c>
      <c r="D352" s="1">
        <f>IF(B352="", "", "metagenome")</f>
        <v>0</v>
      </c>
      <c r="E352" s="1">
        <f>IF(B352="", "", "256318")</f>
        <v>0</v>
      </c>
    </row>
    <row r="353" spans="1:5">
      <c r="A353">
        <f>IF(COUNTBLANK(B353:E353)&lt;&gt;COLUMNS(B353:E353),352,"")</f>
        <v>0</v>
      </c>
      <c r="C353" s="1">
        <f>IF(B353="", "", "other")</f>
        <v>0</v>
      </c>
      <c r="D353" s="1">
        <f>IF(B353="", "", "metagenome")</f>
        <v>0</v>
      </c>
      <c r="E353" s="1">
        <f>IF(B353="", "", "256318")</f>
        <v>0</v>
      </c>
    </row>
    <row r="354" spans="1:5">
      <c r="A354">
        <f>IF(COUNTBLANK(B354:E354)&lt;&gt;COLUMNS(B354:E354),353,"")</f>
        <v>0</v>
      </c>
      <c r="C354" s="1">
        <f>IF(B354="", "", "other")</f>
        <v>0</v>
      </c>
      <c r="D354" s="1">
        <f>IF(B354="", "", "metagenome")</f>
        <v>0</v>
      </c>
      <c r="E354" s="1">
        <f>IF(B354="", "", "256318")</f>
        <v>0</v>
      </c>
    </row>
    <row r="355" spans="1:5">
      <c r="A355">
        <f>IF(COUNTBLANK(B355:E355)&lt;&gt;COLUMNS(B355:E355),354,"")</f>
        <v>0</v>
      </c>
      <c r="C355" s="1">
        <f>IF(B355="", "", "other")</f>
        <v>0</v>
      </c>
      <c r="D355" s="1">
        <f>IF(B355="", "", "metagenome")</f>
        <v>0</v>
      </c>
      <c r="E355" s="1">
        <f>IF(B355="", "", "256318")</f>
        <v>0</v>
      </c>
    </row>
    <row r="356" spans="1:5">
      <c r="A356">
        <f>IF(COUNTBLANK(B356:E356)&lt;&gt;COLUMNS(B356:E356),355,"")</f>
        <v>0</v>
      </c>
      <c r="C356" s="1">
        <f>IF(B356="", "", "other")</f>
        <v>0</v>
      </c>
      <c r="D356" s="1">
        <f>IF(B356="", "", "metagenome")</f>
        <v>0</v>
      </c>
      <c r="E356" s="1">
        <f>IF(B356="", "", "256318")</f>
        <v>0</v>
      </c>
    </row>
    <row r="357" spans="1:5">
      <c r="A357">
        <f>IF(COUNTBLANK(B357:E357)&lt;&gt;COLUMNS(B357:E357),356,"")</f>
        <v>0</v>
      </c>
      <c r="C357" s="1">
        <f>IF(B357="", "", "other")</f>
        <v>0</v>
      </c>
      <c r="D357" s="1">
        <f>IF(B357="", "", "metagenome")</f>
        <v>0</v>
      </c>
      <c r="E357" s="1">
        <f>IF(B357="", "", "256318")</f>
        <v>0</v>
      </c>
    </row>
    <row r="358" spans="1:5">
      <c r="A358">
        <f>IF(COUNTBLANK(B358:E358)&lt;&gt;COLUMNS(B358:E358),357,"")</f>
        <v>0</v>
      </c>
      <c r="C358" s="1">
        <f>IF(B358="", "", "other")</f>
        <v>0</v>
      </c>
      <c r="D358" s="1">
        <f>IF(B358="", "", "metagenome")</f>
        <v>0</v>
      </c>
      <c r="E358" s="1">
        <f>IF(B358="", "", "256318")</f>
        <v>0</v>
      </c>
    </row>
    <row r="359" spans="1:5">
      <c r="A359">
        <f>IF(COUNTBLANK(B359:E359)&lt;&gt;COLUMNS(B359:E359),358,"")</f>
        <v>0</v>
      </c>
      <c r="C359" s="1">
        <f>IF(B359="", "", "other")</f>
        <v>0</v>
      </c>
      <c r="D359" s="1">
        <f>IF(B359="", "", "metagenome")</f>
        <v>0</v>
      </c>
      <c r="E359" s="1">
        <f>IF(B359="", "", "256318")</f>
        <v>0</v>
      </c>
    </row>
    <row r="360" spans="1:5">
      <c r="A360">
        <f>IF(COUNTBLANK(B360:E360)&lt;&gt;COLUMNS(B360:E360),359,"")</f>
        <v>0</v>
      </c>
      <c r="C360" s="1">
        <f>IF(B360="", "", "other")</f>
        <v>0</v>
      </c>
      <c r="D360" s="1">
        <f>IF(B360="", "", "metagenome")</f>
        <v>0</v>
      </c>
      <c r="E360" s="1">
        <f>IF(B360="", "", "256318")</f>
        <v>0</v>
      </c>
    </row>
    <row r="361" spans="1:5">
      <c r="A361">
        <f>IF(COUNTBLANK(B361:E361)&lt;&gt;COLUMNS(B361:E361),360,"")</f>
        <v>0</v>
      </c>
      <c r="C361" s="1">
        <f>IF(B361="", "", "other")</f>
        <v>0</v>
      </c>
      <c r="D361" s="1">
        <f>IF(B361="", "", "metagenome")</f>
        <v>0</v>
      </c>
      <c r="E361" s="1">
        <f>IF(B361="", "", "256318")</f>
        <v>0</v>
      </c>
    </row>
    <row r="362" spans="1:5">
      <c r="A362">
        <f>IF(COUNTBLANK(B362:E362)&lt;&gt;COLUMNS(B362:E362),361,"")</f>
        <v>0</v>
      </c>
      <c r="C362" s="1">
        <f>IF(B362="", "", "other")</f>
        <v>0</v>
      </c>
      <c r="D362" s="1">
        <f>IF(B362="", "", "metagenome")</f>
        <v>0</v>
      </c>
      <c r="E362" s="1">
        <f>IF(B362="", "", "256318")</f>
        <v>0</v>
      </c>
    </row>
    <row r="363" spans="1:5">
      <c r="A363">
        <f>IF(COUNTBLANK(B363:E363)&lt;&gt;COLUMNS(B363:E363),362,"")</f>
        <v>0</v>
      </c>
      <c r="C363" s="1">
        <f>IF(B363="", "", "other")</f>
        <v>0</v>
      </c>
      <c r="D363" s="1">
        <f>IF(B363="", "", "metagenome")</f>
        <v>0</v>
      </c>
      <c r="E363" s="1">
        <f>IF(B363="", "", "256318")</f>
        <v>0</v>
      </c>
    </row>
    <row r="364" spans="1:5">
      <c r="A364">
        <f>IF(COUNTBLANK(B364:E364)&lt;&gt;COLUMNS(B364:E364),363,"")</f>
        <v>0</v>
      </c>
      <c r="C364" s="1">
        <f>IF(B364="", "", "other")</f>
        <v>0</v>
      </c>
      <c r="D364" s="1">
        <f>IF(B364="", "", "metagenome")</f>
        <v>0</v>
      </c>
      <c r="E364" s="1">
        <f>IF(B364="", "", "256318")</f>
        <v>0</v>
      </c>
    </row>
    <row r="365" spans="1:5">
      <c r="A365">
        <f>IF(COUNTBLANK(B365:E365)&lt;&gt;COLUMNS(B365:E365),364,"")</f>
        <v>0</v>
      </c>
      <c r="C365" s="1">
        <f>IF(B365="", "", "other")</f>
        <v>0</v>
      </c>
      <c r="D365" s="1">
        <f>IF(B365="", "", "metagenome")</f>
        <v>0</v>
      </c>
      <c r="E365" s="1">
        <f>IF(B365="", "", "256318")</f>
        <v>0</v>
      </c>
    </row>
    <row r="366" spans="1:5">
      <c r="A366">
        <f>IF(COUNTBLANK(B366:E366)&lt;&gt;COLUMNS(B366:E366),365,"")</f>
        <v>0</v>
      </c>
      <c r="C366" s="1">
        <f>IF(B366="", "", "other")</f>
        <v>0</v>
      </c>
      <c r="D366" s="1">
        <f>IF(B366="", "", "metagenome")</f>
        <v>0</v>
      </c>
      <c r="E366" s="1">
        <f>IF(B366="", "", "256318")</f>
        <v>0</v>
      </c>
    </row>
    <row r="367" spans="1:5">
      <c r="A367">
        <f>IF(COUNTBLANK(B367:E367)&lt;&gt;COLUMNS(B367:E367),366,"")</f>
        <v>0</v>
      </c>
      <c r="C367" s="1">
        <f>IF(B367="", "", "other")</f>
        <v>0</v>
      </c>
      <c r="D367" s="1">
        <f>IF(B367="", "", "metagenome")</f>
        <v>0</v>
      </c>
      <c r="E367" s="1">
        <f>IF(B367="", "", "256318")</f>
        <v>0</v>
      </c>
    </row>
    <row r="368" spans="1:5">
      <c r="A368">
        <f>IF(COUNTBLANK(B368:E368)&lt;&gt;COLUMNS(B368:E368),367,"")</f>
        <v>0</v>
      </c>
      <c r="C368" s="1">
        <f>IF(B368="", "", "other")</f>
        <v>0</v>
      </c>
      <c r="D368" s="1">
        <f>IF(B368="", "", "metagenome")</f>
        <v>0</v>
      </c>
      <c r="E368" s="1">
        <f>IF(B368="", "", "256318")</f>
        <v>0</v>
      </c>
    </row>
    <row r="369" spans="1:5">
      <c r="A369">
        <f>IF(COUNTBLANK(B369:E369)&lt;&gt;COLUMNS(B369:E369),368,"")</f>
        <v>0</v>
      </c>
      <c r="C369" s="1">
        <f>IF(B369="", "", "other")</f>
        <v>0</v>
      </c>
      <c r="D369" s="1">
        <f>IF(B369="", "", "metagenome")</f>
        <v>0</v>
      </c>
      <c r="E369" s="1">
        <f>IF(B369="", "", "256318")</f>
        <v>0</v>
      </c>
    </row>
    <row r="370" spans="1:5">
      <c r="A370">
        <f>IF(COUNTBLANK(B370:E370)&lt;&gt;COLUMNS(B370:E370),369,"")</f>
        <v>0</v>
      </c>
      <c r="C370" s="1">
        <f>IF(B370="", "", "other")</f>
        <v>0</v>
      </c>
      <c r="D370" s="1">
        <f>IF(B370="", "", "metagenome")</f>
        <v>0</v>
      </c>
      <c r="E370" s="1">
        <f>IF(B370="", "", "256318")</f>
        <v>0</v>
      </c>
    </row>
    <row r="371" spans="1:5">
      <c r="A371">
        <f>IF(COUNTBLANK(B371:E371)&lt;&gt;COLUMNS(B371:E371),370,"")</f>
        <v>0</v>
      </c>
      <c r="C371" s="1">
        <f>IF(B371="", "", "other")</f>
        <v>0</v>
      </c>
      <c r="D371" s="1">
        <f>IF(B371="", "", "metagenome")</f>
        <v>0</v>
      </c>
      <c r="E371" s="1">
        <f>IF(B371="", "", "256318")</f>
        <v>0</v>
      </c>
    </row>
    <row r="372" spans="1:5">
      <c r="A372">
        <f>IF(COUNTBLANK(B372:E372)&lt;&gt;COLUMNS(B372:E372),371,"")</f>
        <v>0</v>
      </c>
      <c r="C372" s="1">
        <f>IF(B372="", "", "other")</f>
        <v>0</v>
      </c>
      <c r="D372" s="1">
        <f>IF(B372="", "", "metagenome")</f>
        <v>0</v>
      </c>
      <c r="E372" s="1">
        <f>IF(B372="", "", "256318")</f>
        <v>0</v>
      </c>
    </row>
    <row r="373" spans="1:5">
      <c r="A373">
        <f>IF(COUNTBLANK(B373:E373)&lt;&gt;COLUMNS(B373:E373),372,"")</f>
        <v>0</v>
      </c>
      <c r="C373" s="1">
        <f>IF(B373="", "", "other")</f>
        <v>0</v>
      </c>
      <c r="D373" s="1">
        <f>IF(B373="", "", "metagenome")</f>
        <v>0</v>
      </c>
      <c r="E373" s="1">
        <f>IF(B373="", "", "256318")</f>
        <v>0</v>
      </c>
    </row>
    <row r="374" spans="1:5">
      <c r="A374">
        <f>IF(COUNTBLANK(B374:E374)&lt;&gt;COLUMNS(B374:E374),373,"")</f>
        <v>0</v>
      </c>
      <c r="C374" s="1">
        <f>IF(B374="", "", "other")</f>
        <v>0</v>
      </c>
      <c r="D374" s="1">
        <f>IF(B374="", "", "metagenome")</f>
        <v>0</v>
      </c>
      <c r="E374" s="1">
        <f>IF(B374="", "", "256318")</f>
        <v>0</v>
      </c>
    </row>
    <row r="375" spans="1:5">
      <c r="A375">
        <f>IF(COUNTBLANK(B375:E375)&lt;&gt;COLUMNS(B375:E375),374,"")</f>
        <v>0</v>
      </c>
      <c r="C375" s="1">
        <f>IF(B375="", "", "other")</f>
        <v>0</v>
      </c>
      <c r="D375" s="1">
        <f>IF(B375="", "", "metagenome")</f>
        <v>0</v>
      </c>
      <c r="E375" s="1">
        <f>IF(B375="", "", "256318")</f>
        <v>0</v>
      </c>
    </row>
    <row r="376" spans="1:5">
      <c r="A376">
        <f>IF(COUNTBLANK(B376:E376)&lt;&gt;COLUMNS(B376:E376),375,"")</f>
        <v>0</v>
      </c>
      <c r="C376" s="1">
        <f>IF(B376="", "", "other")</f>
        <v>0</v>
      </c>
      <c r="D376" s="1">
        <f>IF(B376="", "", "metagenome")</f>
        <v>0</v>
      </c>
      <c r="E376" s="1">
        <f>IF(B376="", "", "256318")</f>
        <v>0</v>
      </c>
    </row>
    <row r="377" spans="1:5">
      <c r="A377">
        <f>IF(COUNTBLANK(B377:E377)&lt;&gt;COLUMNS(B377:E377),376,"")</f>
        <v>0</v>
      </c>
      <c r="C377" s="1">
        <f>IF(B377="", "", "other")</f>
        <v>0</v>
      </c>
      <c r="D377" s="1">
        <f>IF(B377="", "", "metagenome")</f>
        <v>0</v>
      </c>
      <c r="E377" s="1">
        <f>IF(B377="", "", "256318")</f>
        <v>0</v>
      </c>
    </row>
    <row r="378" spans="1:5">
      <c r="A378">
        <f>IF(COUNTBLANK(B378:E378)&lt;&gt;COLUMNS(B378:E378),377,"")</f>
        <v>0</v>
      </c>
      <c r="C378" s="1">
        <f>IF(B378="", "", "other")</f>
        <v>0</v>
      </c>
      <c r="D378" s="1">
        <f>IF(B378="", "", "metagenome")</f>
        <v>0</v>
      </c>
      <c r="E378" s="1">
        <f>IF(B378="", "", "256318")</f>
        <v>0</v>
      </c>
    </row>
    <row r="379" spans="1:5">
      <c r="A379">
        <f>IF(COUNTBLANK(B379:E379)&lt;&gt;COLUMNS(B379:E379),378,"")</f>
        <v>0</v>
      </c>
      <c r="C379" s="1">
        <f>IF(B379="", "", "other")</f>
        <v>0</v>
      </c>
      <c r="D379" s="1">
        <f>IF(B379="", "", "metagenome")</f>
        <v>0</v>
      </c>
      <c r="E379" s="1">
        <f>IF(B379="", "", "256318")</f>
        <v>0</v>
      </c>
    </row>
    <row r="380" spans="1:5">
      <c r="A380">
        <f>IF(COUNTBLANK(B380:E380)&lt;&gt;COLUMNS(B380:E380),379,"")</f>
        <v>0</v>
      </c>
      <c r="C380" s="1">
        <f>IF(B380="", "", "other")</f>
        <v>0</v>
      </c>
      <c r="D380" s="1">
        <f>IF(B380="", "", "metagenome")</f>
        <v>0</v>
      </c>
      <c r="E380" s="1">
        <f>IF(B380="", "", "256318")</f>
        <v>0</v>
      </c>
    </row>
    <row r="381" spans="1:5">
      <c r="A381">
        <f>IF(COUNTBLANK(B381:E381)&lt;&gt;COLUMNS(B381:E381),380,"")</f>
        <v>0</v>
      </c>
      <c r="C381" s="1">
        <f>IF(B381="", "", "other")</f>
        <v>0</v>
      </c>
      <c r="D381" s="1">
        <f>IF(B381="", "", "metagenome")</f>
        <v>0</v>
      </c>
      <c r="E381" s="1">
        <f>IF(B381="", "", "256318")</f>
        <v>0</v>
      </c>
    </row>
    <row r="382" spans="1:5">
      <c r="A382">
        <f>IF(COUNTBLANK(B382:E382)&lt;&gt;COLUMNS(B382:E382),381,"")</f>
        <v>0</v>
      </c>
      <c r="C382" s="1">
        <f>IF(B382="", "", "other")</f>
        <v>0</v>
      </c>
      <c r="D382" s="1">
        <f>IF(B382="", "", "metagenome")</f>
        <v>0</v>
      </c>
      <c r="E382" s="1">
        <f>IF(B382="", "", "256318")</f>
        <v>0</v>
      </c>
    </row>
    <row r="383" spans="1:5">
      <c r="A383">
        <f>IF(COUNTBLANK(B383:E383)&lt;&gt;COLUMNS(B383:E383),382,"")</f>
        <v>0</v>
      </c>
      <c r="C383" s="1">
        <f>IF(B383="", "", "other")</f>
        <v>0</v>
      </c>
      <c r="D383" s="1">
        <f>IF(B383="", "", "metagenome")</f>
        <v>0</v>
      </c>
      <c r="E383" s="1">
        <f>IF(B383="", "", "256318")</f>
        <v>0</v>
      </c>
    </row>
    <row r="384" spans="1:5">
      <c r="A384">
        <f>IF(COUNTBLANK(B384:E384)&lt;&gt;COLUMNS(B384:E384),383,"")</f>
        <v>0</v>
      </c>
      <c r="C384" s="1">
        <f>IF(B384="", "", "other")</f>
        <v>0</v>
      </c>
      <c r="D384" s="1">
        <f>IF(B384="", "", "metagenome")</f>
        <v>0</v>
      </c>
      <c r="E384" s="1">
        <f>IF(B384="", "", "256318")</f>
        <v>0</v>
      </c>
    </row>
    <row r="385" spans="1:5">
      <c r="A385">
        <f>IF(COUNTBLANK(B385:E385)&lt;&gt;COLUMNS(B385:E385),384,"")</f>
        <v>0</v>
      </c>
      <c r="C385" s="1">
        <f>IF(B385="", "", "other")</f>
        <v>0</v>
      </c>
      <c r="D385" s="1">
        <f>IF(B385="", "", "metagenome")</f>
        <v>0</v>
      </c>
      <c r="E385" s="1">
        <f>IF(B385="", "", "256318")</f>
        <v>0</v>
      </c>
    </row>
    <row r="386" spans="1:5">
      <c r="A386">
        <f>IF(COUNTBLANK(B386:E386)&lt;&gt;COLUMNS(B386:E386),385,"")</f>
        <v>0</v>
      </c>
      <c r="C386" s="1">
        <f>IF(B386="", "", "other")</f>
        <v>0</v>
      </c>
      <c r="D386" s="1">
        <f>IF(B386="", "", "metagenome")</f>
        <v>0</v>
      </c>
      <c r="E386" s="1">
        <f>IF(B386="", "", "256318")</f>
        <v>0</v>
      </c>
    </row>
    <row r="387" spans="1:5">
      <c r="A387">
        <f>IF(COUNTBLANK(B387:E387)&lt;&gt;COLUMNS(B387:E387),386,"")</f>
        <v>0</v>
      </c>
      <c r="C387" s="1">
        <f>IF(B387="", "", "other")</f>
        <v>0</v>
      </c>
      <c r="D387" s="1">
        <f>IF(B387="", "", "metagenome")</f>
        <v>0</v>
      </c>
      <c r="E387" s="1">
        <f>IF(B387="", "", "256318")</f>
        <v>0</v>
      </c>
    </row>
    <row r="388" spans="1:5">
      <c r="A388">
        <f>IF(COUNTBLANK(B388:E388)&lt;&gt;COLUMNS(B388:E388),387,"")</f>
        <v>0</v>
      </c>
      <c r="C388" s="1">
        <f>IF(B388="", "", "other")</f>
        <v>0</v>
      </c>
      <c r="D388" s="1">
        <f>IF(B388="", "", "metagenome")</f>
        <v>0</v>
      </c>
      <c r="E388" s="1">
        <f>IF(B388="", "", "256318")</f>
        <v>0</v>
      </c>
    </row>
    <row r="389" spans="1:5">
      <c r="A389">
        <f>IF(COUNTBLANK(B389:E389)&lt;&gt;COLUMNS(B389:E389),388,"")</f>
        <v>0</v>
      </c>
      <c r="C389" s="1">
        <f>IF(B389="", "", "other")</f>
        <v>0</v>
      </c>
      <c r="D389" s="1">
        <f>IF(B389="", "", "metagenome")</f>
        <v>0</v>
      </c>
      <c r="E389" s="1">
        <f>IF(B389="", "", "256318")</f>
        <v>0</v>
      </c>
    </row>
    <row r="390" spans="1:5">
      <c r="A390">
        <f>IF(COUNTBLANK(B390:E390)&lt;&gt;COLUMNS(B390:E390),389,"")</f>
        <v>0</v>
      </c>
      <c r="C390" s="1">
        <f>IF(B390="", "", "other")</f>
        <v>0</v>
      </c>
      <c r="D390" s="1">
        <f>IF(B390="", "", "metagenome")</f>
        <v>0</v>
      </c>
      <c r="E390" s="1">
        <f>IF(B390="", "", "256318")</f>
        <v>0</v>
      </c>
    </row>
    <row r="391" spans="1:5">
      <c r="A391">
        <f>IF(COUNTBLANK(B391:E391)&lt;&gt;COLUMNS(B391:E391),390,"")</f>
        <v>0</v>
      </c>
      <c r="C391" s="1">
        <f>IF(B391="", "", "other")</f>
        <v>0</v>
      </c>
      <c r="D391" s="1">
        <f>IF(B391="", "", "metagenome")</f>
        <v>0</v>
      </c>
      <c r="E391" s="1">
        <f>IF(B391="", "", "256318")</f>
        <v>0</v>
      </c>
    </row>
    <row r="392" spans="1:5">
      <c r="A392">
        <f>IF(COUNTBLANK(B392:E392)&lt;&gt;COLUMNS(B392:E392),391,"")</f>
        <v>0</v>
      </c>
      <c r="C392" s="1">
        <f>IF(B392="", "", "other")</f>
        <v>0</v>
      </c>
      <c r="D392" s="1">
        <f>IF(B392="", "", "metagenome")</f>
        <v>0</v>
      </c>
      <c r="E392" s="1">
        <f>IF(B392="", "", "256318")</f>
        <v>0</v>
      </c>
    </row>
    <row r="393" spans="1:5">
      <c r="A393">
        <f>IF(COUNTBLANK(B393:E393)&lt;&gt;COLUMNS(B393:E393),392,"")</f>
        <v>0</v>
      </c>
      <c r="C393" s="1">
        <f>IF(B393="", "", "other")</f>
        <v>0</v>
      </c>
      <c r="D393" s="1">
        <f>IF(B393="", "", "metagenome")</f>
        <v>0</v>
      </c>
      <c r="E393" s="1">
        <f>IF(B393="", "", "256318")</f>
        <v>0</v>
      </c>
    </row>
    <row r="394" spans="1:5">
      <c r="A394">
        <f>IF(COUNTBLANK(B394:E394)&lt;&gt;COLUMNS(B394:E394),393,"")</f>
        <v>0</v>
      </c>
      <c r="C394" s="1">
        <f>IF(B394="", "", "other")</f>
        <v>0</v>
      </c>
      <c r="D394" s="1">
        <f>IF(B394="", "", "metagenome")</f>
        <v>0</v>
      </c>
      <c r="E394" s="1">
        <f>IF(B394="", "", "256318")</f>
        <v>0</v>
      </c>
    </row>
    <row r="395" spans="1:5">
      <c r="A395">
        <f>IF(COUNTBLANK(B395:E395)&lt;&gt;COLUMNS(B395:E395),394,"")</f>
        <v>0</v>
      </c>
      <c r="C395" s="1">
        <f>IF(B395="", "", "other")</f>
        <v>0</v>
      </c>
      <c r="D395" s="1">
        <f>IF(B395="", "", "metagenome")</f>
        <v>0</v>
      </c>
      <c r="E395" s="1">
        <f>IF(B395="", "", "256318")</f>
        <v>0</v>
      </c>
    </row>
    <row r="396" spans="1:5">
      <c r="A396">
        <f>IF(COUNTBLANK(B396:E396)&lt;&gt;COLUMNS(B396:E396),395,"")</f>
        <v>0</v>
      </c>
      <c r="C396" s="1">
        <f>IF(B396="", "", "other")</f>
        <v>0</v>
      </c>
      <c r="D396" s="1">
        <f>IF(B396="", "", "metagenome")</f>
        <v>0</v>
      </c>
      <c r="E396" s="1">
        <f>IF(B396="", "", "256318")</f>
        <v>0</v>
      </c>
    </row>
    <row r="397" spans="1:5">
      <c r="A397">
        <f>IF(COUNTBLANK(B397:E397)&lt;&gt;COLUMNS(B397:E397),396,"")</f>
        <v>0</v>
      </c>
      <c r="C397" s="1">
        <f>IF(B397="", "", "other")</f>
        <v>0</v>
      </c>
      <c r="D397" s="1">
        <f>IF(B397="", "", "metagenome")</f>
        <v>0</v>
      </c>
      <c r="E397" s="1">
        <f>IF(B397="", "", "256318")</f>
        <v>0</v>
      </c>
    </row>
    <row r="398" spans="1:5">
      <c r="A398">
        <f>IF(COUNTBLANK(B398:E398)&lt;&gt;COLUMNS(B398:E398),397,"")</f>
        <v>0</v>
      </c>
      <c r="C398" s="1">
        <f>IF(B398="", "", "other")</f>
        <v>0</v>
      </c>
      <c r="D398" s="1">
        <f>IF(B398="", "", "metagenome")</f>
        <v>0</v>
      </c>
      <c r="E398" s="1">
        <f>IF(B398="", "", "256318")</f>
        <v>0</v>
      </c>
    </row>
    <row r="399" spans="1:5">
      <c r="A399">
        <f>IF(COUNTBLANK(B399:E399)&lt;&gt;COLUMNS(B399:E399),398,"")</f>
        <v>0</v>
      </c>
      <c r="C399" s="1">
        <f>IF(B399="", "", "other")</f>
        <v>0</v>
      </c>
      <c r="D399" s="1">
        <f>IF(B399="", "", "metagenome")</f>
        <v>0</v>
      </c>
      <c r="E399" s="1">
        <f>IF(B399="", "", "256318")</f>
        <v>0</v>
      </c>
    </row>
    <row r="400" spans="1:5">
      <c r="A400">
        <f>IF(COUNTBLANK(B400:E400)&lt;&gt;COLUMNS(B400:E400),399,"")</f>
        <v>0</v>
      </c>
      <c r="C400" s="1">
        <f>IF(B400="", "", "other")</f>
        <v>0</v>
      </c>
      <c r="D400" s="1">
        <f>IF(B400="", "", "metagenome")</f>
        <v>0</v>
      </c>
      <c r="E400" s="1">
        <f>IF(B400="", "", "256318")</f>
        <v>0</v>
      </c>
    </row>
    <row r="401" spans="1:5">
      <c r="A401">
        <f>IF(COUNTBLANK(B401:E401)&lt;&gt;COLUMNS(B401:E401),400,"")</f>
        <v>0</v>
      </c>
      <c r="C401" s="1">
        <f>IF(B401="", "", "other")</f>
        <v>0</v>
      </c>
      <c r="D401" s="1">
        <f>IF(B401="", "", "metagenome")</f>
        <v>0</v>
      </c>
      <c r="E401" s="1">
        <f>IF(B401="", "", "256318")</f>
        <v>0</v>
      </c>
    </row>
    <row r="402" spans="1:5">
      <c r="A402">
        <f>IF(COUNTBLANK(B402:E402)&lt;&gt;COLUMNS(B402:E402),401,"")</f>
        <v>0</v>
      </c>
      <c r="C402" s="1">
        <f>IF(B402="", "", "other")</f>
        <v>0</v>
      </c>
      <c r="D402" s="1">
        <f>IF(B402="", "", "metagenome")</f>
        <v>0</v>
      </c>
      <c r="E402" s="1">
        <f>IF(B402="", "", "256318")</f>
        <v>0</v>
      </c>
    </row>
    <row r="403" spans="1:5">
      <c r="A403">
        <f>IF(COUNTBLANK(B403:E403)&lt;&gt;COLUMNS(B403:E403),402,"")</f>
        <v>0</v>
      </c>
      <c r="C403" s="1">
        <f>IF(B403="", "", "other")</f>
        <v>0</v>
      </c>
      <c r="D403" s="1">
        <f>IF(B403="", "", "metagenome")</f>
        <v>0</v>
      </c>
      <c r="E403" s="1">
        <f>IF(B403="", "", "256318")</f>
        <v>0</v>
      </c>
    </row>
    <row r="404" spans="1:5">
      <c r="A404">
        <f>IF(COUNTBLANK(B404:E404)&lt;&gt;COLUMNS(B404:E404),403,"")</f>
        <v>0</v>
      </c>
      <c r="C404" s="1">
        <f>IF(B404="", "", "other")</f>
        <v>0</v>
      </c>
      <c r="D404" s="1">
        <f>IF(B404="", "", "metagenome")</f>
        <v>0</v>
      </c>
      <c r="E404" s="1">
        <f>IF(B404="", "", "256318")</f>
        <v>0</v>
      </c>
    </row>
    <row r="405" spans="1:5">
      <c r="A405">
        <f>IF(COUNTBLANK(B405:E405)&lt;&gt;COLUMNS(B405:E405),404,"")</f>
        <v>0</v>
      </c>
      <c r="C405" s="1">
        <f>IF(B405="", "", "other")</f>
        <v>0</v>
      </c>
      <c r="D405" s="1">
        <f>IF(B405="", "", "metagenome")</f>
        <v>0</v>
      </c>
      <c r="E405" s="1">
        <f>IF(B405="", "", "256318")</f>
        <v>0</v>
      </c>
    </row>
    <row r="406" spans="1:5">
      <c r="A406">
        <f>IF(COUNTBLANK(B406:E406)&lt;&gt;COLUMNS(B406:E406),405,"")</f>
        <v>0</v>
      </c>
      <c r="C406" s="1">
        <f>IF(B406="", "", "other")</f>
        <v>0</v>
      </c>
      <c r="D406" s="1">
        <f>IF(B406="", "", "metagenome")</f>
        <v>0</v>
      </c>
      <c r="E406" s="1">
        <f>IF(B406="", "", "256318")</f>
        <v>0</v>
      </c>
    </row>
    <row r="407" spans="1:5">
      <c r="A407">
        <f>IF(COUNTBLANK(B407:E407)&lt;&gt;COLUMNS(B407:E407),406,"")</f>
        <v>0</v>
      </c>
      <c r="C407" s="1">
        <f>IF(B407="", "", "other")</f>
        <v>0</v>
      </c>
      <c r="D407" s="1">
        <f>IF(B407="", "", "metagenome")</f>
        <v>0</v>
      </c>
      <c r="E407" s="1">
        <f>IF(B407="", "", "256318")</f>
        <v>0</v>
      </c>
    </row>
    <row r="408" spans="1:5">
      <c r="A408">
        <f>IF(COUNTBLANK(B408:E408)&lt;&gt;COLUMNS(B408:E408),407,"")</f>
        <v>0</v>
      </c>
      <c r="C408" s="1">
        <f>IF(B408="", "", "other")</f>
        <v>0</v>
      </c>
      <c r="D408" s="1">
        <f>IF(B408="", "", "metagenome")</f>
        <v>0</v>
      </c>
      <c r="E408" s="1">
        <f>IF(B408="", "", "256318")</f>
        <v>0</v>
      </c>
    </row>
    <row r="409" spans="1:5">
      <c r="A409">
        <f>IF(COUNTBLANK(B409:E409)&lt;&gt;COLUMNS(B409:E409),408,"")</f>
        <v>0</v>
      </c>
      <c r="C409" s="1">
        <f>IF(B409="", "", "other")</f>
        <v>0</v>
      </c>
      <c r="D409" s="1">
        <f>IF(B409="", "", "metagenome")</f>
        <v>0</v>
      </c>
      <c r="E409" s="1">
        <f>IF(B409="", "", "256318")</f>
        <v>0</v>
      </c>
    </row>
    <row r="410" spans="1:5">
      <c r="A410">
        <f>IF(COUNTBLANK(B410:E410)&lt;&gt;COLUMNS(B410:E410),409,"")</f>
        <v>0</v>
      </c>
      <c r="C410" s="1">
        <f>IF(B410="", "", "other")</f>
        <v>0</v>
      </c>
      <c r="D410" s="1">
        <f>IF(B410="", "", "metagenome")</f>
        <v>0</v>
      </c>
      <c r="E410" s="1">
        <f>IF(B410="", "", "256318")</f>
        <v>0</v>
      </c>
    </row>
    <row r="411" spans="1:5">
      <c r="A411">
        <f>IF(COUNTBLANK(B411:E411)&lt;&gt;COLUMNS(B411:E411),410,"")</f>
        <v>0</v>
      </c>
      <c r="C411" s="1">
        <f>IF(B411="", "", "other")</f>
        <v>0</v>
      </c>
      <c r="D411" s="1">
        <f>IF(B411="", "", "metagenome")</f>
        <v>0</v>
      </c>
      <c r="E411" s="1">
        <f>IF(B411="", "", "256318")</f>
        <v>0</v>
      </c>
    </row>
    <row r="412" spans="1:5">
      <c r="A412">
        <f>IF(COUNTBLANK(B412:E412)&lt;&gt;COLUMNS(B412:E412),411,"")</f>
        <v>0</v>
      </c>
      <c r="C412" s="1">
        <f>IF(B412="", "", "other")</f>
        <v>0</v>
      </c>
      <c r="D412" s="1">
        <f>IF(B412="", "", "metagenome")</f>
        <v>0</v>
      </c>
      <c r="E412" s="1">
        <f>IF(B412="", "", "256318")</f>
        <v>0</v>
      </c>
    </row>
    <row r="413" spans="1:5">
      <c r="A413">
        <f>IF(COUNTBLANK(B413:E413)&lt;&gt;COLUMNS(B413:E413),412,"")</f>
        <v>0</v>
      </c>
      <c r="C413" s="1">
        <f>IF(B413="", "", "other")</f>
        <v>0</v>
      </c>
      <c r="D413" s="1">
        <f>IF(B413="", "", "metagenome")</f>
        <v>0</v>
      </c>
      <c r="E413" s="1">
        <f>IF(B413="", "", "256318")</f>
        <v>0</v>
      </c>
    </row>
    <row r="414" spans="1:5">
      <c r="A414">
        <f>IF(COUNTBLANK(B414:E414)&lt;&gt;COLUMNS(B414:E414),413,"")</f>
        <v>0</v>
      </c>
      <c r="C414" s="1">
        <f>IF(B414="", "", "other")</f>
        <v>0</v>
      </c>
      <c r="D414" s="1">
        <f>IF(B414="", "", "metagenome")</f>
        <v>0</v>
      </c>
      <c r="E414" s="1">
        <f>IF(B414="", "", "256318")</f>
        <v>0</v>
      </c>
    </row>
    <row r="415" spans="1:5">
      <c r="A415">
        <f>IF(COUNTBLANK(B415:E415)&lt;&gt;COLUMNS(B415:E415),414,"")</f>
        <v>0</v>
      </c>
      <c r="C415" s="1">
        <f>IF(B415="", "", "other")</f>
        <v>0</v>
      </c>
      <c r="D415" s="1">
        <f>IF(B415="", "", "metagenome")</f>
        <v>0</v>
      </c>
      <c r="E415" s="1">
        <f>IF(B415="", "", "256318")</f>
        <v>0</v>
      </c>
    </row>
    <row r="416" spans="1:5">
      <c r="A416">
        <f>IF(COUNTBLANK(B416:E416)&lt;&gt;COLUMNS(B416:E416),415,"")</f>
        <v>0</v>
      </c>
      <c r="C416" s="1">
        <f>IF(B416="", "", "other")</f>
        <v>0</v>
      </c>
      <c r="D416" s="1">
        <f>IF(B416="", "", "metagenome")</f>
        <v>0</v>
      </c>
      <c r="E416" s="1">
        <f>IF(B416="", "", "256318")</f>
        <v>0</v>
      </c>
    </row>
    <row r="417" spans="1:5">
      <c r="A417">
        <f>IF(COUNTBLANK(B417:E417)&lt;&gt;COLUMNS(B417:E417),416,"")</f>
        <v>0</v>
      </c>
      <c r="C417" s="1">
        <f>IF(B417="", "", "other")</f>
        <v>0</v>
      </c>
      <c r="D417" s="1">
        <f>IF(B417="", "", "metagenome")</f>
        <v>0</v>
      </c>
      <c r="E417" s="1">
        <f>IF(B417="", "", "256318")</f>
        <v>0</v>
      </c>
    </row>
    <row r="418" spans="1:5">
      <c r="A418">
        <f>IF(COUNTBLANK(B418:E418)&lt;&gt;COLUMNS(B418:E418),417,"")</f>
        <v>0</v>
      </c>
      <c r="C418" s="1">
        <f>IF(B418="", "", "other")</f>
        <v>0</v>
      </c>
      <c r="D418" s="1">
        <f>IF(B418="", "", "metagenome")</f>
        <v>0</v>
      </c>
      <c r="E418" s="1">
        <f>IF(B418="", "", "256318")</f>
        <v>0</v>
      </c>
    </row>
    <row r="419" spans="1:5">
      <c r="A419">
        <f>IF(COUNTBLANK(B419:E419)&lt;&gt;COLUMNS(B419:E419),418,"")</f>
        <v>0</v>
      </c>
      <c r="C419" s="1">
        <f>IF(B419="", "", "other")</f>
        <v>0</v>
      </c>
      <c r="D419" s="1">
        <f>IF(B419="", "", "metagenome")</f>
        <v>0</v>
      </c>
      <c r="E419" s="1">
        <f>IF(B419="", "", "256318")</f>
        <v>0</v>
      </c>
    </row>
    <row r="420" spans="1:5">
      <c r="A420">
        <f>IF(COUNTBLANK(B420:E420)&lt;&gt;COLUMNS(B420:E420),419,"")</f>
        <v>0</v>
      </c>
      <c r="C420" s="1">
        <f>IF(B420="", "", "other")</f>
        <v>0</v>
      </c>
      <c r="D420" s="1">
        <f>IF(B420="", "", "metagenome")</f>
        <v>0</v>
      </c>
      <c r="E420" s="1">
        <f>IF(B420="", "", "256318")</f>
        <v>0</v>
      </c>
    </row>
    <row r="421" spans="1:5">
      <c r="A421">
        <f>IF(COUNTBLANK(B421:E421)&lt;&gt;COLUMNS(B421:E421),420,"")</f>
        <v>0</v>
      </c>
      <c r="C421" s="1">
        <f>IF(B421="", "", "other")</f>
        <v>0</v>
      </c>
      <c r="D421" s="1">
        <f>IF(B421="", "", "metagenome")</f>
        <v>0</v>
      </c>
      <c r="E421" s="1">
        <f>IF(B421="", "", "256318")</f>
        <v>0</v>
      </c>
    </row>
    <row r="422" spans="1:5">
      <c r="A422">
        <f>IF(COUNTBLANK(B422:E422)&lt;&gt;COLUMNS(B422:E422),421,"")</f>
        <v>0</v>
      </c>
      <c r="C422" s="1">
        <f>IF(B422="", "", "other")</f>
        <v>0</v>
      </c>
      <c r="D422" s="1">
        <f>IF(B422="", "", "metagenome")</f>
        <v>0</v>
      </c>
      <c r="E422" s="1">
        <f>IF(B422="", "", "256318")</f>
        <v>0</v>
      </c>
    </row>
    <row r="423" spans="1:5">
      <c r="A423">
        <f>IF(COUNTBLANK(B423:E423)&lt;&gt;COLUMNS(B423:E423),422,"")</f>
        <v>0</v>
      </c>
      <c r="C423" s="1">
        <f>IF(B423="", "", "other")</f>
        <v>0</v>
      </c>
      <c r="D423" s="1">
        <f>IF(B423="", "", "metagenome")</f>
        <v>0</v>
      </c>
      <c r="E423" s="1">
        <f>IF(B423="", "", "256318")</f>
        <v>0</v>
      </c>
    </row>
    <row r="424" spans="1:5">
      <c r="A424">
        <f>IF(COUNTBLANK(B424:E424)&lt;&gt;COLUMNS(B424:E424),423,"")</f>
        <v>0</v>
      </c>
      <c r="C424" s="1">
        <f>IF(B424="", "", "other")</f>
        <v>0</v>
      </c>
      <c r="D424" s="1">
        <f>IF(B424="", "", "metagenome")</f>
        <v>0</v>
      </c>
      <c r="E424" s="1">
        <f>IF(B424="", "", "256318")</f>
        <v>0</v>
      </c>
    </row>
    <row r="425" spans="1:5">
      <c r="A425">
        <f>IF(COUNTBLANK(B425:E425)&lt;&gt;COLUMNS(B425:E425),424,"")</f>
        <v>0</v>
      </c>
      <c r="C425" s="1">
        <f>IF(B425="", "", "other")</f>
        <v>0</v>
      </c>
      <c r="D425" s="1">
        <f>IF(B425="", "", "metagenome")</f>
        <v>0</v>
      </c>
      <c r="E425" s="1">
        <f>IF(B425="", "", "256318")</f>
        <v>0</v>
      </c>
    </row>
    <row r="426" spans="1:5">
      <c r="A426">
        <f>IF(COUNTBLANK(B426:E426)&lt;&gt;COLUMNS(B426:E426),425,"")</f>
        <v>0</v>
      </c>
      <c r="C426" s="1">
        <f>IF(B426="", "", "other")</f>
        <v>0</v>
      </c>
      <c r="D426" s="1">
        <f>IF(B426="", "", "metagenome")</f>
        <v>0</v>
      </c>
      <c r="E426" s="1">
        <f>IF(B426="", "", "256318")</f>
        <v>0</v>
      </c>
    </row>
    <row r="427" spans="1:5">
      <c r="A427">
        <f>IF(COUNTBLANK(B427:E427)&lt;&gt;COLUMNS(B427:E427),426,"")</f>
        <v>0</v>
      </c>
      <c r="C427" s="1">
        <f>IF(B427="", "", "other")</f>
        <v>0</v>
      </c>
      <c r="D427" s="1">
        <f>IF(B427="", "", "metagenome")</f>
        <v>0</v>
      </c>
      <c r="E427" s="1">
        <f>IF(B427="", "", "256318")</f>
        <v>0</v>
      </c>
    </row>
    <row r="428" spans="1:5">
      <c r="A428">
        <f>IF(COUNTBLANK(B428:E428)&lt;&gt;COLUMNS(B428:E428),427,"")</f>
        <v>0</v>
      </c>
      <c r="C428" s="1">
        <f>IF(B428="", "", "other")</f>
        <v>0</v>
      </c>
      <c r="D428" s="1">
        <f>IF(B428="", "", "metagenome")</f>
        <v>0</v>
      </c>
      <c r="E428" s="1">
        <f>IF(B428="", "", "256318")</f>
        <v>0</v>
      </c>
    </row>
    <row r="429" spans="1:5">
      <c r="A429">
        <f>IF(COUNTBLANK(B429:E429)&lt;&gt;COLUMNS(B429:E429),428,"")</f>
        <v>0</v>
      </c>
      <c r="C429" s="1">
        <f>IF(B429="", "", "other")</f>
        <v>0</v>
      </c>
      <c r="D429" s="1">
        <f>IF(B429="", "", "metagenome")</f>
        <v>0</v>
      </c>
      <c r="E429" s="1">
        <f>IF(B429="", "", "256318")</f>
        <v>0</v>
      </c>
    </row>
    <row r="430" spans="1:5">
      <c r="A430">
        <f>IF(COUNTBLANK(B430:E430)&lt;&gt;COLUMNS(B430:E430),429,"")</f>
        <v>0</v>
      </c>
      <c r="C430" s="1">
        <f>IF(B430="", "", "other")</f>
        <v>0</v>
      </c>
      <c r="D430" s="1">
        <f>IF(B430="", "", "metagenome")</f>
        <v>0</v>
      </c>
      <c r="E430" s="1">
        <f>IF(B430="", "", "256318")</f>
        <v>0</v>
      </c>
    </row>
    <row r="431" spans="1:5">
      <c r="A431">
        <f>IF(COUNTBLANK(B431:E431)&lt;&gt;COLUMNS(B431:E431),430,"")</f>
        <v>0</v>
      </c>
      <c r="C431" s="1">
        <f>IF(B431="", "", "other")</f>
        <v>0</v>
      </c>
      <c r="D431" s="1">
        <f>IF(B431="", "", "metagenome")</f>
        <v>0</v>
      </c>
      <c r="E431" s="1">
        <f>IF(B431="", "", "256318")</f>
        <v>0</v>
      </c>
    </row>
    <row r="432" spans="1:5">
      <c r="A432">
        <f>IF(COUNTBLANK(B432:E432)&lt;&gt;COLUMNS(B432:E432),431,"")</f>
        <v>0</v>
      </c>
      <c r="C432" s="1">
        <f>IF(B432="", "", "other")</f>
        <v>0</v>
      </c>
      <c r="D432" s="1">
        <f>IF(B432="", "", "metagenome")</f>
        <v>0</v>
      </c>
      <c r="E432" s="1">
        <f>IF(B432="", "", "256318")</f>
        <v>0</v>
      </c>
    </row>
    <row r="433" spans="1:5">
      <c r="A433">
        <f>IF(COUNTBLANK(B433:E433)&lt;&gt;COLUMNS(B433:E433),432,"")</f>
        <v>0</v>
      </c>
      <c r="C433" s="1">
        <f>IF(B433="", "", "other")</f>
        <v>0</v>
      </c>
      <c r="D433" s="1">
        <f>IF(B433="", "", "metagenome")</f>
        <v>0</v>
      </c>
      <c r="E433" s="1">
        <f>IF(B433="", "", "256318")</f>
        <v>0</v>
      </c>
    </row>
    <row r="434" spans="1:5">
      <c r="A434">
        <f>IF(COUNTBLANK(B434:E434)&lt;&gt;COLUMNS(B434:E434),433,"")</f>
        <v>0</v>
      </c>
      <c r="C434" s="1">
        <f>IF(B434="", "", "other")</f>
        <v>0</v>
      </c>
      <c r="D434" s="1">
        <f>IF(B434="", "", "metagenome")</f>
        <v>0</v>
      </c>
      <c r="E434" s="1">
        <f>IF(B434="", "", "256318")</f>
        <v>0</v>
      </c>
    </row>
    <row r="435" spans="1:5">
      <c r="A435">
        <f>IF(COUNTBLANK(B435:E435)&lt;&gt;COLUMNS(B435:E435),434,"")</f>
        <v>0</v>
      </c>
      <c r="C435" s="1">
        <f>IF(B435="", "", "other")</f>
        <v>0</v>
      </c>
      <c r="D435" s="1">
        <f>IF(B435="", "", "metagenome")</f>
        <v>0</v>
      </c>
      <c r="E435" s="1">
        <f>IF(B435="", "", "256318")</f>
        <v>0</v>
      </c>
    </row>
    <row r="436" spans="1:5">
      <c r="A436">
        <f>IF(COUNTBLANK(B436:E436)&lt;&gt;COLUMNS(B436:E436),435,"")</f>
        <v>0</v>
      </c>
      <c r="C436" s="1">
        <f>IF(B436="", "", "other")</f>
        <v>0</v>
      </c>
      <c r="D436" s="1">
        <f>IF(B436="", "", "metagenome")</f>
        <v>0</v>
      </c>
      <c r="E436" s="1">
        <f>IF(B436="", "", "256318")</f>
        <v>0</v>
      </c>
    </row>
    <row r="437" spans="1:5">
      <c r="A437">
        <f>IF(COUNTBLANK(B437:E437)&lt;&gt;COLUMNS(B437:E437),436,"")</f>
        <v>0</v>
      </c>
      <c r="C437" s="1">
        <f>IF(B437="", "", "other")</f>
        <v>0</v>
      </c>
      <c r="D437" s="1">
        <f>IF(B437="", "", "metagenome")</f>
        <v>0</v>
      </c>
      <c r="E437" s="1">
        <f>IF(B437="", "", "256318")</f>
        <v>0</v>
      </c>
    </row>
    <row r="438" spans="1:5">
      <c r="A438">
        <f>IF(COUNTBLANK(B438:E438)&lt;&gt;COLUMNS(B438:E438),437,"")</f>
        <v>0</v>
      </c>
      <c r="C438" s="1">
        <f>IF(B438="", "", "other")</f>
        <v>0</v>
      </c>
      <c r="D438" s="1">
        <f>IF(B438="", "", "metagenome")</f>
        <v>0</v>
      </c>
      <c r="E438" s="1">
        <f>IF(B438="", "", "256318")</f>
        <v>0</v>
      </c>
    </row>
    <row r="439" spans="1:5">
      <c r="A439">
        <f>IF(COUNTBLANK(B439:E439)&lt;&gt;COLUMNS(B439:E439),438,"")</f>
        <v>0</v>
      </c>
      <c r="C439" s="1">
        <f>IF(B439="", "", "other")</f>
        <v>0</v>
      </c>
      <c r="D439" s="1">
        <f>IF(B439="", "", "metagenome")</f>
        <v>0</v>
      </c>
      <c r="E439" s="1">
        <f>IF(B439="", "", "256318")</f>
        <v>0</v>
      </c>
    </row>
    <row r="440" spans="1:5">
      <c r="A440">
        <f>IF(COUNTBLANK(B440:E440)&lt;&gt;COLUMNS(B440:E440),439,"")</f>
        <v>0</v>
      </c>
      <c r="C440" s="1">
        <f>IF(B440="", "", "other")</f>
        <v>0</v>
      </c>
      <c r="D440" s="1">
        <f>IF(B440="", "", "metagenome")</f>
        <v>0</v>
      </c>
      <c r="E440" s="1">
        <f>IF(B440="", "", "256318")</f>
        <v>0</v>
      </c>
    </row>
    <row r="441" spans="1:5">
      <c r="A441">
        <f>IF(COUNTBLANK(B441:E441)&lt;&gt;COLUMNS(B441:E441),440,"")</f>
        <v>0</v>
      </c>
      <c r="C441" s="1">
        <f>IF(B441="", "", "other")</f>
        <v>0</v>
      </c>
      <c r="D441" s="1">
        <f>IF(B441="", "", "metagenome")</f>
        <v>0</v>
      </c>
      <c r="E441" s="1">
        <f>IF(B441="", "", "256318")</f>
        <v>0</v>
      </c>
    </row>
    <row r="442" spans="1:5">
      <c r="A442">
        <f>IF(COUNTBLANK(B442:E442)&lt;&gt;COLUMNS(B442:E442),441,"")</f>
        <v>0</v>
      </c>
      <c r="C442" s="1">
        <f>IF(B442="", "", "other")</f>
        <v>0</v>
      </c>
      <c r="D442" s="1">
        <f>IF(B442="", "", "metagenome")</f>
        <v>0</v>
      </c>
      <c r="E442" s="1">
        <f>IF(B442="", "", "256318")</f>
        <v>0</v>
      </c>
    </row>
    <row r="443" spans="1:5">
      <c r="A443">
        <f>IF(COUNTBLANK(B443:E443)&lt;&gt;COLUMNS(B443:E443),442,"")</f>
        <v>0</v>
      </c>
      <c r="C443" s="1">
        <f>IF(B443="", "", "other")</f>
        <v>0</v>
      </c>
      <c r="D443" s="1">
        <f>IF(B443="", "", "metagenome")</f>
        <v>0</v>
      </c>
      <c r="E443" s="1">
        <f>IF(B443="", "", "256318")</f>
        <v>0</v>
      </c>
    </row>
    <row r="444" spans="1:5">
      <c r="A444">
        <f>IF(COUNTBLANK(B444:E444)&lt;&gt;COLUMNS(B444:E444),443,"")</f>
        <v>0</v>
      </c>
      <c r="C444" s="1">
        <f>IF(B444="", "", "other")</f>
        <v>0</v>
      </c>
      <c r="D444" s="1">
        <f>IF(B444="", "", "metagenome")</f>
        <v>0</v>
      </c>
      <c r="E444" s="1">
        <f>IF(B444="", "", "256318")</f>
        <v>0</v>
      </c>
    </row>
    <row r="445" spans="1:5">
      <c r="A445">
        <f>IF(COUNTBLANK(B445:E445)&lt;&gt;COLUMNS(B445:E445),444,"")</f>
        <v>0</v>
      </c>
      <c r="C445" s="1">
        <f>IF(B445="", "", "other")</f>
        <v>0</v>
      </c>
      <c r="D445" s="1">
        <f>IF(B445="", "", "metagenome")</f>
        <v>0</v>
      </c>
      <c r="E445" s="1">
        <f>IF(B445="", "", "256318")</f>
        <v>0</v>
      </c>
    </row>
    <row r="446" spans="1:5">
      <c r="A446">
        <f>IF(COUNTBLANK(B446:E446)&lt;&gt;COLUMNS(B446:E446),445,"")</f>
        <v>0</v>
      </c>
      <c r="C446" s="1">
        <f>IF(B446="", "", "other")</f>
        <v>0</v>
      </c>
      <c r="D446" s="1">
        <f>IF(B446="", "", "metagenome")</f>
        <v>0</v>
      </c>
      <c r="E446" s="1">
        <f>IF(B446="", "", "256318")</f>
        <v>0</v>
      </c>
    </row>
    <row r="447" spans="1:5">
      <c r="A447">
        <f>IF(COUNTBLANK(B447:E447)&lt;&gt;COLUMNS(B447:E447),446,"")</f>
        <v>0</v>
      </c>
      <c r="C447" s="1">
        <f>IF(B447="", "", "other")</f>
        <v>0</v>
      </c>
      <c r="D447" s="1">
        <f>IF(B447="", "", "metagenome")</f>
        <v>0</v>
      </c>
      <c r="E447" s="1">
        <f>IF(B447="", "", "256318")</f>
        <v>0</v>
      </c>
    </row>
    <row r="448" spans="1:5">
      <c r="A448">
        <f>IF(COUNTBLANK(B448:E448)&lt;&gt;COLUMNS(B448:E448),447,"")</f>
        <v>0</v>
      </c>
      <c r="C448" s="1">
        <f>IF(B448="", "", "other")</f>
        <v>0</v>
      </c>
      <c r="D448" s="1">
        <f>IF(B448="", "", "metagenome")</f>
        <v>0</v>
      </c>
      <c r="E448" s="1">
        <f>IF(B448="", "", "256318")</f>
        <v>0</v>
      </c>
    </row>
    <row r="449" spans="1:5">
      <c r="A449">
        <f>IF(COUNTBLANK(B449:E449)&lt;&gt;COLUMNS(B449:E449),448,"")</f>
        <v>0</v>
      </c>
      <c r="C449" s="1">
        <f>IF(B449="", "", "other")</f>
        <v>0</v>
      </c>
      <c r="D449" s="1">
        <f>IF(B449="", "", "metagenome")</f>
        <v>0</v>
      </c>
      <c r="E449" s="1">
        <f>IF(B449="", "", "256318")</f>
        <v>0</v>
      </c>
    </row>
    <row r="450" spans="1:5">
      <c r="A450">
        <f>IF(COUNTBLANK(B450:E450)&lt;&gt;COLUMNS(B450:E450),449,"")</f>
        <v>0</v>
      </c>
      <c r="C450" s="1">
        <f>IF(B450="", "", "other")</f>
        <v>0</v>
      </c>
      <c r="D450" s="1">
        <f>IF(B450="", "", "metagenome")</f>
        <v>0</v>
      </c>
      <c r="E450" s="1">
        <f>IF(B450="", "", "256318")</f>
        <v>0</v>
      </c>
    </row>
    <row r="451" spans="1:5">
      <c r="A451">
        <f>IF(COUNTBLANK(B451:E451)&lt;&gt;COLUMNS(B451:E451),450,"")</f>
        <v>0</v>
      </c>
      <c r="C451" s="1">
        <f>IF(B451="", "", "other")</f>
        <v>0</v>
      </c>
      <c r="D451" s="1">
        <f>IF(B451="", "", "metagenome")</f>
        <v>0</v>
      </c>
      <c r="E451" s="1">
        <f>IF(B451="", "", "256318")</f>
        <v>0</v>
      </c>
    </row>
    <row r="452" spans="1:5">
      <c r="A452">
        <f>IF(COUNTBLANK(B452:E452)&lt;&gt;COLUMNS(B452:E452),451,"")</f>
        <v>0</v>
      </c>
      <c r="C452" s="1">
        <f>IF(B452="", "", "other")</f>
        <v>0</v>
      </c>
      <c r="D452" s="1">
        <f>IF(B452="", "", "metagenome")</f>
        <v>0</v>
      </c>
      <c r="E452" s="1">
        <f>IF(B452="", "", "256318")</f>
        <v>0</v>
      </c>
    </row>
    <row r="453" spans="1:5">
      <c r="A453">
        <f>IF(COUNTBLANK(B453:E453)&lt;&gt;COLUMNS(B453:E453),452,"")</f>
        <v>0</v>
      </c>
      <c r="C453" s="1">
        <f>IF(B453="", "", "other")</f>
        <v>0</v>
      </c>
      <c r="D453" s="1">
        <f>IF(B453="", "", "metagenome")</f>
        <v>0</v>
      </c>
      <c r="E453" s="1">
        <f>IF(B453="", "", "256318")</f>
        <v>0</v>
      </c>
    </row>
    <row r="454" spans="1:5">
      <c r="A454">
        <f>IF(COUNTBLANK(B454:E454)&lt;&gt;COLUMNS(B454:E454),453,"")</f>
        <v>0</v>
      </c>
      <c r="C454" s="1">
        <f>IF(B454="", "", "other")</f>
        <v>0</v>
      </c>
      <c r="D454" s="1">
        <f>IF(B454="", "", "metagenome")</f>
        <v>0</v>
      </c>
      <c r="E454" s="1">
        <f>IF(B454="", "", "256318")</f>
        <v>0</v>
      </c>
    </row>
    <row r="455" spans="1:5">
      <c r="A455">
        <f>IF(COUNTBLANK(B455:E455)&lt;&gt;COLUMNS(B455:E455),454,"")</f>
        <v>0</v>
      </c>
      <c r="C455" s="1">
        <f>IF(B455="", "", "other")</f>
        <v>0</v>
      </c>
      <c r="D455" s="1">
        <f>IF(B455="", "", "metagenome")</f>
        <v>0</v>
      </c>
      <c r="E455" s="1">
        <f>IF(B455="", "", "256318")</f>
        <v>0</v>
      </c>
    </row>
    <row r="456" spans="1:5">
      <c r="A456">
        <f>IF(COUNTBLANK(B456:E456)&lt;&gt;COLUMNS(B456:E456),455,"")</f>
        <v>0</v>
      </c>
      <c r="C456" s="1">
        <f>IF(B456="", "", "other")</f>
        <v>0</v>
      </c>
      <c r="D456" s="1">
        <f>IF(B456="", "", "metagenome")</f>
        <v>0</v>
      </c>
      <c r="E456" s="1">
        <f>IF(B456="", "", "256318")</f>
        <v>0</v>
      </c>
    </row>
    <row r="457" spans="1:5">
      <c r="A457">
        <f>IF(COUNTBLANK(B457:E457)&lt;&gt;COLUMNS(B457:E457),456,"")</f>
        <v>0</v>
      </c>
      <c r="C457" s="1">
        <f>IF(B457="", "", "other")</f>
        <v>0</v>
      </c>
      <c r="D457" s="1">
        <f>IF(B457="", "", "metagenome")</f>
        <v>0</v>
      </c>
      <c r="E457" s="1">
        <f>IF(B457="", "", "256318")</f>
        <v>0</v>
      </c>
    </row>
    <row r="458" spans="1:5">
      <c r="A458">
        <f>IF(COUNTBLANK(B458:E458)&lt;&gt;COLUMNS(B458:E458),457,"")</f>
        <v>0</v>
      </c>
      <c r="C458" s="1">
        <f>IF(B458="", "", "other")</f>
        <v>0</v>
      </c>
      <c r="D458" s="1">
        <f>IF(B458="", "", "metagenome")</f>
        <v>0</v>
      </c>
      <c r="E458" s="1">
        <f>IF(B458="", "", "256318")</f>
        <v>0</v>
      </c>
    </row>
    <row r="459" spans="1:5">
      <c r="A459">
        <f>IF(COUNTBLANK(B459:E459)&lt;&gt;COLUMNS(B459:E459),458,"")</f>
        <v>0</v>
      </c>
      <c r="C459" s="1">
        <f>IF(B459="", "", "other")</f>
        <v>0</v>
      </c>
      <c r="D459" s="1">
        <f>IF(B459="", "", "metagenome")</f>
        <v>0</v>
      </c>
      <c r="E459" s="1">
        <f>IF(B459="", "", "256318")</f>
        <v>0</v>
      </c>
    </row>
    <row r="460" spans="1:5">
      <c r="A460">
        <f>IF(COUNTBLANK(B460:E460)&lt;&gt;COLUMNS(B460:E460),459,"")</f>
        <v>0</v>
      </c>
      <c r="C460" s="1">
        <f>IF(B460="", "", "other")</f>
        <v>0</v>
      </c>
      <c r="D460" s="1">
        <f>IF(B460="", "", "metagenome")</f>
        <v>0</v>
      </c>
      <c r="E460" s="1">
        <f>IF(B460="", "", "256318")</f>
        <v>0</v>
      </c>
    </row>
    <row r="461" spans="1:5">
      <c r="A461">
        <f>IF(COUNTBLANK(B461:E461)&lt;&gt;COLUMNS(B461:E461),460,"")</f>
        <v>0</v>
      </c>
      <c r="C461" s="1">
        <f>IF(B461="", "", "other")</f>
        <v>0</v>
      </c>
      <c r="D461" s="1">
        <f>IF(B461="", "", "metagenome")</f>
        <v>0</v>
      </c>
      <c r="E461" s="1">
        <f>IF(B461="", "", "256318")</f>
        <v>0</v>
      </c>
    </row>
    <row r="462" spans="1:5">
      <c r="A462">
        <f>IF(COUNTBLANK(B462:E462)&lt;&gt;COLUMNS(B462:E462),461,"")</f>
        <v>0</v>
      </c>
      <c r="C462" s="1">
        <f>IF(B462="", "", "other")</f>
        <v>0</v>
      </c>
      <c r="D462" s="1">
        <f>IF(B462="", "", "metagenome")</f>
        <v>0</v>
      </c>
      <c r="E462" s="1">
        <f>IF(B462="", "", "256318")</f>
        <v>0</v>
      </c>
    </row>
    <row r="463" spans="1:5">
      <c r="A463">
        <f>IF(COUNTBLANK(B463:E463)&lt;&gt;COLUMNS(B463:E463),462,"")</f>
        <v>0</v>
      </c>
      <c r="C463" s="1">
        <f>IF(B463="", "", "other")</f>
        <v>0</v>
      </c>
      <c r="D463" s="1">
        <f>IF(B463="", "", "metagenome")</f>
        <v>0</v>
      </c>
      <c r="E463" s="1">
        <f>IF(B463="", "", "256318")</f>
        <v>0</v>
      </c>
    </row>
    <row r="464" spans="1:5">
      <c r="A464">
        <f>IF(COUNTBLANK(B464:E464)&lt;&gt;COLUMNS(B464:E464),463,"")</f>
        <v>0</v>
      </c>
      <c r="C464" s="1">
        <f>IF(B464="", "", "other")</f>
        <v>0</v>
      </c>
      <c r="D464" s="1">
        <f>IF(B464="", "", "metagenome")</f>
        <v>0</v>
      </c>
      <c r="E464" s="1">
        <f>IF(B464="", "", "256318")</f>
        <v>0</v>
      </c>
    </row>
    <row r="465" spans="1:5">
      <c r="A465">
        <f>IF(COUNTBLANK(B465:E465)&lt;&gt;COLUMNS(B465:E465),464,"")</f>
        <v>0</v>
      </c>
      <c r="C465" s="1">
        <f>IF(B465="", "", "other")</f>
        <v>0</v>
      </c>
      <c r="D465" s="1">
        <f>IF(B465="", "", "metagenome")</f>
        <v>0</v>
      </c>
      <c r="E465" s="1">
        <f>IF(B465="", "", "256318")</f>
        <v>0</v>
      </c>
    </row>
    <row r="466" spans="1:5">
      <c r="A466">
        <f>IF(COUNTBLANK(B466:E466)&lt;&gt;COLUMNS(B466:E466),465,"")</f>
        <v>0</v>
      </c>
      <c r="C466" s="1">
        <f>IF(B466="", "", "other")</f>
        <v>0</v>
      </c>
      <c r="D466" s="1">
        <f>IF(B466="", "", "metagenome")</f>
        <v>0</v>
      </c>
      <c r="E466" s="1">
        <f>IF(B466="", "", "256318")</f>
        <v>0</v>
      </c>
    </row>
    <row r="467" spans="1:5">
      <c r="A467">
        <f>IF(COUNTBLANK(B467:E467)&lt;&gt;COLUMNS(B467:E467),466,"")</f>
        <v>0</v>
      </c>
      <c r="C467" s="1">
        <f>IF(B467="", "", "other")</f>
        <v>0</v>
      </c>
      <c r="D467" s="1">
        <f>IF(B467="", "", "metagenome")</f>
        <v>0</v>
      </c>
      <c r="E467" s="1">
        <f>IF(B467="", "", "256318")</f>
        <v>0</v>
      </c>
    </row>
    <row r="468" spans="1:5">
      <c r="A468">
        <f>IF(COUNTBLANK(B468:E468)&lt;&gt;COLUMNS(B468:E468),467,"")</f>
        <v>0</v>
      </c>
      <c r="C468" s="1">
        <f>IF(B468="", "", "other")</f>
        <v>0</v>
      </c>
      <c r="D468" s="1">
        <f>IF(B468="", "", "metagenome")</f>
        <v>0</v>
      </c>
      <c r="E468" s="1">
        <f>IF(B468="", "", "256318")</f>
        <v>0</v>
      </c>
    </row>
    <row r="469" spans="1:5">
      <c r="A469">
        <f>IF(COUNTBLANK(B469:E469)&lt;&gt;COLUMNS(B469:E469),468,"")</f>
        <v>0</v>
      </c>
      <c r="C469" s="1">
        <f>IF(B469="", "", "other")</f>
        <v>0</v>
      </c>
      <c r="D469" s="1">
        <f>IF(B469="", "", "metagenome")</f>
        <v>0</v>
      </c>
      <c r="E469" s="1">
        <f>IF(B469="", "", "256318")</f>
        <v>0</v>
      </c>
    </row>
    <row r="470" spans="1:5">
      <c r="A470">
        <f>IF(COUNTBLANK(B470:E470)&lt;&gt;COLUMNS(B470:E470),469,"")</f>
        <v>0</v>
      </c>
      <c r="C470" s="1">
        <f>IF(B470="", "", "other")</f>
        <v>0</v>
      </c>
      <c r="D470" s="1">
        <f>IF(B470="", "", "metagenome")</f>
        <v>0</v>
      </c>
      <c r="E470" s="1">
        <f>IF(B470="", "", "256318")</f>
        <v>0</v>
      </c>
    </row>
    <row r="471" spans="1:5">
      <c r="A471">
        <f>IF(COUNTBLANK(B471:E471)&lt;&gt;COLUMNS(B471:E471),470,"")</f>
        <v>0</v>
      </c>
      <c r="C471" s="1">
        <f>IF(B471="", "", "other")</f>
        <v>0</v>
      </c>
      <c r="D471" s="1">
        <f>IF(B471="", "", "metagenome")</f>
        <v>0</v>
      </c>
      <c r="E471" s="1">
        <f>IF(B471="", "", "256318")</f>
        <v>0</v>
      </c>
    </row>
    <row r="472" spans="1:5">
      <c r="A472">
        <f>IF(COUNTBLANK(B472:E472)&lt;&gt;COLUMNS(B472:E472),471,"")</f>
        <v>0</v>
      </c>
      <c r="C472" s="1">
        <f>IF(B472="", "", "other")</f>
        <v>0</v>
      </c>
      <c r="D472" s="1">
        <f>IF(B472="", "", "metagenome")</f>
        <v>0</v>
      </c>
      <c r="E472" s="1">
        <f>IF(B472="", "", "256318")</f>
        <v>0</v>
      </c>
    </row>
    <row r="473" spans="1:5">
      <c r="A473">
        <f>IF(COUNTBLANK(B473:E473)&lt;&gt;COLUMNS(B473:E473),472,"")</f>
        <v>0</v>
      </c>
      <c r="C473" s="1">
        <f>IF(B473="", "", "other")</f>
        <v>0</v>
      </c>
      <c r="D473" s="1">
        <f>IF(B473="", "", "metagenome")</f>
        <v>0</v>
      </c>
      <c r="E473" s="1">
        <f>IF(B473="", "", "256318")</f>
        <v>0</v>
      </c>
    </row>
    <row r="474" spans="1:5">
      <c r="A474">
        <f>IF(COUNTBLANK(B474:E474)&lt;&gt;COLUMNS(B474:E474),473,"")</f>
        <v>0</v>
      </c>
      <c r="C474" s="1">
        <f>IF(B474="", "", "other")</f>
        <v>0</v>
      </c>
      <c r="D474" s="1">
        <f>IF(B474="", "", "metagenome")</f>
        <v>0</v>
      </c>
      <c r="E474" s="1">
        <f>IF(B474="", "", "256318")</f>
        <v>0</v>
      </c>
    </row>
    <row r="475" spans="1:5">
      <c r="A475">
        <f>IF(COUNTBLANK(B475:E475)&lt;&gt;COLUMNS(B475:E475),474,"")</f>
        <v>0</v>
      </c>
      <c r="C475" s="1">
        <f>IF(B475="", "", "other")</f>
        <v>0</v>
      </c>
      <c r="D475" s="1">
        <f>IF(B475="", "", "metagenome")</f>
        <v>0</v>
      </c>
      <c r="E475" s="1">
        <f>IF(B475="", "", "256318")</f>
        <v>0</v>
      </c>
    </row>
    <row r="476" spans="1:5">
      <c r="A476">
        <f>IF(COUNTBLANK(B476:E476)&lt;&gt;COLUMNS(B476:E476),475,"")</f>
        <v>0</v>
      </c>
      <c r="C476" s="1">
        <f>IF(B476="", "", "other")</f>
        <v>0</v>
      </c>
      <c r="D476" s="1">
        <f>IF(B476="", "", "metagenome")</f>
        <v>0</v>
      </c>
      <c r="E476" s="1">
        <f>IF(B476="", "", "256318")</f>
        <v>0</v>
      </c>
    </row>
    <row r="477" spans="1:5">
      <c r="A477">
        <f>IF(COUNTBLANK(B477:E477)&lt;&gt;COLUMNS(B477:E477),476,"")</f>
        <v>0</v>
      </c>
      <c r="C477" s="1">
        <f>IF(B477="", "", "other")</f>
        <v>0</v>
      </c>
      <c r="D477" s="1">
        <f>IF(B477="", "", "metagenome")</f>
        <v>0</v>
      </c>
      <c r="E477" s="1">
        <f>IF(B477="", "", "256318")</f>
        <v>0</v>
      </c>
    </row>
    <row r="478" spans="1:5">
      <c r="A478">
        <f>IF(COUNTBLANK(B478:E478)&lt;&gt;COLUMNS(B478:E478),477,"")</f>
        <v>0</v>
      </c>
      <c r="C478" s="1">
        <f>IF(B478="", "", "other")</f>
        <v>0</v>
      </c>
      <c r="D478" s="1">
        <f>IF(B478="", "", "metagenome")</f>
        <v>0</v>
      </c>
      <c r="E478" s="1">
        <f>IF(B478="", "", "256318")</f>
        <v>0</v>
      </c>
    </row>
    <row r="479" spans="1:5">
      <c r="A479">
        <f>IF(COUNTBLANK(B479:E479)&lt;&gt;COLUMNS(B479:E479),478,"")</f>
        <v>0</v>
      </c>
      <c r="C479" s="1">
        <f>IF(B479="", "", "other")</f>
        <v>0</v>
      </c>
      <c r="D479" s="1">
        <f>IF(B479="", "", "metagenome")</f>
        <v>0</v>
      </c>
      <c r="E479" s="1">
        <f>IF(B479="", "", "256318")</f>
        <v>0</v>
      </c>
    </row>
    <row r="480" spans="1:5">
      <c r="A480">
        <f>IF(COUNTBLANK(B480:E480)&lt;&gt;COLUMNS(B480:E480),479,"")</f>
        <v>0</v>
      </c>
      <c r="C480" s="1">
        <f>IF(B480="", "", "other")</f>
        <v>0</v>
      </c>
      <c r="D480" s="1">
        <f>IF(B480="", "", "metagenome")</f>
        <v>0</v>
      </c>
      <c r="E480" s="1">
        <f>IF(B480="", "", "256318")</f>
        <v>0</v>
      </c>
    </row>
    <row r="481" spans="1:5">
      <c r="A481">
        <f>IF(COUNTBLANK(B481:E481)&lt;&gt;COLUMNS(B481:E481),480,"")</f>
        <v>0</v>
      </c>
      <c r="C481" s="1">
        <f>IF(B481="", "", "other")</f>
        <v>0</v>
      </c>
      <c r="D481" s="1">
        <f>IF(B481="", "", "metagenome")</f>
        <v>0</v>
      </c>
      <c r="E481" s="1">
        <f>IF(B481="", "", "256318")</f>
        <v>0</v>
      </c>
    </row>
    <row r="482" spans="1:5">
      <c r="A482">
        <f>IF(COUNTBLANK(B482:E482)&lt;&gt;COLUMNS(B482:E482),481,"")</f>
        <v>0</v>
      </c>
      <c r="C482" s="1">
        <f>IF(B482="", "", "other")</f>
        <v>0</v>
      </c>
      <c r="D482" s="1">
        <f>IF(B482="", "", "metagenome")</f>
        <v>0</v>
      </c>
      <c r="E482" s="1">
        <f>IF(B482="", "", "256318")</f>
        <v>0</v>
      </c>
    </row>
    <row r="483" spans="1:5">
      <c r="A483">
        <f>IF(COUNTBLANK(B483:E483)&lt;&gt;COLUMNS(B483:E483),482,"")</f>
        <v>0</v>
      </c>
      <c r="C483" s="1">
        <f>IF(B483="", "", "other")</f>
        <v>0</v>
      </c>
      <c r="D483" s="1">
        <f>IF(B483="", "", "metagenome")</f>
        <v>0</v>
      </c>
      <c r="E483" s="1">
        <f>IF(B483="", "", "256318")</f>
        <v>0</v>
      </c>
    </row>
    <row r="484" spans="1:5">
      <c r="A484">
        <f>IF(COUNTBLANK(B484:E484)&lt;&gt;COLUMNS(B484:E484),483,"")</f>
        <v>0</v>
      </c>
      <c r="C484" s="1">
        <f>IF(B484="", "", "other")</f>
        <v>0</v>
      </c>
      <c r="D484" s="1">
        <f>IF(B484="", "", "metagenome")</f>
        <v>0</v>
      </c>
      <c r="E484" s="1">
        <f>IF(B484="", "", "256318")</f>
        <v>0</v>
      </c>
    </row>
    <row r="485" spans="1:5">
      <c r="A485">
        <f>IF(COUNTBLANK(B485:E485)&lt;&gt;COLUMNS(B485:E485),484,"")</f>
        <v>0</v>
      </c>
      <c r="C485" s="1">
        <f>IF(B485="", "", "other")</f>
        <v>0</v>
      </c>
      <c r="D485" s="1">
        <f>IF(B485="", "", "metagenome")</f>
        <v>0</v>
      </c>
      <c r="E485" s="1">
        <f>IF(B485="", "", "256318")</f>
        <v>0</v>
      </c>
    </row>
    <row r="486" spans="1:5">
      <c r="A486">
        <f>IF(COUNTBLANK(B486:E486)&lt;&gt;COLUMNS(B486:E486),485,"")</f>
        <v>0</v>
      </c>
      <c r="C486" s="1">
        <f>IF(B486="", "", "other")</f>
        <v>0</v>
      </c>
      <c r="D486" s="1">
        <f>IF(B486="", "", "metagenome")</f>
        <v>0</v>
      </c>
      <c r="E486" s="1">
        <f>IF(B486="", "", "256318")</f>
        <v>0</v>
      </c>
    </row>
    <row r="487" spans="1:5">
      <c r="A487">
        <f>IF(COUNTBLANK(B487:E487)&lt;&gt;COLUMNS(B487:E487),486,"")</f>
        <v>0</v>
      </c>
      <c r="C487" s="1">
        <f>IF(B487="", "", "other")</f>
        <v>0</v>
      </c>
      <c r="D487" s="1">
        <f>IF(B487="", "", "metagenome")</f>
        <v>0</v>
      </c>
      <c r="E487" s="1">
        <f>IF(B487="", "", "256318")</f>
        <v>0</v>
      </c>
    </row>
    <row r="488" spans="1:5">
      <c r="A488">
        <f>IF(COUNTBLANK(B488:E488)&lt;&gt;COLUMNS(B488:E488),487,"")</f>
        <v>0</v>
      </c>
      <c r="C488" s="1">
        <f>IF(B488="", "", "other")</f>
        <v>0</v>
      </c>
      <c r="D488" s="1">
        <f>IF(B488="", "", "metagenome")</f>
        <v>0</v>
      </c>
      <c r="E488" s="1">
        <f>IF(B488="", "", "256318")</f>
        <v>0</v>
      </c>
    </row>
    <row r="489" spans="1:5">
      <c r="A489">
        <f>IF(COUNTBLANK(B489:E489)&lt;&gt;COLUMNS(B489:E489),488,"")</f>
        <v>0</v>
      </c>
      <c r="C489" s="1">
        <f>IF(B489="", "", "other")</f>
        <v>0</v>
      </c>
      <c r="D489" s="1">
        <f>IF(B489="", "", "metagenome")</f>
        <v>0</v>
      </c>
      <c r="E489" s="1">
        <f>IF(B489="", "", "256318")</f>
        <v>0</v>
      </c>
    </row>
    <row r="490" spans="1:5">
      <c r="A490">
        <f>IF(COUNTBLANK(B490:E490)&lt;&gt;COLUMNS(B490:E490),489,"")</f>
        <v>0</v>
      </c>
      <c r="C490" s="1">
        <f>IF(B490="", "", "other")</f>
        <v>0</v>
      </c>
      <c r="D490" s="1">
        <f>IF(B490="", "", "metagenome")</f>
        <v>0</v>
      </c>
      <c r="E490" s="1">
        <f>IF(B490="", "", "256318")</f>
        <v>0</v>
      </c>
    </row>
    <row r="491" spans="1:5">
      <c r="A491">
        <f>IF(COUNTBLANK(B491:E491)&lt;&gt;COLUMNS(B491:E491),490,"")</f>
        <v>0</v>
      </c>
      <c r="C491" s="1">
        <f>IF(B491="", "", "other")</f>
        <v>0</v>
      </c>
      <c r="D491" s="1">
        <f>IF(B491="", "", "metagenome")</f>
        <v>0</v>
      </c>
      <c r="E491" s="1">
        <f>IF(B491="", "", "256318")</f>
        <v>0</v>
      </c>
    </row>
    <row r="492" spans="1:5">
      <c r="A492">
        <f>IF(COUNTBLANK(B492:E492)&lt;&gt;COLUMNS(B492:E492),491,"")</f>
        <v>0</v>
      </c>
      <c r="C492" s="1">
        <f>IF(B492="", "", "other")</f>
        <v>0</v>
      </c>
      <c r="D492" s="1">
        <f>IF(B492="", "", "metagenome")</f>
        <v>0</v>
      </c>
      <c r="E492" s="1">
        <f>IF(B492="", "", "256318")</f>
        <v>0</v>
      </c>
    </row>
    <row r="493" spans="1:5">
      <c r="A493">
        <f>IF(COUNTBLANK(B493:E493)&lt;&gt;COLUMNS(B493:E493),492,"")</f>
        <v>0</v>
      </c>
      <c r="C493" s="1">
        <f>IF(B493="", "", "other")</f>
        <v>0</v>
      </c>
      <c r="D493" s="1">
        <f>IF(B493="", "", "metagenome")</f>
        <v>0</v>
      </c>
      <c r="E493" s="1">
        <f>IF(B493="", "", "256318")</f>
        <v>0</v>
      </c>
    </row>
    <row r="494" spans="1:5">
      <c r="A494">
        <f>IF(COUNTBLANK(B494:E494)&lt;&gt;COLUMNS(B494:E494),493,"")</f>
        <v>0</v>
      </c>
      <c r="C494" s="1">
        <f>IF(B494="", "", "other")</f>
        <v>0</v>
      </c>
      <c r="D494" s="1">
        <f>IF(B494="", "", "metagenome")</f>
        <v>0</v>
      </c>
      <c r="E494" s="1">
        <f>IF(B494="", "", "256318")</f>
        <v>0</v>
      </c>
    </row>
    <row r="495" spans="1:5">
      <c r="A495">
        <f>IF(COUNTBLANK(B495:E495)&lt;&gt;COLUMNS(B495:E495),494,"")</f>
        <v>0</v>
      </c>
      <c r="C495" s="1">
        <f>IF(B495="", "", "other")</f>
        <v>0</v>
      </c>
      <c r="D495" s="1">
        <f>IF(B495="", "", "metagenome")</f>
        <v>0</v>
      </c>
      <c r="E495" s="1">
        <f>IF(B495="", "", "256318")</f>
        <v>0</v>
      </c>
    </row>
    <row r="496" spans="1:5">
      <c r="A496">
        <f>IF(COUNTBLANK(B496:E496)&lt;&gt;COLUMNS(B496:E496),495,"")</f>
        <v>0</v>
      </c>
      <c r="C496" s="1">
        <f>IF(B496="", "", "other")</f>
        <v>0</v>
      </c>
      <c r="D496" s="1">
        <f>IF(B496="", "", "metagenome")</f>
        <v>0</v>
      </c>
      <c r="E496" s="1">
        <f>IF(B496="", "", "256318")</f>
        <v>0</v>
      </c>
    </row>
    <row r="497" spans="1:5">
      <c r="A497">
        <f>IF(COUNTBLANK(B497:E497)&lt;&gt;COLUMNS(B497:E497),496,"")</f>
        <v>0</v>
      </c>
      <c r="C497" s="1">
        <f>IF(B497="", "", "other")</f>
        <v>0</v>
      </c>
      <c r="D497" s="1">
        <f>IF(B497="", "", "metagenome")</f>
        <v>0</v>
      </c>
      <c r="E497" s="1">
        <f>IF(B497="", "", "256318")</f>
        <v>0</v>
      </c>
    </row>
    <row r="498" spans="1:5">
      <c r="A498">
        <f>IF(COUNTBLANK(B498:E498)&lt;&gt;COLUMNS(B498:E498),497,"")</f>
        <v>0</v>
      </c>
      <c r="C498" s="1">
        <f>IF(B498="", "", "other")</f>
        <v>0</v>
      </c>
      <c r="D498" s="1">
        <f>IF(B498="", "", "metagenome")</f>
        <v>0</v>
      </c>
      <c r="E498" s="1">
        <f>IF(B498="", "", "256318")</f>
        <v>0</v>
      </c>
    </row>
    <row r="499" spans="1:5">
      <c r="A499">
        <f>IF(COUNTBLANK(B499:E499)&lt;&gt;COLUMNS(B499:E499),498,"")</f>
        <v>0</v>
      </c>
      <c r="C499" s="1">
        <f>IF(B499="", "", "other")</f>
        <v>0</v>
      </c>
      <c r="D499" s="1">
        <f>IF(B499="", "", "metagenome")</f>
        <v>0</v>
      </c>
      <c r="E499" s="1">
        <f>IF(B499="", "", "256318")</f>
        <v>0</v>
      </c>
    </row>
    <row r="500" spans="1:5">
      <c r="A500">
        <f>IF(COUNTBLANK(B500:E500)&lt;&gt;COLUMNS(B500:E500),499,"")</f>
        <v>0</v>
      </c>
      <c r="C500" s="1">
        <f>IF(B500="", "", "other")</f>
        <v>0</v>
      </c>
      <c r="D500" s="1">
        <f>IF(B500="", "", "metagenome")</f>
        <v>0</v>
      </c>
      <c r="E500" s="1">
        <f>IF(B500="", "", "256318")</f>
        <v>0</v>
      </c>
    </row>
    <row r="501" spans="1:5">
      <c r="A501">
        <f>IF(COUNTBLANK(B501:E501)&lt;&gt;COLUMNS(B501:E501),500,"")</f>
        <v>0</v>
      </c>
      <c r="C501" s="1">
        <f>IF(B501="", "", "other")</f>
        <v>0</v>
      </c>
      <c r="D501" s="1">
        <f>IF(B501="", "", "metagenome")</f>
        <v>0</v>
      </c>
      <c r="E501" s="1">
        <f>IF(B501="", "", "256318")</f>
        <v>0</v>
      </c>
    </row>
    <row r="502" spans="1:5">
      <c r="A502">
        <f>IF(COUNTBLANK(B502:E502)&lt;&gt;COLUMNS(B502:E502),501,"")</f>
        <v>0</v>
      </c>
      <c r="C502" s="1">
        <f>IF(B502="", "", "other")</f>
        <v>0</v>
      </c>
      <c r="D502" s="1">
        <f>IF(B502="", "", "metagenome")</f>
        <v>0</v>
      </c>
      <c r="E502" s="1">
        <f>IF(B502="", "", "256318")</f>
        <v>0</v>
      </c>
    </row>
    <row r="503" spans="1:5">
      <c r="A503">
        <f>IF(COUNTBLANK(B503:E503)&lt;&gt;COLUMNS(B503:E503),502,"")</f>
        <v>0</v>
      </c>
      <c r="C503" s="1">
        <f>IF(B503="", "", "other")</f>
        <v>0</v>
      </c>
      <c r="D503" s="1">
        <f>IF(B503="", "", "metagenome")</f>
        <v>0</v>
      </c>
      <c r="E503" s="1">
        <f>IF(B503="", "", "256318")</f>
        <v>0</v>
      </c>
    </row>
    <row r="504" spans="1:5">
      <c r="A504">
        <f>IF(COUNTBLANK(B504:E504)&lt;&gt;COLUMNS(B504:E504),503,"")</f>
        <v>0</v>
      </c>
      <c r="C504" s="1">
        <f>IF(B504="", "", "other")</f>
        <v>0</v>
      </c>
      <c r="D504" s="1">
        <f>IF(B504="", "", "metagenome")</f>
        <v>0</v>
      </c>
      <c r="E504" s="1">
        <f>IF(B504="", "", "256318")</f>
        <v>0</v>
      </c>
    </row>
    <row r="505" spans="1:5">
      <c r="A505">
        <f>IF(COUNTBLANK(B505:E505)&lt;&gt;COLUMNS(B505:E505),504,"")</f>
        <v>0</v>
      </c>
      <c r="C505" s="1">
        <f>IF(B505="", "", "other")</f>
        <v>0</v>
      </c>
      <c r="D505" s="1">
        <f>IF(B505="", "", "metagenome")</f>
        <v>0</v>
      </c>
      <c r="E505" s="1">
        <f>IF(B505="", "", "256318")</f>
        <v>0</v>
      </c>
    </row>
    <row r="506" spans="1:5">
      <c r="A506">
        <f>IF(COUNTBLANK(B506:E506)&lt;&gt;COLUMNS(B506:E506),505,"")</f>
        <v>0</v>
      </c>
      <c r="C506" s="1">
        <f>IF(B506="", "", "other")</f>
        <v>0</v>
      </c>
      <c r="D506" s="1">
        <f>IF(B506="", "", "metagenome")</f>
        <v>0</v>
      </c>
      <c r="E506" s="1">
        <f>IF(B506="", "", "256318")</f>
        <v>0</v>
      </c>
    </row>
    <row r="507" spans="1:5">
      <c r="A507">
        <f>IF(COUNTBLANK(B507:E507)&lt;&gt;COLUMNS(B507:E507),506,"")</f>
        <v>0</v>
      </c>
      <c r="C507" s="1">
        <f>IF(B507="", "", "other")</f>
        <v>0</v>
      </c>
      <c r="D507" s="1">
        <f>IF(B507="", "", "metagenome")</f>
        <v>0</v>
      </c>
      <c r="E507" s="1">
        <f>IF(B507="", "", "256318")</f>
        <v>0</v>
      </c>
    </row>
    <row r="508" spans="1:5">
      <c r="A508">
        <f>IF(COUNTBLANK(B508:E508)&lt;&gt;COLUMNS(B508:E508),507,"")</f>
        <v>0</v>
      </c>
      <c r="C508" s="1">
        <f>IF(B508="", "", "other")</f>
        <v>0</v>
      </c>
      <c r="D508" s="1">
        <f>IF(B508="", "", "metagenome")</f>
        <v>0</v>
      </c>
      <c r="E508" s="1">
        <f>IF(B508="", "", "256318")</f>
        <v>0</v>
      </c>
    </row>
    <row r="509" spans="1:5">
      <c r="A509">
        <f>IF(COUNTBLANK(B509:E509)&lt;&gt;COLUMNS(B509:E509),508,"")</f>
        <v>0</v>
      </c>
      <c r="C509" s="1">
        <f>IF(B509="", "", "other")</f>
        <v>0</v>
      </c>
      <c r="D509" s="1">
        <f>IF(B509="", "", "metagenome")</f>
        <v>0</v>
      </c>
      <c r="E509" s="1">
        <f>IF(B509="", "", "256318")</f>
        <v>0</v>
      </c>
    </row>
    <row r="510" spans="1:5">
      <c r="A510">
        <f>IF(COUNTBLANK(B510:E510)&lt;&gt;COLUMNS(B510:E510),509,"")</f>
        <v>0</v>
      </c>
      <c r="C510" s="1">
        <f>IF(B510="", "", "other")</f>
        <v>0</v>
      </c>
      <c r="D510" s="1">
        <f>IF(B510="", "", "metagenome")</f>
        <v>0</v>
      </c>
      <c r="E510" s="1">
        <f>IF(B510="", "", "256318")</f>
        <v>0</v>
      </c>
    </row>
    <row r="511" spans="1:5">
      <c r="A511">
        <f>IF(COUNTBLANK(B511:E511)&lt;&gt;COLUMNS(B511:E511),510,"")</f>
        <v>0</v>
      </c>
      <c r="C511" s="1">
        <f>IF(B511="", "", "other")</f>
        <v>0</v>
      </c>
      <c r="D511" s="1">
        <f>IF(B511="", "", "metagenome")</f>
        <v>0</v>
      </c>
      <c r="E511" s="1">
        <f>IF(B511="", "", "256318")</f>
        <v>0</v>
      </c>
    </row>
    <row r="512" spans="1:5">
      <c r="A512">
        <f>IF(COUNTBLANK(B512:E512)&lt;&gt;COLUMNS(B512:E512),511,"")</f>
        <v>0</v>
      </c>
      <c r="C512" s="1">
        <f>IF(B512="", "", "other")</f>
        <v>0</v>
      </c>
      <c r="D512" s="1">
        <f>IF(B512="", "", "metagenome")</f>
        <v>0</v>
      </c>
      <c r="E512" s="1">
        <f>IF(B512="", "", "256318")</f>
        <v>0</v>
      </c>
    </row>
    <row r="513" spans="1:5">
      <c r="A513">
        <f>IF(COUNTBLANK(B513:E513)&lt;&gt;COLUMNS(B513:E513),512,"")</f>
        <v>0</v>
      </c>
      <c r="C513" s="1">
        <f>IF(B513="", "", "other")</f>
        <v>0</v>
      </c>
      <c r="D513" s="1">
        <f>IF(B513="", "", "metagenome")</f>
        <v>0</v>
      </c>
      <c r="E513" s="1">
        <f>IF(B513="", "", "256318")</f>
        <v>0</v>
      </c>
    </row>
    <row r="514" spans="1:5">
      <c r="A514">
        <f>IF(COUNTBLANK(B514:E514)&lt;&gt;COLUMNS(B514:E514),513,"")</f>
        <v>0</v>
      </c>
      <c r="C514" s="1">
        <f>IF(B514="", "", "other")</f>
        <v>0</v>
      </c>
      <c r="D514" s="1">
        <f>IF(B514="", "", "metagenome")</f>
        <v>0</v>
      </c>
      <c r="E514" s="1">
        <f>IF(B514="", "", "256318")</f>
        <v>0</v>
      </c>
    </row>
    <row r="515" spans="1:5">
      <c r="A515">
        <f>IF(COUNTBLANK(B515:E515)&lt;&gt;COLUMNS(B515:E515),514,"")</f>
        <v>0</v>
      </c>
      <c r="C515" s="1">
        <f>IF(B515="", "", "other")</f>
        <v>0</v>
      </c>
      <c r="D515" s="1">
        <f>IF(B515="", "", "metagenome")</f>
        <v>0</v>
      </c>
      <c r="E515" s="1">
        <f>IF(B515="", "", "256318")</f>
        <v>0</v>
      </c>
    </row>
    <row r="516" spans="1:5">
      <c r="A516">
        <f>IF(COUNTBLANK(B516:E516)&lt;&gt;COLUMNS(B516:E516),515,"")</f>
        <v>0</v>
      </c>
      <c r="C516" s="1">
        <f>IF(B516="", "", "other")</f>
        <v>0</v>
      </c>
      <c r="D516" s="1">
        <f>IF(B516="", "", "metagenome")</f>
        <v>0</v>
      </c>
      <c r="E516" s="1">
        <f>IF(B516="", "", "256318")</f>
        <v>0</v>
      </c>
    </row>
    <row r="517" spans="1:5">
      <c r="A517">
        <f>IF(COUNTBLANK(B517:E517)&lt;&gt;COLUMNS(B517:E517),516,"")</f>
        <v>0</v>
      </c>
      <c r="C517" s="1">
        <f>IF(B517="", "", "other")</f>
        <v>0</v>
      </c>
      <c r="D517" s="1">
        <f>IF(B517="", "", "metagenome")</f>
        <v>0</v>
      </c>
      <c r="E517" s="1">
        <f>IF(B517="", "", "256318")</f>
        <v>0</v>
      </c>
    </row>
    <row r="518" spans="1:5">
      <c r="A518">
        <f>IF(COUNTBLANK(B518:E518)&lt;&gt;COLUMNS(B518:E518),517,"")</f>
        <v>0</v>
      </c>
      <c r="C518" s="1">
        <f>IF(B518="", "", "other")</f>
        <v>0</v>
      </c>
      <c r="D518" s="1">
        <f>IF(B518="", "", "metagenome")</f>
        <v>0</v>
      </c>
      <c r="E518" s="1">
        <f>IF(B518="", "", "256318")</f>
        <v>0</v>
      </c>
    </row>
    <row r="519" spans="1:5">
      <c r="A519">
        <f>IF(COUNTBLANK(B519:E519)&lt;&gt;COLUMNS(B519:E519),518,"")</f>
        <v>0</v>
      </c>
      <c r="C519" s="1">
        <f>IF(B519="", "", "other")</f>
        <v>0</v>
      </c>
      <c r="D519" s="1">
        <f>IF(B519="", "", "metagenome")</f>
        <v>0</v>
      </c>
      <c r="E519" s="1">
        <f>IF(B519="", "", "256318")</f>
        <v>0</v>
      </c>
    </row>
    <row r="520" spans="1:5">
      <c r="A520">
        <f>IF(COUNTBLANK(B520:E520)&lt;&gt;COLUMNS(B520:E520),519,"")</f>
        <v>0</v>
      </c>
      <c r="C520" s="1">
        <f>IF(B520="", "", "other")</f>
        <v>0</v>
      </c>
      <c r="D520" s="1">
        <f>IF(B520="", "", "metagenome")</f>
        <v>0</v>
      </c>
      <c r="E520" s="1">
        <f>IF(B520="", "", "256318")</f>
        <v>0</v>
      </c>
    </row>
    <row r="521" spans="1:5">
      <c r="A521">
        <f>IF(COUNTBLANK(B521:E521)&lt;&gt;COLUMNS(B521:E521),520,"")</f>
        <v>0</v>
      </c>
      <c r="C521" s="1">
        <f>IF(B521="", "", "other")</f>
        <v>0</v>
      </c>
      <c r="D521" s="1">
        <f>IF(B521="", "", "metagenome")</f>
        <v>0</v>
      </c>
      <c r="E521" s="1">
        <f>IF(B521="", "", "256318")</f>
        <v>0</v>
      </c>
    </row>
    <row r="522" spans="1:5">
      <c r="A522">
        <f>IF(COUNTBLANK(B522:E522)&lt;&gt;COLUMNS(B522:E522),521,"")</f>
        <v>0</v>
      </c>
      <c r="C522" s="1">
        <f>IF(B522="", "", "other")</f>
        <v>0</v>
      </c>
      <c r="D522" s="1">
        <f>IF(B522="", "", "metagenome")</f>
        <v>0</v>
      </c>
      <c r="E522" s="1">
        <f>IF(B522="", "", "256318")</f>
        <v>0</v>
      </c>
    </row>
    <row r="523" spans="1:5">
      <c r="A523">
        <f>IF(COUNTBLANK(B523:E523)&lt;&gt;COLUMNS(B523:E523),522,"")</f>
        <v>0</v>
      </c>
      <c r="C523" s="1">
        <f>IF(B523="", "", "other")</f>
        <v>0</v>
      </c>
      <c r="D523" s="1">
        <f>IF(B523="", "", "metagenome")</f>
        <v>0</v>
      </c>
      <c r="E523" s="1">
        <f>IF(B523="", "", "256318")</f>
        <v>0</v>
      </c>
    </row>
    <row r="524" spans="1:5">
      <c r="A524">
        <f>IF(COUNTBLANK(B524:E524)&lt;&gt;COLUMNS(B524:E524),523,"")</f>
        <v>0</v>
      </c>
      <c r="C524" s="1">
        <f>IF(B524="", "", "other")</f>
        <v>0</v>
      </c>
      <c r="D524" s="1">
        <f>IF(B524="", "", "metagenome")</f>
        <v>0</v>
      </c>
      <c r="E524" s="1">
        <f>IF(B524="", "", "256318")</f>
        <v>0</v>
      </c>
    </row>
    <row r="525" spans="1:5">
      <c r="A525">
        <f>IF(COUNTBLANK(B525:E525)&lt;&gt;COLUMNS(B525:E525),524,"")</f>
        <v>0</v>
      </c>
      <c r="C525" s="1">
        <f>IF(B525="", "", "other")</f>
        <v>0</v>
      </c>
      <c r="D525" s="1">
        <f>IF(B525="", "", "metagenome")</f>
        <v>0</v>
      </c>
      <c r="E525" s="1">
        <f>IF(B525="", "", "256318")</f>
        <v>0</v>
      </c>
    </row>
    <row r="526" spans="1:5">
      <c r="A526">
        <f>IF(COUNTBLANK(B526:E526)&lt;&gt;COLUMNS(B526:E526),525,"")</f>
        <v>0</v>
      </c>
      <c r="C526" s="1">
        <f>IF(B526="", "", "other")</f>
        <v>0</v>
      </c>
      <c r="D526" s="1">
        <f>IF(B526="", "", "metagenome")</f>
        <v>0</v>
      </c>
      <c r="E526" s="1">
        <f>IF(B526="", "", "256318")</f>
        <v>0</v>
      </c>
    </row>
    <row r="527" spans="1:5">
      <c r="A527">
        <f>IF(COUNTBLANK(B527:E527)&lt;&gt;COLUMNS(B527:E527),526,"")</f>
        <v>0</v>
      </c>
      <c r="C527" s="1">
        <f>IF(B527="", "", "other")</f>
        <v>0</v>
      </c>
      <c r="D527" s="1">
        <f>IF(B527="", "", "metagenome")</f>
        <v>0</v>
      </c>
      <c r="E527" s="1">
        <f>IF(B527="", "", "256318")</f>
        <v>0</v>
      </c>
    </row>
    <row r="528" spans="1:5">
      <c r="A528">
        <f>IF(COUNTBLANK(B528:E528)&lt;&gt;COLUMNS(B528:E528),527,"")</f>
        <v>0</v>
      </c>
      <c r="C528" s="1">
        <f>IF(B528="", "", "other")</f>
        <v>0</v>
      </c>
      <c r="D528" s="1">
        <f>IF(B528="", "", "metagenome")</f>
        <v>0</v>
      </c>
      <c r="E528" s="1">
        <f>IF(B528="", "", "256318")</f>
        <v>0</v>
      </c>
    </row>
    <row r="529" spans="1:5">
      <c r="A529">
        <f>IF(COUNTBLANK(B529:E529)&lt;&gt;COLUMNS(B529:E529),528,"")</f>
        <v>0</v>
      </c>
      <c r="C529" s="1">
        <f>IF(B529="", "", "other")</f>
        <v>0</v>
      </c>
      <c r="D529" s="1">
        <f>IF(B529="", "", "metagenome")</f>
        <v>0</v>
      </c>
      <c r="E529" s="1">
        <f>IF(B529="", "", "256318")</f>
        <v>0</v>
      </c>
    </row>
    <row r="530" spans="1:5">
      <c r="A530">
        <f>IF(COUNTBLANK(B530:E530)&lt;&gt;COLUMNS(B530:E530),529,"")</f>
        <v>0</v>
      </c>
      <c r="C530" s="1">
        <f>IF(B530="", "", "other")</f>
        <v>0</v>
      </c>
      <c r="D530" s="1">
        <f>IF(B530="", "", "metagenome")</f>
        <v>0</v>
      </c>
      <c r="E530" s="1">
        <f>IF(B530="", "", "256318")</f>
        <v>0</v>
      </c>
    </row>
    <row r="531" spans="1:5">
      <c r="A531">
        <f>IF(COUNTBLANK(B531:E531)&lt;&gt;COLUMNS(B531:E531),530,"")</f>
        <v>0</v>
      </c>
      <c r="C531" s="1">
        <f>IF(B531="", "", "other")</f>
        <v>0</v>
      </c>
      <c r="D531" s="1">
        <f>IF(B531="", "", "metagenome")</f>
        <v>0</v>
      </c>
      <c r="E531" s="1">
        <f>IF(B531="", "", "256318")</f>
        <v>0</v>
      </c>
    </row>
    <row r="532" spans="1:5">
      <c r="A532">
        <f>IF(COUNTBLANK(B532:E532)&lt;&gt;COLUMNS(B532:E532),531,"")</f>
        <v>0</v>
      </c>
      <c r="C532" s="1">
        <f>IF(B532="", "", "other")</f>
        <v>0</v>
      </c>
      <c r="D532" s="1">
        <f>IF(B532="", "", "metagenome")</f>
        <v>0</v>
      </c>
      <c r="E532" s="1">
        <f>IF(B532="", "", "256318")</f>
        <v>0</v>
      </c>
    </row>
    <row r="533" spans="1:5">
      <c r="A533">
        <f>IF(COUNTBLANK(B533:E533)&lt;&gt;COLUMNS(B533:E533),532,"")</f>
        <v>0</v>
      </c>
      <c r="C533" s="1">
        <f>IF(B533="", "", "other")</f>
        <v>0</v>
      </c>
      <c r="D533" s="1">
        <f>IF(B533="", "", "metagenome")</f>
        <v>0</v>
      </c>
      <c r="E533" s="1">
        <f>IF(B533="", "", "256318")</f>
        <v>0</v>
      </c>
    </row>
    <row r="534" spans="1:5">
      <c r="A534">
        <f>IF(COUNTBLANK(B534:E534)&lt;&gt;COLUMNS(B534:E534),533,"")</f>
        <v>0</v>
      </c>
      <c r="C534" s="1">
        <f>IF(B534="", "", "other")</f>
        <v>0</v>
      </c>
      <c r="D534" s="1">
        <f>IF(B534="", "", "metagenome")</f>
        <v>0</v>
      </c>
      <c r="E534" s="1">
        <f>IF(B534="", "", "256318")</f>
        <v>0</v>
      </c>
    </row>
    <row r="535" spans="1:5">
      <c r="A535">
        <f>IF(COUNTBLANK(B535:E535)&lt;&gt;COLUMNS(B535:E535),534,"")</f>
        <v>0</v>
      </c>
      <c r="C535" s="1">
        <f>IF(B535="", "", "other")</f>
        <v>0</v>
      </c>
      <c r="D535" s="1">
        <f>IF(B535="", "", "metagenome")</f>
        <v>0</v>
      </c>
      <c r="E535" s="1">
        <f>IF(B535="", "", "256318")</f>
        <v>0</v>
      </c>
    </row>
    <row r="536" spans="1:5">
      <c r="A536">
        <f>IF(COUNTBLANK(B536:E536)&lt;&gt;COLUMNS(B536:E536),535,"")</f>
        <v>0</v>
      </c>
      <c r="C536" s="1">
        <f>IF(B536="", "", "other")</f>
        <v>0</v>
      </c>
      <c r="D536" s="1">
        <f>IF(B536="", "", "metagenome")</f>
        <v>0</v>
      </c>
      <c r="E536" s="1">
        <f>IF(B536="", "", "256318")</f>
        <v>0</v>
      </c>
    </row>
    <row r="537" spans="1:5">
      <c r="A537">
        <f>IF(COUNTBLANK(B537:E537)&lt;&gt;COLUMNS(B537:E537),536,"")</f>
        <v>0</v>
      </c>
      <c r="C537" s="1">
        <f>IF(B537="", "", "other")</f>
        <v>0</v>
      </c>
      <c r="D537" s="1">
        <f>IF(B537="", "", "metagenome")</f>
        <v>0</v>
      </c>
      <c r="E537" s="1">
        <f>IF(B537="", "", "256318")</f>
        <v>0</v>
      </c>
    </row>
    <row r="538" spans="1:5">
      <c r="A538">
        <f>IF(COUNTBLANK(B538:E538)&lt;&gt;COLUMNS(B538:E538),537,"")</f>
        <v>0</v>
      </c>
      <c r="C538" s="1">
        <f>IF(B538="", "", "other")</f>
        <v>0</v>
      </c>
      <c r="D538" s="1">
        <f>IF(B538="", "", "metagenome")</f>
        <v>0</v>
      </c>
      <c r="E538" s="1">
        <f>IF(B538="", "", "256318")</f>
        <v>0</v>
      </c>
    </row>
    <row r="539" spans="1:5">
      <c r="A539">
        <f>IF(COUNTBLANK(B539:E539)&lt;&gt;COLUMNS(B539:E539),538,"")</f>
        <v>0</v>
      </c>
      <c r="C539" s="1">
        <f>IF(B539="", "", "other")</f>
        <v>0</v>
      </c>
      <c r="D539" s="1">
        <f>IF(B539="", "", "metagenome")</f>
        <v>0</v>
      </c>
      <c r="E539" s="1">
        <f>IF(B539="", "", "256318")</f>
        <v>0</v>
      </c>
    </row>
    <row r="540" spans="1:5">
      <c r="A540">
        <f>IF(COUNTBLANK(B540:E540)&lt;&gt;COLUMNS(B540:E540),539,"")</f>
        <v>0</v>
      </c>
      <c r="C540" s="1">
        <f>IF(B540="", "", "other")</f>
        <v>0</v>
      </c>
      <c r="D540" s="1">
        <f>IF(B540="", "", "metagenome")</f>
        <v>0</v>
      </c>
      <c r="E540" s="1">
        <f>IF(B540="", "", "256318")</f>
        <v>0</v>
      </c>
    </row>
    <row r="541" spans="1:5">
      <c r="A541">
        <f>IF(COUNTBLANK(B541:E541)&lt;&gt;COLUMNS(B541:E541),540,"")</f>
        <v>0</v>
      </c>
      <c r="C541" s="1">
        <f>IF(B541="", "", "other")</f>
        <v>0</v>
      </c>
      <c r="D541" s="1">
        <f>IF(B541="", "", "metagenome")</f>
        <v>0</v>
      </c>
      <c r="E541" s="1">
        <f>IF(B541="", "", "256318")</f>
        <v>0</v>
      </c>
    </row>
    <row r="542" spans="1:5">
      <c r="A542">
        <f>IF(COUNTBLANK(B542:E542)&lt;&gt;COLUMNS(B542:E542),541,"")</f>
        <v>0</v>
      </c>
      <c r="C542" s="1">
        <f>IF(B542="", "", "other")</f>
        <v>0</v>
      </c>
      <c r="D542" s="1">
        <f>IF(B542="", "", "metagenome")</f>
        <v>0</v>
      </c>
      <c r="E542" s="1">
        <f>IF(B542="", "", "256318")</f>
        <v>0</v>
      </c>
    </row>
    <row r="543" spans="1:5">
      <c r="A543">
        <f>IF(COUNTBLANK(B543:E543)&lt;&gt;COLUMNS(B543:E543),542,"")</f>
        <v>0</v>
      </c>
      <c r="C543" s="1">
        <f>IF(B543="", "", "other")</f>
        <v>0</v>
      </c>
      <c r="D543" s="1">
        <f>IF(B543="", "", "metagenome")</f>
        <v>0</v>
      </c>
      <c r="E543" s="1">
        <f>IF(B543="", "", "256318")</f>
        <v>0</v>
      </c>
    </row>
    <row r="544" spans="1:5">
      <c r="A544">
        <f>IF(COUNTBLANK(B544:E544)&lt;&gt;COLUMNS(B544:E544),543,"")</f>
        <v>0</v>
      </c>
      <c r="C544" s="1">
        <f>IF(B544="", "", "other")</f>
        <v>0</v>
      </c>
      <c r="D544" s="1">
        <f>IF(B544="", "", "metagenome")</f>
        <v>0</v>
      </c>
      <c r="E544" s="1">
        <f>IF(B544="", "", "256318")</f>
        <v>0</v>
      </c>
    </row>
    <row r="545" spans="1:5">
      <c r="A545">
        <f>IF(COUNTBLANK(B545:E545)&lt;&gt;COLUMNS(B545:E545),544,"")</f>
        <v>0</v>
      </c>
      <c r="C545" s="1">
        <f>IF(B545="", "", "other")</f>
        <v>0</v>
      </c>
      <c r="D545" s="1">
        <f>IF(B545="", "", "metagenome")</f>
        <v>0</v>
      </c>
      <c r="E545" s="1">
        <f>IF(B545="", "", "256318")</f>
        <v>0</v>
      </c>
    </row>
    <row r="546" spans="1:5">
      <c r="A546">
        <f>IF(COUNTBLANK(B546:E546)&lt;&gt;COLUMNS(B546:E546),545,"")</f>
        <v>0</v>
      </c>
      <c r="C546" s="1">
        <f>IF(B546="", "", "other")</f>
        <v>0</v>
      </c>
      <c r="D546" s="1">
        <f>IF(B546="", "", "metagenome")</f>
        <v>0</v>
      </c>
      <c r="E546" s="1">
        <f>IF(B546="", "", "256318")</f>
        <v>0</v>
      </c>
    </row>
    <row r="547" spans="1:5">
      <c r="A547">
        <f>IF(COUNTBLANK(B547:E547)&lt;&gt;COLUMNS(B547:E547),546,"")</f>
        <v>0</v>
      </c>
      <c r="C547" s="1">
        <f>IF(B547="", "", "other")</f>
        <v>0</v>
      </c>
      <c r="D547" s="1">
        <f>IF(B547="", "", "metagenome")</f>
        <v>0</v>
      </c>
      <c r="E547" s="1">
        <f>IF(B547="", "", "256318")</f>
        <v>0</v>
      </c>
    </row>
    <row r="548" spans="1:5">
      <c r="A548">
        <f>IF(COUNTBLANK(B548:E548)&lt;&gt;COLUMNS(B548:E548),547,"")</f>
        <v>0</v>
      </c>
      <c r="C548" s="1">
        <f>IF(B548="", "", "other")</f>
        <v>0</v>
      </c>
      <c r="D548" s="1">
        <f>IF(B548="", "", "metagenome")</f>
        <v>0</v>
      </c>
      <c r="E548" s="1">
        <f>IF(B548="", "", "256318")</f>
        <v>0</v>
      </c>
    </row>
    <row r="549" spans="1:5">
      <c r="A549">
        <f>IF(COUNTBLANK(B549:E549)&lt;&gt;COLUMNS(B549:E549),548,"")</f>
        <v>0</v>
      </c>
      <c r="C549" s="1">
        <f>IF(B549="", "", "other")</f>
        <v>0</v>
      </c>
      <c r="D549" s="1">
        <f>IF(B549="", "", "metagenome")</f>
        <v>0</v>
      </c>
      <c r="E549" s="1">
        <f>IF(B549="", "", "256318")</f>
        <v>0</v>
      </c>
    </row>
    <row r="550" spans="1:5">
      <c r="A550">
        <f>IF(COUNTBLANK(B550:E550)&lt;&gt;COLUMNS(B550:E550),549,"")</f>
        <v>0</v>
      </c>
      <c r="C550" s="1">
        <f>IF(B550="", "", "other")</f>
        <v>0</v>
      </c>
      <c r="D550" s="1">
        <f>IF(B550="", "", "metagenome")</f>
        <v>0</v>
      </c>
      <c r="E550" s="1">
        <f>IF(B550="", "", "256318")</f>
        <v>0</v>
      </c>
    </row>
    <row r="551" spans="1:5">
      <c r="A551">
        <f>IF(COUNTBLANK(B551:E551)&lt;&gt;COLUMNS(B551:E551),550,"")</f>
        <v>0</v>
      </c>
      <c r="C551" s="1">
        <f>IF(B551="", "", "other")</f>
        <v>0</v>
      </c>
      <c r="D551" s="1">
        <f>IF(B551="", "", "metagenome")</f>
        <v>0</v>
      </c>
      <c r="E551" s="1">
        <f>IF(B551="", "", "256318")</f>
        <v>0</v>
      </c>
    </row>
    <row r="552" spans="1:5">
      <c r="A552">
        <f>IF(COUNTBLANK(B552:E552)&lt;&gt;COLUMNS(B552:E552),551,"")</f>
        <v>0</v>
      </c>
      <c r="C552" s="1">
        <f>IF(B552="", "", "other")</f>
        <v>0</v>
      </c>
      <c r="D552" s="1">
        <f>IF(B552="", "", "metagenome")</f>
        <v>0</v>
      </c>
      <c r="E552" s="1">
        <f>IF(B552="", "", "256318")</f>
        <v>0</v>
      </c>
    </row>
    <row r="553" spans="1:5">
      <c r="A553">
        <f>IF(COUNTBLANK(B553:E553)&lt;&gt;COLUMNS(B553:E553),552,"")</f>
        <v>0</v>
      </c>
      <c r="C553" s="1">
        <f>IF(B553="", "", "other")</f>
        <v>0</v>
      </c>
      <c r="D553" s="1">
        <f>IF(B553="", "", "metagenome")</f>
        <v>0</v>
      </c>
      <c r="E553" s="1">
        <f>IF(B553="", "", "256318")</f>
        <v>0</v>
      </c>
    </row>
    <row r="554" spans="1:5">
      <c r="A554">
        <f>IF(COUNTBLANK(B554:E554)&lt;&gt;COLUMNS(B554:E554),553,"")</f>
        <v>0</v>
      </c>
      <c r="C554" s="1">
        <f>IF(B554="", "", "other")</f>
        <v>0</v>
      </c>
      <c r="D554" s="1">
        <f>IF(B554="", "", "metagenome")</f>
        <v>0</v>
      </c>
      <c r="E554" s="1">
        <f>IF(B554="", "", "256318")</f>
        <v>0</v>
      </c>
    </row>
    <row r="555" spans="1:5">
      <c r="A555">
        <f>IF(COUNTBLANK(B555:E555)&lt;&gt;COLUMNS(B555:E555),554,"")</f>
        <v>0</v>
      </c>
      <c r="C555" s="1">
        <f>IF(B555="", "", "other")</f>
        <v>0</v>
      </c>
      <c r="D555" s="1">
        <f>IF(B555="", "", "metagenome")</f>
        <v>0</v>
      </c>
      <c r="E555" s="1">
        <f>IF(B555="", "", "256318")</f>
        <v>0</v>
      </c>
    </row>
    <row r="556" spans="1:5">
      <c r="A556">
        <f>IF(COUNTBLANK(B556:E556)&lt;&gt;COLUMNS(B556:E556),555,"")</f>
        <v>0</v>
      </c>
      <c r="C556" s="1">
        <f>IF(B556="", "", "other")</f>
        <v>0</v>
      </c>
      <c r="D556" s="1">
        <f>IF(B556="", "", "metagenome")</f>
        <v>0</v>
      </c>
      <c r="E556" s="1">
        <f>IF(B556="", "", "256318")</f>
        <v>0</v>
      </c>
    </row>
    <row r="557" spans="1:5">
      <c r="A557">
        <f>IF(COUNTBLANK(B557:E557)&lt;&gt;COLUMNS(B557:E557),556,"")</f>
        <v>0</v>
      </c>
      <c r="C557" s="1">
        <f>IF(B557="", "", "other")</f>
        <v>0</v>
      </c>
      <c r="D557" s="1">
        <f>IF(B557="", "", "metagenome")</f>
        <v>0</v>
      </c>
      <c r="E557" s="1">
        <f>IF(B557="", "", "256318")</f>
        <v>0</v>
      </c>
    </row>
    <row r="558" spans="1:5">
      <c r="A558">
        <f>IF(COUNTBLANK(B558:E558)&lt;&gt;COLUMNS(B558:E558),557,"")</f>
        <v>0</v>
      </c>
      <c r="C558" s="1">
        <f>IF(B558="", "", "other")</f>
        <v>0</v>
      </c>
      <c r="D558" s="1">
        <f>IF(B558="", "", "metagenome")</f>
        <v>0</v>
      </c>
      <c r="E558" s="1">
        <f>IF(B558="", "", "256318")</f>
        <v>0</v>
      </c>
    </row>
    <row r="559" spans="1:5">
      <c r="A559">
        <f>IF(COUNTBLANK(B559:E559)&lt;&gt;COLUMNS(B559:E559),558,"")</f>
        <v>0</v>
      </c>
      <c r="C559" s="1">
        <f>IF(B559="", "", "other")</f>
        <v>0</v>
      </c>
      <c r="D559" s="1">
        <f>IF(B559="", "", "metagenome")</f>
        <v>0</v>
      </c>
      <c r="E559" s="1">
        <f>IF(B559="", "", "256318")</f>
        <v>0</v>
      </c>
    </row>
    <row r="560" spans="1:5">
      <c r="A560">
        <f>IF(COUNTBLANK(B560:E560)&lt;&gt;COLUMNS(B560:E560),559,"")</f>
        <v>0</v>
      </c>
      <c r="C560" s="1">
        <f>IF(B560="", "", "other")</f>
        <v>0</v>
      </c>
      <c r="D560" s="1">
        <f>IF(B560="", "", "metagenome")</f>
        <v>0</v>
      </c>
      <c r="E560" s="1">
        <f>IF(B560="", "", "256318")</f>
        <v>0</v>
      </c>
    </row>
    <row r="561" spans="1:5">
      <c r="A561">
        <f>IF(COUNTBLANK(B561:E561)&lt;&gt;COLUMNS(B561:E561),560,"")</f>
        <v>0</v>
      </c>
      <c r="C561" s="1">
        <f>IF(B561="", "", "other")</f>
        <v>0</v>
      </c>
      <c r="D561" s="1">
        <f>IF(B561="", "", "metagenome")</f>
        <v>0</v>
      </c>
      <c r="E561" s="1">
        <f>IF(B561="", "", "256318")</f>
        <v>0</v>
      </c>
    </row>
    <row r="562" spans="1:5">
      <c r="A562">
        <f>IF(COUNTBLANK(B562:E562)&lt;&gt;COLUMNS(B562:E562),561,"")</f>
        <v>0</v>
      </c>
      <c r="C562" s="1">
        <f>IF(B562="", "", "other")</f>
        <v>0</v>
      </c>
      <c r="D562" s="1">
        <f>IF(B562="", "", "metagenome")</f>
        <v>0</v>
      </c>
      <c r="E562" s="1">
        <f>IF(B562="", "", "256318")</f>
        <v>0</v>
      </c>
    </row>
    <row r="563" spans="1:5">
      <c r="A563">
        <f>IF(COUNTBLANK(B563:E563)&lt;&gt;COLUMNS(B563:E563),562,"")</f>
        <v>0</v>
      </c>
      <c r="C563" s="1">
        <f>IF(B563="", "", "other")</f>
        <v>0</v>
      </c>
      <c r="D563" s="1">
        <f>IF(B563="", "", "metagenome")</f>
        <v>0</v>
      </c>
      <c r="E563" s="1">
        <f>IF(B563="", "", "256318")</f>
        <v>0</v>
      </c>
    </row>
    <row r="564" spans="1:5">
      <c r="A564">
        <f>IF(COUNTBLANK(B564:E564)&lt;&gt;COLUMNS(B564:E564),563,"")</f>
        <v>0</v>
      </c>
      <c r="C564" s="1">
        <f>IF(B564="", "", "other")</f>
        <v>0</v>
      </c>
      <c r="D564" s="1">
        <f>IF(B564="", "", "metagenome")</f>
        <v>0</v>
      </c>
      <c r="E564" s="1">
        <f>IF(B564="", "", "256318")</f>
        <v>0</v>
      </c>
    </row>
    <row r="565" spans="1:5">
      <c r="A565">
        <f>IF(COUNTBLANK(B565:E565)&lt;&gt;COLUMNS(B565:E565),564,"")</f>
        <v>0</v>
      </c>
      <c r="C565" s="1">
        <f>IF(B565="", "", "other")</f>
        <v>0</v>
      </c>
      <c r="D565" s="1">
        <f>IF(B565="", "", "metagenome")</f>
        <v>0</v>
      </c>
      <c r="E565" s="1">
        <f>IF(B565="", "", "256318")</f>
        <v>0</v>
      </c>
    </row>
    <row r="566" spans="1:5">
      <c r="A566">
        <f>IF(COUNTBLANK(B566:E566)&lt;&gt;COLUMNS(B566:E566),565,"")</f>
        <v>0</v>
      </c>
      <c r="C566" s="1">
        <f>IF(B566="", "", "other")</f>
        <v>0</v>
      </c>
      <c r="D566" s="1">
        <f>IF(B566="", "", "metagenome")</f>
        <v>0</v>
      </c>
      <c r="E566" s="1">
        <f>IF(B566="", "", "256318")</f>
        <v>0</v>
      </c>
    </row>
    <row r="567" spans="1:5">
      <c r="A567">
        <f>IF(COUNTBLANK(B567:E567)&lt;&gt;COLUMNS(B567:E567),566,"")</f>
        <v>0</v>
      </c>
      <c r="C567" s="1">
        <f>IF(B567="", "", "other")</f>
        <v>0</v>
      </c>
      <c r="D567" s="1">
        <f>IF(B567="", "", "metagenome")</f>
        <v>0</v>
      </c>
      <c r="E567" s="1">
        <f>IF(B567="", "", "256318")</f>
        <v>0</v>
      </c>
    </row>
    <row r="568" spans="1:5">
      <c r="A568">
        <f>IF(COUNTBLANK(B568:E568)&lt;&gt;COLUMNS(B568:E568),567,"")</f>
        <v>0</v>
      </c>
      <c r="C568" s="1">
        <f>IF(B568="", "", "other")</f>
        <v>0</v>
      </c>
      <c r="D568" s="1">
        <f>IF(B568="", "", "metagenome")</f>
        <v>0</v>
      </c>
      <c r="E568" s="1">
        <f>IF(B568="", "", "256318")</f>
        <v>0</v>
      </c>
    </row>
    <row r="569" spans="1:5">
      <c r="A569">
        <f>IF(COUNTBLANK(B569:E569)&lt;&gt;COLUMNS(B569:E569),568,"")</f>
        <v>0</v>
      </c>
      <c r="C569" s="1">
        <f>IF(B569="", "", "other")</f>
        <v>0</v>
      </c>
      <c r="D569" s="1">
        <f>IF(B569="", "", "metagenome")</f>
        <v>0</v>
      </c>
      <c r="E569" s="1">
        <f>IF(B569="", "", "256318")</f>
        <v>0</v>
      </c>
    </row>
    <row r="570" spans="1:5">
      <c r="A570">
        <f>IF(COUNTBLANK(B570:E570)&lt;&gt;COLUMNS(B570:E570),569,"")</f>
        <v>0</v>
      </c>
      <c r="C570" s="1">
        <f>IF(B570="", "", "other")</f>
        <v>0</v>
      </c>
      <c r="D570" s="1">
        <f>IF(B570="", "", "metagenome")</f>
        <v>0</v>
      </c>
      <c r="E570" s="1">
        <f>IF(B570="", "", "256318")</f>
        <v>0</v>
      </c>
    </row>
    <row r="571" spans="1:5">
      <c r="A571">
        <f>IF(COUNTBLANK(B571:E571)&lt;&gt;COLUMNS(B571:E571),570,"")</f>
        <v>0</v>
      </c>
      <c r="C571" s="1">
        <f>IF(B571="", "", "other")</f>
        <v>0</v>
      </c>
      <c r="D571" s="1">
        <f>IF(B571="", "", "metagenome")</f>
        <v>0</v>
      </c>
      <c r="E571" s="1">
        <f>IF(B571="", "", "256318")</f>
        <v>0</v>
      </c>
    </row>
    <row r="572" spans="1:5">
      <c r="A572">
        <f>IF(COUNTBLANK(B572:E572)&lt;&gt;COLUMNS(B572:E572),571,"")</f>
        <v>0</v>
      </c>
      <c r="C572" s="1">
        <f>IF(B572="", "", "other")</f>
        <v>0</v>
      </c>
      <c r="D572" s="1">
        <f>IF(B572="", "", "metagenome")</f>
        <v>0</v>
      </c>
      <c r="E572" s="1">
        <f>IF(B572="", "", "256318")</f>
        <v>0</v>
      </c>
    </row>
    <row r="573" spans="1:5">
      <c r="A573">
        <f>IF(COUNTBLANK(B573:E573)&lt;&gt;COLUMNS(B573:E573),572,"")</f>
        <v>0</v>
      </c>
      <c r="C573" s="1">
        <f>IF(B573="", "", "other")</f>
        <v>0</v>
      </c>
      <c r="D573" s="1">
        <f>IF(B573="", "", "metagenome")</f>
        <v>0</v>
      </c>
      <c r="E573" s="1">
        <f>IF(B573="", "", "256318")</f>
        <v>0</v>
      </c>
    </row>
    <row r="574" spans="1:5">
      <c r="A574">
        <f>IF(COUNTBLANK(B574:E574)&lt;&gt;COLUMNS(B574:E574),573,"")</f>
        <v>0</v>
      </c>
      <c r="C574" s="1">
        <f>IF(B574="", "", "other")</f>
        <v>0</v>
      </c>
      <c r="D574" s="1">
        <f>IF(B574="", "", "metagenome")</f>
        <v>0</v>
      </c>
      <c r="E574" s="1">
        <f>IF(B574="", "", "256318")</f>
        <v>0</v>
      </c>
    </row>
    <row r="575" spans="1:5">
      <c r="A575">
        <f>IF(COUNTBLANK(B575:E575)&lt;&gt;COLUMNS(B575:E575),574,"")</f>
        <v>0</v>
      </c>
      <c r="C575" s="1">
        <f>IF(B575="", "", "other")</f>
        <v>0</v>
      </c>
      <c r="D575" s="1">
        <f>IF(B575="", "", "metagenome")</f>
        <v>0</v>
      </c>
      <c r="E575" s="1">
        <f>IF(B575="", "", "256318")</f>
        <v>0</v>
      </c>
    </row>
    <row r="576" spans="1:5">
      <c r="A576">
        <f>IF(COUNTBLANK(B576:E576)&lt;&gt;COLUMNS(B576:E576),575,"")</f>
        <v>0</v>
      </c>
      <c r="C576" s="1">
        <f>IF(B576="", "", "other")</f>
        <v>0</v>
      </c>
      <c r="D576" s="1">
        <f>IF(B576="", "", "metagenome")</f>
        <v>0</v>
      </c>
      <c r="E576" s="1">
        <f>IF(B576="", "", "256318")</f>
        <v>0</v>
      </c>
    </row>
    <row r="577" spans="1:5">
      <c r="A577">
        <f>IF(COUNTBLANK(B577:E577)&lt;&gt;COLUMNS(B577:E577),576,"")</f>
        <v>0</v>
      </c>
      <c r="C577" s="1">
        <f>IF(B577="", "", "other")</f>
        <v>0</v>
      </c>
      <c r="D577" s="1">
        <f>IF(B577="", "", "metagenome")</f>
        <v>0</v>
      </c>
      <c r="E577" s="1">
        <f>IF(B577="", "", "256318")</f>
        <v>0</v>
      </c>
    </row>
    <row r="578" spans="1:5">
      <c r="A578">
        <f>IF(COUNTBLANK(B578:E578)&lt;&gt;COLUMNS(B578:E578),577,"")</f>
        <v>0</v>
      </c>
      <c r="C578" s="1">
        <f>IF(B578="", "", "other")</f>
        <v>0</v>
      </c>
      <c r="D578" s="1">
        <f>IF(B578="", "", "metagenome")</f>
        <v>0</v>
      </c>
      <c r="E578" s="1">
        <f>IF(B578="", "", "256318")</f>
        <v>0</v>
      </c>
    </row>
    <row r="579" spans="1:5">
      <c r="A579">
        <f>IF(COUNTBLANK(B579:E579)&lt;&gt;COLUMNS(B579:E579),578,"")</f>
        <v>0</v>
      </c>
      <c r="C579" s="1">
        <f>IF(B579="", "", "other")</f>
        <v>0</v>
      </c>
      <c r="D579" s="1">
        <f>IF(B579="", "", "metagenome")</f>
        <v>0</v>
      </c>
      <c r="E579" s="1">
        <f>IF(B579="", "", "256318")</f>
        <v>0</v>
      </c>
    </row>
    <row r="580" spans="1:5">
      <c r="A580">
        <f>IF(COUNTBLANK(B580:E580)&lt;&gt;COLUMNS(B580:E580),579,"")</f>
        <v>0</v>
      </c>
      <c r="C580" s="1">
        <f>IF(B580="", "", "other")</f>
        <v>0</v>
      </c>
      <c r="D580" s="1">
        <f>IF(B580="", "", "metagenome")</f>
        <v>0</v>
      </c>
      <c r="E580" s="1">
        <f>IF(B580="", "", "256318")</f>
        <v>0</v>
      </c>
    </row>
    <row r="581" spans="1:5">
      <c r="A581">
        <f>IF(COUNTBLANK(B581:E581)&lt;&gt;COLUMNS(B581:E581),580,"")</f>
        <v>0</v>
      </c>
      <c r="C581" s="1">
        <f>IF(B581="", "", "other")</f>
        <v>0</v>
      </c>
      <c r="D581" s="1">
        <f>IF(B581="", "", "metagenome")</f>
        <v>0</v>
      </c>
      <c r="E581" s="1">
        <f>IF(B581="", "", "256318")</f>
        <v>0</v>
      </c>
    </row>
    <row r="582" spans="1:5">
      <c r="A582">
        <f>IF(COUNTBLANK(B582:E582)&lt;&gt;COLUMNS(B582:E582),581,"")</f>
        <v>0</v>
      </c>
      <c r="C582" s="1">
        <f>IF(B582="", "", "other")</f>
        <v>0</v>
      </c>
      <c r="D582" s="1">
        <f>IF(B582="", "", "metagenome")</f>
        <v>0</v>
      </c>
      <c r="E582" s="1">
        <f>IF(B582="", "", "256318")</f>
        <v>0</v>
      </c>
    </row>
    <row r="583" spans="1:5">
      <c r="A583">
        <f>IF(COUNTBLANK(B583:E583)&lt;&gt;COLUMNS(B583:E583),582,"")</f>
        <v>0</v>
      </c>
      <c r="C583" s="1">
        <f>IF(B583="", "", "other")</f>
        <v>0</v>
      </c>
      <c r="D583" s="1">
        <f>IF(B583="", "", "metagenome")</f>
        <v>0</v>
      </c>
      <c r="E583" s="1">
        <f>IF(B583="", "", "256318")</f>
        <v>0</v>
      </c>
    </row>
    <row r="584" spans="1:5">
      <c r="A584">
        <f>IF(COUNTBLANK(B584:E584)&lt;&gt;COLUMNS(B584:E584),583,"")</f>
        <v>0</v>
      </c>
      <c r="C584" s="1">
        <f>IF(B584="", "", "other")</f>
        <v>0</v>
      </c>
      <c r="D584" s="1">
        <f>IF(B584="", "", "metagenome")</f>
        <v>0</v>
      </c>
      <c r="E584" s="1">
        <f>IF(B584="", "", "256318")</f>
        <v>0</v>
      </c>
    </row>
    <row r="585" spans="1:5">
      <c r="A585">
        <f>IF(COUNTBLANK(B585:E585)&lt;&gt;COLUMNS(B585:E585),584,"")</f>
        <v>0</v>
      </c>
      <c r="C585" s="1">
        <f>IF(B585="", "", "other")</f>
        <v>0</v>
      </c>
      <c r="D585" s="1">
        <f>IF(B585="", "", "metagenome")</f>
        <v>0</v>
      </c>
      <c r="E585" s="1">
        <f>IF(B585="", "", "256318")</f>
        <v>0</v>
      </c>
    </row>
    <row r="586" spans="1:5">
      <c r="A586">
        <f>IF(COUNTBLANK(B586:E586)&lt;&gt;COLUMNS(B586:E586),585,"")</f>
        <v>0</v>
      </c>
      <c r="C586" s="1">
        <f>IF(B586="", "", "other")</f>
        <v>0</v>
      </c>
      <c r="D586" s="1">
        <f>IF(B586="", "", "metagenome")</f>
        <v>0</v>
      </c>
      <c r="E586" s="1">
        <f>IF(B586="", "", "256318")</f>
        <v>0</v>
      </c>
    </row>
    <row r="587" spans="1:5">
      <c r="A587">
        <f>IF(COUNTBLANK(B587:E587)&lt;&gt;COLUMNS(B587:E587),586,"")</f>
        <v>0</v>
      </c>
      <c r="C587" s="1">
        <f>IF(B587="", "", "other")</f>
        <v>0</v>
      </c>
      <c r="D587" s="1">
        <f>IF(B587="", "", "metagenome")</f>
        <v>0</v>
      </c>
      <c r="E587" s="1">
        <f>IF(B587="", "", "256318")</f>
        <v>0</v>
      </c>
    </row>
    <row r="588" spans="1:5">
      <c r="A588">
        <f>IF(COUNTBLANK(B588:E588)&lt;&gt;COLUMNS(B588:E588),587,"")</f>
        <v>0</v>
      </c>
      <c r="C588" s="1">
        <f>IF(B588="", "", "other")</f>
        <v>0</v>
      </c>
      <c r="D588" s="1">
        <f>IF(B588="", "", "metagenome")</f>
        <v>0</v>
      </c>
      <c r="E588" s="1">
        <f>IF(B588="", "", "256318")</f>
        <v>0</v>
      </c>
    </row>
    <row r="589" spans="1:5">
      <c r="A589">
        <f>IF(COUNTBLANK(B589:E589)&lt;&gt;COLUMNS(B589:E589),588,"")</f>
        <v>0</v>
      </c>
      <c r="C589" s="1">
        <f>IF(B589="", "", "other")</f>
        <v>0</v>
      </c>
      <c r="D589" s="1">
        <f>IF(B589="", "", "metagenome")</f>
        <v>0</v>
      </c>
      <c r="E589" s="1">
        <f>IF(B589="", "", "256318")</f>
        <v>0</v>
      </c>
    </row>
    <row r="590" spans="1:5">
      <c r="A590">
        <f>IF(COUNTBLANK(B590:E590)&lt;&gt;COLUMNS(B590:E590),589,"")</f>
        <v>0</v>
      </c>
      <c r="C590" s="1">
        <f>IF(B590="", "", "other")</f>
        <v>0</v>
      </c>
      <c r="D590" s="1">
        <f>IF(B590="", "", "metagenome")</f>
        <v>0</v>
      </c>
      <c r="E590" s="1">
        <f>IF(B590="", "", "256318")</f>
        <v>0</v>
      </c>
    </row>
    <row r="591" spans="1:5">
      <c r="A591">
        <f>IF(COUNTBLANK(B591:E591)&lt;&gt;COLUMNS(B591:E591),590,"")</f>
        <v>0</v>
      </c>
      <c r="C591" s="1">
        <f>IF(B591="", "", "other")</f>
        <v>0</v>
      </c>
      <c r="D591" s="1">
        <f>IF(B591="", "", "metagenome")</f>
        <v>0</v>
      </c>
      <c r="E591" s="1">
        <f>IF(B591="", "", "256318")</f>
        <v>0</v>
      </c>
    </row>
    <row r="592" spans="1:5">
      <c r="A592">
        <f>IF(COUNTBLANK(B592:E592)&lt;&gt;COLUMNS(B592:E592),591,"")</f>
        <v>0</v>
      </c>
      <c r="C592" s="1">
        <f>IF(B592="", "", "other")</f>
        <v>0</v>
      </c>
      <c r="D592" s="1">
        <f>IF(B592="", "", "metagenome")</f>
        <v>0</v>
      </c>
      <c r="E592" s="1">
        <f>IF(B592="", "", "256318")</f>
        <v>0</v>
      </c>
    </row>
    <row r="593" spans="1:5">
      <c r="A593">
        <f>IF(COUNTBLANK(B593:E593)&lt;&gt;COLUMNS(B593:E593),592,"")</f>
        <v>0</v>
      </c>
      <c r="C593" s="1">
        <f>IF(B593="", "", "other")</f>
        <v>0</v>
      </c>
      <c r="D593" s="1">
        <f>IF(B593="", "", "metagenome")</f>
        <v>0</v>
      </c>
      <c r="E593" s="1">
        <f>IF(B593="", "", "256318")</f>
        <v>0</v>
      </c>
    </row>
    <row r="594" spans="1:5">
      <c r="A594">
        <f>IF(COUNTBLANK(B594:E594)&lt;&gt;COLUMNS(B594:E594),593,"")</f>
        <v>0</v>
      </c>
      <c r="C594" s="1">
        <f>IF(B594="", "", "other")</f>
        <v>0</v>
      </c>
      <c r="D594" s="1">
        <f>IF(B594="", "", "metagenome")</f>
        <v>0</v>
      </c>
      <c r="E594" s="1">
        <f>IF(B594="", "", "256318")</f>
        <v>0</v>
      </c>
    </row>
    <row r="595" spans="1:5">
      <c r="A595">
        <f>IF(COUNTBLANK(B595:E595)&lt;&gt;COLUMNS(B595:E595),594,"")</f>
        <v>0</v>
      </c>
      <c r="C595" s="1">
        <f>IF(B595="", "", "other")</f>
        <v>0</v>
      </c>
      <c r="D595" s="1">
        <f>IF(B595="", "", "metagenome")</f>
        <v>0</v>
      </c>
      <c r="E595" s="1">
        <f>IF(B595="", "", "256318")</f>
        <v>0</v>
      </c>
    </row>
    <row r="596" spans="1:5">
      <c r="A596">
        <f>IF(COUNTBLANK(B596:E596)&lt;&gt;COLUMNS(B596:E596),595,"")</f>
        <v>0</v>
      </c>
      <c r="C596" s="1">
        <f>IF(B596="", "", "other")</f>
        <v>0</v>
      </c>
      <c r="D596" s="1">
        <f>IF(B596="", "", "metagenome")</f>
        <v>0</v>
      </c>
      <c r="E596" s="1">
        <f>IF(B596="", "", "256318")</f>
        <v>0</v>
      </c>
    </row>
    <row r="597" spans="1:5">
      <c r="A597">
        <f>IF(COUNTBLANK(B597:E597)&lt;&gt;COLUMNS(B597:E597),596,"")</f>
        <v>0</v>
      </c>
      <c r="C597" s="1">
        <f>IF(B597="", "", "other")</f>
        <v>0</v>
      </c>
      <c r="D597" s="1">
        <f>IF(B597="", "", "metagenome")</f>
        <v>0</v>
      </c>
      <c r="E597" s="1">
        <f>IF(B597="", "", "256318")</f>
        <v>0</v>
      </c>
    </row>
    <row r="598" spans="1:5">
      <c r="A598">
        <f>IF(COUNTBLANK(B598:E598)&lt;&gt;COLUMNS(B598:E598),597,"")</f>
        <v>0</v>
      </c>
      <c r="C598" s="1">
        <f>IF(B598="", "", "other")</f>
        <v>0</v>
      </c>
      <c r="D598" s="1">
        <f>IF(B598="", "", "metagenome")</f>
        <v>0</v>
      </c>
      <c r="E598" s="1">
        <f>IF(B598="", "", "256318")</f>
        <v>0</v>
      </c>
    </row>
    <row r="599" spans="1:5">
      <c r="A599">
        <f>IF(COUNTBLANK(B599:E599)&lt;&gt;COLUMNS(B599:E599),598,"")</f>
        <v>0</v>
      </c>
      <c r="C599" s="1">
        <f>IF(B599="", "", "other")</f>
        <v>0</v>
      </c>
      <c r="D599" s="1">
        <f>IF(B599="", "", "metagenome")</f>
        <v>0</v>
      </c>
      <c r="E599" s="1">
        <f>IF(B599="", "", "256318")</f>
        <v>0</v>
      </c>
    </row>
    <row r="600" spans="1:5">
      <c r="A600">
        <f>IF(COUNTBLANK(B600:E600)&lt;&gt;COLUMNS(B600:E600),599,"")</f>
        <v>0</v>
      </c>
      <c r="C600" s="1">
        <f>IF(B600="", "", "other")</f>
        <v>0</v>
      </c>
      <c r="D600" s="1">
        <f>IF(B600="", "", "metagenome")</f>
        <v>0</v>
      </c>
      <c r="E600" s="1">
        <f>IF(B600="", "", "256318")</f>
        <v>0</v>
      </c>
    </row>
    <row r="601" spans="1:5">
      <c r="A601">
        <f>IF(COUNTBLANK(B601:E601)&lt;&gt;COLUMNS(B601:E601),600,"")</f>
        <v>0</v>
      </c>
      <c r="C601" s="1">
        <f>IF(B601="", "", "other")</f>
        <v>0</v>
      </c>
      <c r="D601" s="1">
        <f>IF(B601="", "", "metagenome")</f>
        <v>0</v>
      </c>
      <c r="E601" s="1">
        <f>IF(B601="", "", "256318")</f>
        <v>0</v>
      </c>
    </row>
    <row r="602" spans="1:5">
      <c r="A602">
        <f>IF(COUNTBLANK(B602:E602)&lt;&gt;COLUMNS(B602:E602),601,"")</f>
        <v>0</v>
      </c>
      <c r="C602" s="1">
        <f>IF(B602="", "", "other")</f>
        <v>0</v>
      </c>
      <c r="D602" s="1">
        <f>IF(B602="", "", "metagenome")</f>
        <v>0</v>
      </c>
      <c r="E602" s="1">
        <f>IF(B602="", "", "256318")</f>
        <v>0</v>
      </c>
    </row>
    <row r="603" spans="1:5">
      <c r="A603">
        <f>IF(COUNTBLANK(B603:E603)&lt;&gt;COLUMNS(B603:E603),602,"")</f>
        <v>0</v>
      </c>
      <c r="C603" s="1">
        <f>IF(B603="", "", "other")</f>
        <v>0</v>
      </c>
      <c r="D603" s="1">
        <f>IF(B603="", "", "metagenome")</f>
        <v>0</v>
      </c>
      <c r="E603" s="1">
        <f>IF(B603="", "", "256318")</f>
        <v>0</v>
      </c>
    </row>
    <row r="604" spans="1:5">
      <c r="A604">
        <f>IF(COUNTBLANK(B604:E604)&lt;&gt;COLUMNS(B604:E604),603,"")</f>
        <v>0</v>
      </c>
      <c r="C604" s="1">
        <f>IF(B604="", "", "other")</f>
        <v>0</v>
      </c>
      <c r="D604" s="1">
        <f>IF(B604="", "", "metagenome")</f>
        <v>0</v>
      </c>
      <c r="E604" s="1">
        <f>IF(B604="", "", "256318")</f>
        <v>0</v>
      </c>
    </row>
    <row r="605" spans="1:5">
      <c r="A605">
        <f>IF(COUNTBLANK(B605:E605)&lt;&gt;COLUMNS(B605:E605),604,"")</f>
        <v>0</v>
      </c>
      <c r="C605" s="1">
        <f>IF(B605="", "", "other")</f>
        <v>0</v>
      </c>
      <c r="D605" s="1">
        <f>IF(B605="", "", "metagenome")</f>
        <v>0</v>
      </c>
      <c r="E605" s="1">
        <f>IF(B605="", "", "256318")</f>
        <v>0</v>
      </c>
    </row>
    <row r="606" spans="1:5">
      <c r="A606">
        <f>IF(COUNTBLANK(B606:E606)&lt;&gt;COLUMNS(B606:E606),605,"")</f>
        <v>0</v>
      </c>
      <c r="C606" s="1">
        <f>IF(B606="", "", "other")</f>
        <v>0</v>
      </c>
      <c r="D606" s="1">
        <f>IF(B606="", "", "metagenome")</f>
        <v>0</v>
      </c>
      <c r="E606" s="1">
        <f>IF(B606="", "", "256318")</f>
        <v>0</v>
      </c>
    </row>
    <row r="607" spans="1:5">
      <c r="A607">
        <f>IF(COUNTBLANK(B607:E607)&lt;&gt;COLUMNS(B607:E607),606,"")</f>
        <v>0</v>
      </c>
      <c r="C607" s="1">
        <f>IF(B607="", "", "other")</f>
        <v>0</v>
      </c>
      <c r="D607" s="1">
        <f>IF(B607="", "", "metagenome")</f>
        <v>0</v>
      </c>
      <c r="E607" s="1">
        <f>IF(B607="", "", "256318")</f>
        <v>0</v>
      </c>
    </row>
    <row r="608" spans="1:5">
      <c r="A608">
        <f>IF(COUNTBLANK(B608:E608)&lt;&gt;COLUMNS(B608:E608),607,"")</f>
        <v>0</v>
      </c>
      <c r="C608" s="1">
        <f>IF(B608="", "", "other")</f>
        <v>0</v>
      </c>
      <c r="D608" s="1">
        <f>IF(B608="", "", "metagenome")</f>
        <v>0</v>
      </c>
      <c r="E608" s="1">
        <f>IF(B608="", "", "256318")</f>
        <v>0</v>
      </c>
    </row>
    <row r="609" spans="1:5">
      <c r="A609">
        <f>IF(COUNTBLANK(B609:E609)&lt;&gt;COLUMNS(B609:E609),608,"")</f>
        <v>0</v>
      </c>
      <c r="C609" s="1">
        <f>IF(B609="", "", "other")</f>
        <v>0</v>
      </c>
      <c r="D609" s="1">
        <f>IF(B609="", "", "metagenome")</f>
        <v>0</v>
      </c>
      <c r="E609" s="1">
        <f>IF(B609="", "", "256318")</f>
        <v>0</v>
      </c>
    </row>
    <row r="610" spans="1:5">
      <c r="A610">
        <f>IF(COUNTBLANK(B610:E610)&lt;&gt;COLUMNS(B610:E610),609,"")</f>
        <v>0</v>
      </c>
      <c r="C610" s="1">
        <f>IF(B610="", "", "other")</f>
        <v>0</v>
      </c>
      <c r="D610" s="1">
        <f>IF(B610="", "", "metagenome")</f>
        <v>0</v>
      </c>
      <c r="E610" s="1">
        <f>IF(B610="", "", "256318")</f>
        <v>0</v>
      </c>
    </row>
    <row r="611" spans="1:5">
      <c r="A611">
        <f>IF(COUNTBLANK(B611:E611)&lt;&gt;COLUMNS(B611:E611),610,"")</f>
        <v>0</v>
      </c>
      <c r="C611" s="1">
        <f>IF(B611="", "", "other")</f>
        <v>0</v>
      </c>
      <c r="D611" s="1">
        <f>IF(B611="", "", "metagenome")</f>
        <v>0</v>
      </c>
      <c r="E611" s="1">
        <f>IF(B611="", "", "256318")</f>
        <v>0</v>
      </c>
    </row>
    <row r="612" spans="1:5">
      <c r="A612">
        <f>IF(COUNTBLANK(B612:E612)&lt;&gt;COLUMNS(B612:E612),611,"")</f>
        <v>0</v>
      </c>
      <c r="C612" s="1">
        <f>IF(B612="", "", "other")</f>
        <v>0</v>
      </c>
      <c r="D612" s="1">
        <f>IF(B612="", "", "metagenome")</f>
        <v>0</v>
      </c>
      <c r="E612" s="1">
        <f>IF(B612="", "", "256318")</f>
        <v>0</v>
      </c>
    </row>
    <row r="613" spans="1:5">
      <c r="A613">
        <f>IF(COUNTBLANK(B613:E613)&lt;&gt;COLUMNS(B613:E613),612,"")</f>
        <v>0</v>
      </c>
      <c r="C613" s="1">
        <f>IF(B613="", "", "other")</f>
        <v>0</v>
      </c>
      <c r="D613" s="1">
        <f>IF(B613="", "", "metagenome")</f>
        <v>0</v>
      </c>
      <c r="E613" s="1">
        <f>IF(B613="", "", "256318")</f>
        <v>0</v>
      </c>
    </row>
    <row r="614" spans="1:5">
      <c r="A614">
        <f>IF(COUNTBLANK(B614:E614)&lt;&gt;COLUMNS(B614:E614),613,"")</f>
        <v>0</v>
      </c>
      <c r="C614" s="1">
        <f>IF(B614="", "", "other")</f>
        <v>0</v>
      </c>
      <c r="D614" s="1">
        <f>IF(B614="", "", "metagenome")</f>
        <v>0</v>
      </c>
      <c r="E614" s="1">
        <f>IF(B614="", "", "256318")</f>
        <v>0</v>
      </c>
    </row>
    <row r="615" spans="1:5">
      <c r="A615">
        <f>IF(COUNTBLANK(B615:E615)&lt;&gt;COLUMNS(B615:E615),614,"")</f>
        <v>0</v>
      </c>
      <c r="C615" s="1">
        <f>IF(B615="", "", "other")</f>
        <v>0</v>
      </c>
      <c r="D615" s="1">
        <f>IF(B615="", "", "metagenome")</f>
        <v>0</v>
      </c>
      <c r="E615" s="1">
        <f>IF(B615="", "", "256318")</f>
        <v>0</v>
      </c>
    </row>
    <row r="616" spans="1:5">
      <c r="A616">
        <f>IF(COUNTBLANK(B616:E616)&lt;&gt;COLUMNS(B616:E616),615,"")</f>
        <v>0</v>
      </c>
      <c r="C616" s="1">
        <f>IF(B616="", "", "other")</f>
        <v>0</v>
      </c>
      <c r="D616" s="1">
        <f>IF(B616="", "", "metagenome")</f>
        <v>0</v>
      </c>
      <c r="E616" s="1">
        <f>IF(B616="", "", "256318")</f>
        <v>0</v>
      </c>
    </row>
    <row r="617" spans="1:5">
      <c r="A617">
        <f>IF(COUNTBLANK(B617:E617)&lt;&gt;COLUMNS(B617:E617),616,"")</f>
        <v>0</v>
      </c>
      <c r="C617" s="1">
        <f>IF(B617="", "", "other")</f>
        <v>0</v>
      </c>
      <c r="D617" s="1">
        <f>IF(B617="", "", "metagenome")</f>
        <v>0</v>
      </c>
      <c r="E617" s="1">
        <f>IF(B617="", "", "256318")</f>
        <v>0</v>
      </c>
    </row>
    <row r="618" spans="1:5">
      <c r="A618">
        <f>IF(COUNTBLANK(B618:E618)&lt;&gt;COLUMNS(B618:E618),617,"")</f>
        <v>0</v>
      </c>
      <c r="C618" s="1">
        <f>IF(B618="", "", "other")</f>
        <v>0</v>
      </c>
      <c r="D618" s="1">
        <f>IF(B618="", "", "metagenome")</f>
        <v>0</v>
      </c>
      <c r="E618" s="1">
        <f>IF(B618="", "", "256318")</f>
        <v>0</v>
      </c>
    </row>
    <row r="619" spans="1:5">
      <c r="A619">
        <f>IF(COUNTBLANK(B619:E619)&lt;&gt;COLUMNS(B619:E619),618,"")</f>
        <v>0</v>
      </c>
      <c r="C619" s="1">
        <f>IF(B619="", "", "other")</f>
        <v>0</v>
      </c>
      <c r="D619" s="1">
        <f>IF(B619="", "", "metagenome")</f>
        <v>0</v>
      </c>
      <c r="E619" s="1">
        <f>IF(B619="", "", "256318")</f>
        <v>0</v>
      </c>
    </row>
    <row r="620" spans="1:5">
      <c r="A620">
        <f>IF(COUNTBLANK(B620:E620)&lt;&gt;COLUMNS(B620:E620),619,"")</f>
        <v>0</v>
      </c>
      <c r="C620" s="1">
        <f>IF(B620="", "", "other")</f>
        <v>0</v>
      </c>
      <c r="D620" s="1">
        <f>IF(B620="", "", "metagenome")</f>
        <v>0</v>
      </c>
      <c r="E620" s="1">
        <f>IF(B620="", "", "256318")</f>
        <v>0</v>
      </c>
    </row>
    <row r="621" spans="1:5">
      <c r="A621">
        <f>IF(COUNTBLANK(B621:E621)&lt;&gt;COLUMNS(B621:E621),620,"")</f>
        <v>0</v>
      </c>
      <c r="C621" s="1">
        <f>IF(B621="", "", "other")</f>
        <v>0</v>
      </c>
      <c r="D621" s="1">
        <f>IF(B621="", "", "metagenome")</f>
        <v>0</v>
      </c>
      <c r="E621" s="1">
        <f>IF(B621="", "", "256318")</f>
        <v>0</v>
      </c>
    </row>
    <row r="622" spans="1:5">
      <c r="A622">
        <f>IF(COUNTBLANK(B622:E622)&lt;&gt;COLUMNS(B622:E622),621,"")</f>
        <v>0</v>
      </c>
      <c r="C622" s="1">
        <f>IF(B622="", "", "other")</f>
        <v>0</v>
      </c>
      <c r="D622" s="1">
        <f>IF(B622="", "", "metagenome")</f>
        <v>0</v>
      </c>
      <c r="E622" s="1">
        <f>IF(B622="", "", "256318")</f>
        <v>0</v>
      </c>
    </row>
    <row r="623" spans="1:5">
      <c r="A623">
        <f>IF(COUNTBLANK(B623:E623)&lt;&gt;COLUMNS(B623:E623),622,"")</f>
        <v>0</v>
      </c>
      <c r="C623" s="1">
        <f>IF(B623="", "", "other")</f>
        <v>0</v>
      </c>
      <c r="D623" s="1">
        <f>IF(B623="", "", "metagenome")</f>
        <v>0</v>
      </c>
      <c r="E623" s="1">
        <f>IF(B623="", "", "256318")</f>
        <v>0</v>
      </c>
    </row>
    <row r="624" spans="1:5">
      <c r="A624">
        <f>IF(COUNTBLANK(B624:E624)&lt;&gt;COLUMNS(B624:E624),623,"")</f>
        <v>0</v>
      </c>
      <c r="C624" s="1">
        <f>IF(B624="", "", "other")</f>
        <v>0</v>
      </c>
      <c r="D624" s="1">
        <f>IF(B624="", "", "metagenome")</f>
        <v>0</v>
      </c>
      <c r="E624" s="1">
        <f>IF(B624="", "", "256318")</f>
        <v>0</v>
      </c>
    </row>
    <row r="625" spans="1:5">
      <c r="A625">
        <f>IF(COUNTBLANK(B625:E625)&lt;&gt;COLUMNS(B625:E625),624,"")</f>
        <v>0</v>
      </c>
      <c r="C625" s="1">
        <f>IF(B625="", "", "other")</f>
        <v>0</v>
      </c>
      <c r="D625" s="1">
        <f>IF(B625="", "", "metagenome")</f>
        <v>0</v>
      </c>
      <c r="E625" s="1">
        <f>IF(B625="", "", "256318")</f>
        <v>0</v>
      </c>
    </row>
    <row r="626" spans="1:5">
      <c r="A626">
        <f>IF(COUNTBLANK(B626:E626)&lt;&gt;COLUMNS(B626:E626),625,"")</f>
        <v>0</v>
      </c>
      <c r="C626" s="1">
        <f>IF(B626="", "", "other")</f>
        <v>0</v>
      </c>
      <c r="D626" s="1">
        <f>IF(B626="", "", "metagenome")</f>
        <v>0</v>
      </c>
      <c r="E626" s="1">
        <f>IF(B626="", "", "256318")</f>
        <v>0</v>
      </c>
    </row>
    <row r="627" spans="1:5">
      <c r="A627">
        <f>IF(COUNTBLANK(B627:E627)&lt;&gt;COLUMNS(B627:E627),626,"")</f>
        <v>0</v>
      </c>
      <c r="C627" s="1">
        <f>IF(B627="", "", "other")</f>
        <v>0</v>
      </c>
      <c r="D627" s="1">
        <f>IF(B627="", "", "metagenome")</f>
        <v>0</v>
      </c>
      <c r="E627" s="1">
        <f>IF(B627="", "", "256318")</f>
        <v>0</v>
      </c>
    </row>
    <row r="628" spans="1:5">
      <c r="A628">
        <f>IF(COUNTBLANK(B628:E628)&lt;&gt;COLUMNS(B628:E628),627,"")</f>
        <v>0</v>
      </c>
      <c r="C628" s="1">
        <f>IF(B628="", "", "other")</f>
        <v>0</v>
      </c>
      <c r="D628" s="1">
        <f>IF(B628="", "", "metagenome")</f>
        <v>0</v>
      </c>
      <c r="E628" s="1">
        <f>IF(B628="", "", "256318")</f>
        <v>0</v>
      </c>
    </row>
    <row r="629" spans="1:5">
      <c r="A629">
        <f>IF(COUNTBLANK(B629:E629)&lt;&gt;COLUMNS(B629:E629),628,"")</f>
        <v>0</v>
      </c>
      <c r="C629" s="1">
        <f>IF(B629="", "", "other")</f>
        <v>0</v>
      </c>
      <c r="D629" s="1">
        <f>IF(B629="", "", "metagenome")</f>
        <v>0</v>
      </c>
      <c r="E629" s="1">
        <f>IF(B629="", "", "256318")</f>
        <v>0</v>
      </c>
    </row>
    <row r="630" spans="1:5">
      <c r="A630">
        <f>IF(COUNTBLANK(B630:E630)&lt;&gt;COLUMNS(B630:E630),629,"")</f>
        <v>0</v>
      </c>
      <c r="C630" s="1">
        <f>IF(B630="", "", "other")</f>
        <v>0</v>
      </c>
      <c r="D630" s="1">
        <f>IF(B630="", "", "metagenome")</f>
        <v>0</v>
      </c>
      <c r="E630" s="1">
        <f>IF(B630="", "", "256318")</f>
        <v>0</v>
      </c>
    </row>
    <row r="631" spans="1:5">
      <c r="A631">
        <f>IF(COUNTBLANK(B631:E631)&lt;&gt;COLUMNS(B631:E631),630,"")</f>
        <v>0</v>
      </c>
      <c r="C631" s="1">
        <f>IF(B631="", "", "other")</f>
        <v>0</v>
      </c>
      <c r="D631" s="1">
        <f>IF(B631="", "", "metagenome")</f>
        <v>0</v>
      </c>
      <c r="E631" s="1">
        <f>IF(B631="", "", "256318")</f>
        <v>0</v>
      </c>
    </row>
    <row r="632" spans="1:5">
      <c r="A632">
        <f>IF(COUNTBLANK(B632:E632)&lt;&gt;COLUMNS(B632:E632),631,"")</f>
        <v>0</v>
      </c>
      <c r="C632" s="1">
        <f>IF(B632="", "", "other")</f>
        <v>0</v>
      </c>
      <c r="D632" s="1">
        <f>IF(B632="", "", "metagenome")</f>
        <v>0</v>
      </c>
      <c r="E632" s="1">
        <f>IF(B632="", "", "256318")</f>
        <v>0</v>
      </c>
    </row>
    <row r="633" spans="1:5">
      <c r="A633">
        <f>IF(COUNTBLANK(B633:E633)&lt;&gt;COLUMNS(B633:E633),632,"")</f>
        <v>0</v>
      </c>
      <c r="C633" s="1">
        <f>IF(B633="", "", "other")</f>
        <v>0</v>
      </c>
      <c r="D633" s="1">
        <f>IF(B633="", "", "metagenome")</f>
        <v>0</v>
      </c>
      <c r="E633" s="1">
        <f>IF(B633="", "", "256318")</f>
        <v>0</v>
      </c>
    </row>
    <row r="634" spans="1:5">
      <c r="A634">
        <f>IF(COUNTBLANK(B634:E634)&lt;&gt;COLUMNS(B634:E634),633,"")</f>
        <v>0</v>
      </c>
      <c r="C634" s="1">
        <f>IF(B634="", "", "other")</f>
        <v>0</v>
      </c>
      <c r="D634" s="1">
        <f>IF(B634="", "", "metagenome")</f>
        <v>0</v>
      </c>
      <c r="E634" s="1">
        <f>IF(B634="", "", "256318")</f>
        <v>0</v>
      </c>
    </row>
    <row r="635" spans="1:5">
      <c r="A635">
        <f>IF(COUNTBLANK(B635:E635)&lt;&gt;COLUMNS(B635:E635),634,"")</f>
        <v>0</v>
      </c>
      <c r="C635" s="1">
        <f>IF(B635="", "", "other")</f>
        <v>0</v>
      </c>
      <c r="D635" s="1">
        <f>IF(B635="", "", "metagenome")</f>
        <v>0</v>
      </c>
      <c r="E635" s="1">
        <f>IF(B635="", "", "256318")</f>
        <v>0</v>
      </c>
    </row>
    <row r="636" spans="1:5">
      <c r="A636">
        <f>IF(COUNTBLANK(B636:E636)&lt;&gt;COLUMNS(B636:E636),635,"")</f>
        <v>0</v>
      </c>
      <c r="C636" s="1">
        <f>IF(B636="", "", "other")</f>
        <v>0</v>
      </c>
      <c r="D636" s="1">
        <f>IF(B636="", "", "metagenome")</f>
        <v>0</v>
      </c>
      <c r="E636" s="1">
        <f>IF(B636="", "", "256318")</f>
        <v>0</v>
      </c>
    </row>
    <row r="637" spans="1:5">
      <c r="A637">
        <f>IF(COUNTBLANK(B637:E637)&lt;&gt;COLUMNS(B637:E637),636,"")</f>
        <v>0</v>
      </c>
      <c r="C637" s="1">
        <f>IF(B637="", "", "other")</f>
        <v>0</v>
      </c>
      <c r="D637" s="1">
        <f>IF(B637="", "", "metagenome")</f>
        <v>0</v>
      </c>
      <c r="E637" s="1">
        <f>IF(B637="", "", "256318")</f>
        <v>0</v>
      </c>
    </row>
    <row r="638" spans="1:5">
      <c r="A638">
        <f>IF(COUNTBLANK(B638:E638)&lt;&gt;COLUMNS(B638:E638),637,"")</f>
        <v>0</v>
      </c>
      <c r="C638" s="1">
        <f>IF(B638="", "", "other")</f>
        <v>0</v>
      </c>
      <c r="D638" s="1">
        <f>IF(B638="", "", "metagenome")</f>
        <v>0</v>
      </c>
      <c r="E638" s="1">
        <f>IF(B638="", "", "256318")</f>
        <v>0</v>
      </c>
    </row>
    <row r="639" spans="1:5">
      <c r="A639">
        <f>IF(COUNTBLANK(B639:E639)&lt;&gt;COLUMNS(B639:E639),638,"")</f>
        <v>0</v>
      </c>
      <c r="C639" s="1">
        <f>IF(B639="", "", "other")</f>
        <v>0</v>
      </c>
      <c r="D639" s="1">
        <f>IF(B639="", "", "metagenome")</f>
        <v>0</v>
      </c>
      <c r="E639" s="1">
        <f>IF(B639="", "", "256318")</f>
        <v>0</v>
      </c>
    </row>
    <row r="640" spans="1:5">
      <c r="A640">
        <f>IF(COUNTBLANK(B640:E640)&lt;&gt;COLUMNS(B640:E640),639,"")</f>
        <v>0</v>
      </c>
      <c r="C640" s="1">
        <f>IF(B640="", "", "other")</f>
        <v>0</v>
      </c>
      <c r="D640" s="1">
        <f>IF(B640="", "", "metagenome")</f>
        <v>0</v>
      </c>
      <c r="E640" s="1">
        <f>IF(B640="", "", "256318")</f>
        <v>0</v>
      </c>
    </row>
    <row r="641" spans="1:5">
      <c r="A641">
        <f>IF(COUNTBLANK(B641:E641)&lt;&gt;COLUMNS(B641:E641),640,"")</f>
        <v>0</v>
      </c>
      <c r="C641" s="1">
        <f>IF(B641="", "", "other")</f>
        <v>0</v>
      </c>
      <c r="D641" s="1">
        <f>IF(B641="", "", "metagenome")</f>
        <v>0</v>
      </c>
      <c r="E641" s="1">
        <f>IF(B641="", "", "256318")</f>
        <v>0</v>
      </c>
    </row>
    <row r="642" spans="1:5">
      <c r="A642">
        <f>IF(COUNTBLANK(B642:E642)&lt;&gt;COLUMNS(B642:E642),641,"")</f>
        <v>0</v>
      </c>
      <c r="C642" s="1">
        <f>IF(B642="", "", "other")</f>
        <v>0</v>
      </c>
      <c r="D642" s="1">
        <f>IF(B642="", "", "metagenome")</f>
        <v>0</v>
      </c>
      <c r="E642" s="1">
        <f>IF(B642="", "", "256318")</f>
        <v>0</v>
      </c>
    </row>
    <row r="643" spans="1:5">
      <c r="A643">
        <f>IF(COUNTBLANK(B643:E643)&lt;&gt;COLUMNS(B643:E643),642,"")</f>
        <v>0</v>
      </c>
      <c r="C643" s="1">
        <f>IF(B643="", "", "other")</f>
        <v>0</v>
      </c>
      <c r="D643" s="1">
        <f>IF(B643="", "", "metagenome")</f>
        <v>0</v>
      </c>
      <c r="E643" s="1">
        <f>IF(B643="", "", "256318")</f>
        <v>0</v>
      </c>
    </row>
    <row r="644" spans="1:5">
      <c r="A644">
        <f>IF(COUNTBLANK(B644:E644)&lt;&gt;COLUMNS(B644:E644),643,"")</f>
        <v>0</v>
      </c>
      <c r="C644" s="1">
        <f>IF(B644="", "", "other")</f>
        <v>0</v>
      </c>
      <c r="D644" s="1">
        <f>IF(B644="", "", "metagenome")</f>
        <v>0</v>
      </c>
      <c r="E644" s="1">
        <f>IF(B644="", "", "256318")</f>
        <v>0</v>
      </c>
    </row>
    <row r="645" spans="1:5">
      <c r="A645">
        <f>IF(COUNTBLANK(B645:E645)&lt;&gt;COLUMNS(B645:E645),644,"")</f>
        <v>0</v>
      </c>
      <c r="C645" s="1">
        <f>IF(B645="", "", "other")</f>
        <v>0</v>
      </c>
      <c r="D645" s="1">
        <f>IF(B645="", "", "metagenome")</f>
        <v>0</v>
      </c>
      <c r="E645" s="1">
        <f>IF(B645="", "", "256318")</f>
        <v>0</v>
      </c>
    </row>
    <row r="646" spans="1:5">
      <c r="A646">
        <f>IF(COUNTBLANK(B646:E646)&lt;&gt;COLUMNS(B646:E646),645,"")</f>
        <v>0</v>
      </c>
      <c r="C646" s="1">
        <f>IF(B646="", "", "other")</f>
        <v>0</v>
      </c>
      <c r="D646" s="1">
        <f>IF(B646="", "", "metagenome")</f>
        <v>0</v>
      </c>
      <c r="E646" s="1">
        <f>IF(B646="", "", "256318")</f>
        <v>0</v>
      </c>
    </row>
    <row r="647" spans="1:5">
      <c r="A647">
        <f>IF(COUNTBLANK(B647:E647)&lt;&gt;COLUMNS(B647:E647),646,"")</f>
        <v>0</v>
      </c>
      <c r="C647" s="1">
        <f>IF(B647="", "", "other")</f>
        <v>0</v>
      </c>
      <c r="D647" s="1">
        <f>IF(B647="", "", "metagenome")</f>
        <v>0</v>
      </c>
      <c r="E647" s="1">
        <f>IF(B647="", "", "256318")</f>
        <v>0</v>
      </c>
    </row>
    <row r="648" spans="1:5">
      <c r="A648">
        <f>IF(COUNTBLANK(B648:E648)&lt;&gt;COLUMNS(B648:E648),647,"")</f>
        <v>0</v>
      </c>
      <c r="C648" s="1">
        <f>IF(B648="", "", "other")</f>
        <v>0</v>
      </c>
      <c r="D648" s="1">
        <f>IF(B648="", "", "metagenome")</f>
        <v>0</v>
      </c>
      <c r="E648" s="1">
        <f>IF(B648="", "", "256318")</f>
        <v>0</v>
      </c>
    </row>
    <row r="649" spans="1:5">
      <c r="A649">
        <f>IF(COUNTBLANK(B649:E649)&lt;&gt;COLUMNS(B649:E649),648,"")</f>
        <v>0</v>
      </c>
      <c r="C649" s="1">
        <f>IF(B649="", "", "other")</f>
        <v>0</v>
      </c>
      <c r="D649" s="1">
        <f>IF(B649="", "", "metagenome")</f>
        <v>0</v>
      </c>
      <c r="E649" s="1">
        <f>IF(B649="", "", "256318")</f>
        <v>0</v>
      </c>
    </row>
    <row r="650" spans="1:5">
      <c r="A650">
        <f>IF(COUNTBLANK(B650:E650)&lt;&gt;COLUMNS(B650:E650),649,"")</f>
        <v>0</v>
      </c>
      <c r="C650" s="1">
        <f>IF(B650="", "", "other")</f>
        <v>0</v>
      </c>
      <c r="D650" s="1">
        <f>IF(B650="", "", "metagenome")</f>
        <v>0</v>
      </c>
      <c r="E650" s="1">
        <f>IF(B650="", "", "256318")</f>
        <v>0</v>
      </c>
    </row>
    <row r="651" spans="1:5">
      <c r="A651">
        <f>IF(COUNTBLANK(B651:E651)&lt;&gt;COLUMNS(B651:E651),650,"")</f>
        <v>0</v>
      </c>
      <c r="C651" s="1">
        <f>IF(B651="", "", "other")</f>
        <v>0</v>
      </c>
      <c r="D651" s="1">
        <f>IF(B651="", "", "metagenome")</f>
        <v>0</v>
      </c>
      <c r="E651" s="1">
        <f>IF(B651="", "", "256318")</f>
        <v>0</v>
      </c>
    </row>
    <row r="652" spans="1:5">
      <c r="A652">
        <f>IF(COUNTBLANK(B652:E652)&lt;&gt;COLUMNS(B652:E652),651,"")</f>
        <v>0</v>
      </c>
      <c r="C652" s="1">
        <f>IF(B652="", "", "other")</f>
        <v>0</v>
      </c>
      <c r="D652" s="1">
        <f>IF(B652="", "", "metagenome")</f>
        <v>0</v>
      </c>
      <c r="E652" s="1">
        <f>IF(B652="", "", "256318")</f>
        <v>0</v>
      </c>
    </row>
    <row r="653" spans="1:5">
      <c r="A653">
        <f>IF(COUNTBLANK(B653:E653)&lt;&gt;COLUMNS(B653:E653),652,"")</f>
        <v>0</v>
      </c>
      <c r="C653" s="1">
        <f>IF(B653="", "", "other")</f>
        <v>0</v>
      </c>
      <c r="D653" s="1">
        <f>IF(B653="", "", "metagenome")</f>
        <v>0</v>
      </c>
      <c r="E653" s="1">
        <f>IF(B653="", "", "256318")</f>
        <v>0</v>
      </c>
    </row>
    <row r="654" spans="1:5">
      <c r="A654">
        <f>IF(COUNTBLANK(B654:E654)&lt;&gt;COLUMNS(B654:E654),653,"")</f>
        <v>0</v>
      </c>
      <c r="C654" s="1">
        <f>IF(B654="", "", "other")</f>
        <v>0</v>
      </c>
      <c r="D654" s="1">
        <f>IF(B654="", "", "metagenome")</f>
        <v>0</v>
      </c>
      <c r="E654" s="1">
        <f>IF(B654="", "", "256318")</f>
        <v>0</v>
      </c>
    </row>
    <row r="655" spans="1:5">
      <c r="A655">
        <f>IF(COUNTBLANK(B655:E655)&lt;&gt;COLUMNS(B655:E655),654,"")</f>
        <v>0</v>
      </c>
      <c r="C655" s="1">
        <f>IF(B655="", "", "other")</f>
        <v>0</v>
      </c>
      <c r="D655" s="1">
        <f>IF(B655="", "", "metagenome")</f>
        <v>0</v>
      </c>
      <c r="E655" s="1">
        <f>IF(B655="", "", "256318")</f>
        <v>0</v>
      </c>
    </row>
    <row r="656" spans="1:5">
      <c r="A656">
        <f>IF(COUNTBLANK(B656:E656)&lt;&gt;COLUMNS(B656:E656),655,"")</f>
        <v>0</v>
      </c>
      <c r="C656" s="1">
        <f>IF(B656="", "", "other")</f>
        <v>0</v>
      </c>
      <c r="D656" s="1">
        <f>IF(B656="", "", "metagenome")</f>
        <v>0</v>
      </c>
      <c r="E656" s="1">
        <f>IF(B656="", "", "256318")</f>
        <v>0</v>
      </c>
    </row>
    <row r="657" spans="1:5">
      <c r="A657">
        <f>IF(COUNTBLANK(B657:E657)&lt;&gt;COLUMNS(B657:E657),656,"")</f>
        <v>0</v>
      </c>
      <c r="C657" s="1">
        <f>IF(B657="", "", "other")</f>
        <v>0</v>
      </c>
      <c r="D657" s="1">
        <f>IF(B657="", "", "metagenome")</f>
        <v>0</v>
      </c>
      <c r="E657" s="1">
        <f>IF(B657="", "", "256318")</f>
        <v>0</v>
      </c>
    </row>
    <row r="658" spans="1:5">
      <c r="A658">
        <f>IF(COUNTBLANK(B658:E658)&lt;&gt;COLUMNS(B658:E658),657,"")</f>
        <v>0</v>
      </c>
      <c r="C658" s="1">
        <f>IF(B658="", "", "other")</f>
        <v>0</v>
      </c>
      <c r="D658" s="1">
        <f>IF(B658="", "", "metagenome")</f>
        <v>0</v>
      </c>
      <c r="E658" s="1">
        <f>IF(B658="", "", "256318")</f>
        <v>0</v>
      </c>
    </row>
    <row r="659" spans="1:5">
      <c r="A659">
        <f>IF(COUNTBLANK(B659:E659)&lt;&gt;COLUMNS(B659:E659),658,"")</f>
        <v>0</v>
      </c>
      <c r="C659" s="1">
        <f>IF(B659="", "", "other")</f>
        <v>0</v>
      </c>
      <c r="D659" s="1">
        <f>IF(B659="", "", "metagenome")</f>
        <v>0</v>
      </c>
      <c r="E659" s="1">
        <f>IF(B659="", "", "256318")</f>
        <v>0</v>
      </c>
    </row>
    <row r="660" spans="1:5">
      <c r="A660">
        <f>IF(COUNTBLANK(B660:E660)&lt;&gt;COLUMNS(B660:E660),659,"")</f>
        <v>0</v>
      </c>
      <c r="C660" s="1">
        <f>IF(B660="", "", "other")</f>
        <v>0</v>
      </c>
      <c r="D660" s="1">
        <f>IF(B660="", "", "metagenome")</f>
        <v>0</v>
      </c>
      <c r="E660" s="1">
        <f>IF(B660="", "", "256318")</f>
        <v>0</v>
      </c>
    </row>
    <row r="661" spans="1:5">
      <c r="A661">
        <f>IF(COUNTBLANK(B661:E661)&lt;&gt;COLUMNS(B661:E661),660,"")</f>
        <v>0</v>
      </c>
      <c r="C661" s="1">
        <f>IF(B661="", "", "other")</f>
        <v>0</v>
      </c>
      <c r="D661" s="1">
        <f>IF(B661="", "", "metagenome")</f>
        <v>0</v>
      </c>
      <c r="E661" s="1">
        <f>IF(B661="", "", "256318")</f>
        <v>0</v>
      </c>
    </row>
    <row r="662" spans="1:5">
      <c r="A662">
        <f>IF(COUNTBLANK(B662:E662)&lt;&gt;COLUMNS(B662:E662),661,"")</f>
        <v>0</v>
      </c>
      <c r="C662" s="1">
        <f>IF(B662="", "", "other")</f>
        <v>0</v>
      </c>
      <c r="D662" s="1">
        <f>IF(B662="", "", "metagenome")</f>
        <v>0</v>
      </c>
      <c r="E662" s="1">
        <f>IF(B662="", "", "256318")</f>
        <v>0</v>
      </c>
    </row>
    <row r="663" spans="1:5">
      <c r="A663">
        <f>IF(COUNTBLANK(B663:E663)&lt;&gt;COLUMNS(B663:E663),662,"")</f>
        <v>0</v>
      </c>
      <c r="C663" s="1">
        <f>IF(B663="", "", "other")</f>
        <v>0</v>
      </c>
      <c r="D663" s="1">
        <f>IF(B663="", "", "metagenome")</f>
        <v>0</v>
      </c>
      <c r="E663" s="1">
        <f>IF(B663="", "", "256318")</f>
        <v>0</v>
      </c>
    </row>
    <row r="664" spans="1:5">
      <c r="A664">
        <f>IF(COUNTBLANK(B664:E664)&lt;&gt;COLUMNS(B664:E664),663,"")</f>
        <v>0</v>
      </c>
      <c r="C664" s="1">
        <f>IF(B664="", "", "other")</f>
        <v>0</v>
      </c>
      <c r="D664" s="1">
        <f>IF(B664="", "", "metagenome")</f>
        <v>0</v>
      </c>
      <c r="E664" s="1">
        <f>IF(B664="", "", "256318")</f>
        <v>0</v>
      </c>
    </row>
    <row r="665" spans="1:5">
      <c r="A665">
        <f>IF(COUNTBLANK(B665:E665)&lt;&gt;COLUMNS(B665:E665),664,"")</f>
        <v>0</v>
      </c>
      <c r="C665" s="1">
        <f>IF(B665="", "", "other")</f>
        <v>0</v>
      </c>
      <c r="D665" s="1">
        <f>IF(B665="", "", "metagenome")</f>
        <v>0</v>
      </c>
      <c r="E665" s="1">
        <f>IF(B665="", "", "256318")</f>
        <v>0</v>
      </c>
    </row>
    <row r="666" spans="1:5">
      <c r="A666">
        <f>IF(COUNTBLANK(B666:E666)&lt;&gt;COLUMNS(B666:E666),665,"")</f>
        <v>0</v>
      </c>
      <c r="C666" s="1">
        <f>IF(B666="", "", "other")</f>
        <v>0</v>
      </c>
      <c r="D666" s="1">
        <f>IF(B666="", "", "metagenome")</f>
        <v>0</v>
      </c>
      <c r="E666" s="1">
        <f>IF(B666="", "", "256318")</f>
        <v>0</v>
      </c>
    </row>
    <row r="667" spans="1:5">
      <c r="A667">
        <f>IF(COUNTBLANK(B667:E667)&lt;&gt;COLUMNS(B667:E667),666,"")</f>
        <v>0</v>
      </c>
      <c r="C667" s="1">
        <f>IF(B667="", "", "other")</f>
        <v>0</v>
      </c>
      <c r="D667" s="1">
        <f>IF(B667="", "", "metagenome")</f>
        <v>0</v>
      </c>
      <c r="E667" s="1">
        <f>IF(B667="", "", "256318")</f>
        <v>0</v>
      </c>
    </row>
    <row r="668" spans="1:5">
      <c r="A668">
        <f>IF(COUNTBLANK(B668:E668)&lt;&gt;COLUMNS(B668:E668),667,"")</f>
        <v>0</v>
      </c>
      <c r="C668" s="1">
        <f>IF(B668="", "", "other")</f>
        <v>0</v>
      </c>
      <c r="D668" s="1">
        <f>IF(B668="", "", "metagenome")</f>
        <v>0</v>
      </c>
      <c r="E668" s="1">
        <f>IF(B668="", "", "256318")</f>
        <v>0</v>
      </c>
    </row>
    <row r="669" spans="1:5">
      <c r="A669">
        <f>IF(COUNTBLANK(B669:E669)&lt;&gt;COLUMNS(B669:E669),668,"")</f>
        <v>0</v>
      </c>
      <c r="C669" s="1">
        <f>IF(B669="", "", "other")</f>
        <v>0</v>
      </c>
      <c r="D669" s="1">
        <f>IF(B669="", "", "metagenome")</f>
        <v>0</v>
      </c>
      <c r="E669" s="1">
        <f>IF(B669="", "", "256318")</f>
        <v>0</v>
      </c>
    </row>
    <row r="670" spans="1:5">
      <c r="A670">
        <f>IF(COUNTBLANK(B670:E670)&lt;&gt;COLUMNS(B670:E670),669,"")</f>
        <v>0</v>
      </c>
      <c r="C670" s="1">
        <f>IF(B670="", "", "other")</f>
        <v>0</v>
      </c>
      <c r="D670" s="1">
        <f>IF(B670="", "", "metagenome")</f>
        <v>0</v>
      </c>
      <c r="E670" s="1">
        <f>IF(B670="", "", "256318")</f>
        <v>0</v>
      </c>
    </row>
    <row r="671" spans="1:5">
      <c r="A671">
        <f>IF(COUNTBLANK(B671:E671)&lt;&gt;COLUMNS(B671:E671),670,"")</f>
        <v>0</v>
      </c>
      <c r="C671" s="1">
        <f>IF(B671="", "", "other")</f>
        <v>0</v>
      </c>
      <c r="D671" s="1">
        <f>IF(B671="", "", "metagenome")</f>
        <v>0</v>
      </c>
      <c r="E671" s="1">
        <f>IF(B671="", "", "256318")</f>
        <v>0</v>
      </c>
    </row>
    <row r="672" spans="1:5">
      <c r="A672">
        <f>IF(COUNTBLANK(B672:E672)&lt;&gt;COLUMNS(B672:E672),671,"")</f>
        <v>0</v>
      </c>
      <c r="C672" s="1">
        <f>IF(B672="", "", "other")</f>
        <v>0</v>
      </c>
      <c r="D672" s="1">
        <f>IF(B672="", "", "metagenome")</f>
        <v>0</v>
      </c>
      <c r="E672" s="1">
        <f>IF(B672="", "", "256318")</f>
        <v>0</v>
      </c>
    </row>
    <row r="673" spans="1:5">
      <c r="A673">
        <f>IF(COUNTBLANK(B673:E673)&lt;&gt;COLUMNS(B673:E673),672,"")</f>
        <v>0</v>
      </c>
      <c r="C673" s="1">
        <f>IF(B673="", "", "other")</f>
        <v>0</v>
      </c>
      <c r="D673" s="1">
        <f>IF(B673="", "", "metagenome")</f>
        <v>0</v>
      </c>
      <c r="E673" s="1">
        <f>IF(B673="", "", "256318")</f>
        <v>0</v>
      </c>
    </row>
    <row r="674" spans="1:5">
      <c r="A674">
        <f>IF(COUNTBLANK(B674:E674)&lt;&gt;COLUMNS(B674:E674),673,"")</f>
        <v>0</v>
      </c>
      <c r="C674" s="1">
        <f>IF(B674="", "", "other")</f>
        <v>0</v>
      </c>
      <c r="D674" s="1">
        <f>IF(B674="", "", "metagenome")</f>
        <v>0</v>
      </c>
      <c r="E674" s="1">
        <f>IF(B674="", "", "256318")</f>
        <v>0</v>
      </c>
    </row>
    <row r="675" spans="1:5">
      <c r="A675">
        <f>IF(COUNTBLANK(B675:E675)&lt;&gt;COLUMNS(B675:E675),674,"")</f>
        <v>0</v>
      </c>
      <c r="C675" s="1">
        <f>IF(B675="", "", "other")</f>
        <v>0</v>
      </c>
      <c r="D675" s="1">
        <f>IF(B675="", "", "metagenome")</f>
        <v>0</v>
      </c>
      <c r="E675" s="1">
        <f>IF(B675="", "", "256318")</f>
        <v>0</v>
      </c>
    </row>
    <row r="676" spans="1:5">
      <c r="A676">
        <f>IF(COUNTBLANK(B676:E676)&lt;&gt;COLUMNS(B676:E676),675,"")</f>
        <v>0</v>
      </c>
      <c r="C676" s="1">
        <f>IF(B676="", "", "other")</f>
        <v>0</v>
      </c>
      <c r="D676" s="1">
        <f>IF(B676="", "", "metagenome")</f>
        <v>0</v>
      </c>
      <c r="E676" s="1">
        <f>IF(B676="", "", "256318")</f>
        <v>0</v>
      </c>
    </row>
    <row r="677" spans="1:5">
      <c r="A677">
        <f>IF(COUNTBLANK(B677:E677)&lt;&gt;COLUMNS(B677:E677),676,"")</f>
        <v>0</v>
      </c>
      <c r="C677" s="1">
        <f>IF(B677="", "", "other")</f>
        <v>0</v>
      </c>
      <c r="D677" s="1">
        <f>IF(B677="", "", "metagenome")</f>
        <v>0</v>
      </c>
      <c r="E677" s="1">
        <f>IF(B677="", "", "256318")</f>
        <v>0</v>
      </c>
    </row>
    <row r="678" spans="1:5">
      <c r="A678">
        <f>IF(COUNTBLANK(B678:E678)&lt;&gt;COLUMNS(B678:E678),677,"")</f>
        <v>0</v>
      </c>
      <c r="C678" s="1">
        <f>IF(B678="", "", "other")</f>
        <v>0</v>
      </c>
      <c r="D678" s="1">
        <f>IF(B678="", "", "metagenome")</f>
        <v>0</v>
      </c>
      <c r="E678" s="1">
        <f>IF(B678="", "", "256318")</f>
        <v>0</v>
      </c>
    </row>
    <row r="679" spans="1:5">
      <c r="A679">
        <f>IF(COUNTBLANK(B679:E679)&lt;&gt;COLUMNS(B679:E679),678,"")</f>
        <v>0</v>
      </c>
      <c r="C679" s="1">
        <f>IF(B679="", "", "other")</f>
        <v>0</v>
      </c>
      <c r="D679" s="1">
        <f>IF(B679="", "", "metagenome")</f>
        <v>0</v>
      </c>
      <c r="E679" s="1">
        <f>IF(B679="", "", "256318")</f>
        <v>0</v>
      </c>
    </row>
    <row r="680" spans="1:5">
      <c r="A680">
        <f>IF(COUNTBLANK(B680:E680)&lt;&gt;COLUMNS(B680:E680),679,"")</f>
        <v>0</v>
      </c>
      <c r="C680" s="1">
        <f>IF(B680="", "", "other")</f>
        <v>0</v>
      </c>
      <c r="D680" s="1">
        <f>IF(B680="", "", "metagenome")</f>
        <v>0</v>
      </c>
      <c r="E680" s="1">
        <f>IF(B680="", "", "256318")</f>
        <v>0</v>
      </c>
    </row>
    <row r="681" spans="1:5">
      <c r="A681">
        <f>IF(COUNTBLANK(B681:E681)&lt;&gt;COLUMNS(B681:E681),680,"")</f>
        <v>0</v>
      </c>
      <c r="C681" s="1">
        <f>IF(B681="", "", "other")</f>
        <v>0</v>
      </c>
      <c r="D681" s="1">
        <f>IF(B681="", "", "metagenome")</f>
        <v>0</v>
      </c>
      <c r="E681" s="1">
        <f>IF(B681="", "", "256318")</f>
        <v>0</v>
      </c>
    </row>
    <row r="682" spans="1:5">
      <c r="A682">
        <f>IF(COUNTBLANK(B682:E682)&lt;&gt;COLUMNS(B682:E682),681,"")</f>
        <v>0</v>
      </c>
      <c r="C682" s="1">
        <f>IF(B682="", "", "other")</f>
        <v>0</v>
      </c>
      <c r="D682" s="1">
        <f>IF(B682="", "", "metagenome")</f>
        <v>0</v>
      </c>
      <c r="E682" s="1">
        <f>IF(B682="", "", "256318")</f>
        <v>0</v>
      </c>
    </row>
    <row r="683" spans="1:5">
      <c r="A683">
        <f>IF(COUNTBLANK(B683:E683)&lt;&gt;COLUMNS(B683:E683),682,"")</f>
        <v>0</v>
      </c>
      <c r="C683" s="1">
        <f>IF(B683="", "", "other")</f>
        <v>0</v>
      </c>
      <c r="D683" s="1">
        <f>IF(B683="", "", "metagenome")</f>
        <v>0</v>
      </c>
      <c r="E683" s="1">
        <f>IF(B683="", "", "256318")</f>
        <v>0</v>
      </c>
    </row>
    <row r="684" spans="1:5">
      <c r="A684">
        <f>IF(COUNTBLANK(B684:E684)&lt;&gt;COLUMNS(B684:E684),683,"")</f>
        <v>0</v>
      </c>
      <c r="C684" s="1">
        <f>IF(B684="", "", "other")</f>
        <v>0</v>
      </c>
      <c r="D684" s="1">
        <f>IF(B684="", "", "metagenome")</f>
        <v>0</v>
      </c>
      <c r="E684" s="1">
        <f>IF(B684="", "", "256318")</f>
        <v>0</v>
      </c>
    </row>
    <row r="685" spans="1:5">
      <c r="A685">
        <f>IF(COUNTBLANK(B685:E685)&lt;&gt;COLUMNS(B685:E685),684,"")</f>
        <v>0</v>
      </c>
      <c r="C685" s="1">
        <f>IF(B685="", "", "other")</f>
        <v>0</v>
      </c>
      <c r="D685" s="1">
        <f>IF(B685="", "", "metagenome")</f>
        <v>0</v>
      </c>
      <c r="E685" s="1">
        <f>IF(B685="", "", "256318")</f>
        <v>0</v>
      </c>
    </row>
    <row r="686" spans="1:5">
      <c r="A686">
        <f>IF(COUNTBLANK(B686:E686)&lt;&gt;COLUMNS(B686:E686),685,"")</f>
        <v>0</v>
      </c>
      <c r="C686" s="1">
        <f>IF(B686="", "", "other")</f>
        <v>0</v>
      </c>
      <c r="D686" s="1">
        <f>IF(B686="", "", "metagenome")</f>
        <v>0</v>
      </c>
      <c r="E686" s="1">
        <f>IF(B686="", "", "256318")</f>
        <v>0</v>
      </c>
    </row>
    <row r="687" spans="1:5">
      <c r="A687">
        <f>IF(COUNTBLANK(B687:E687)&lt;&gt;COLUMNS(B687:E687),686,"")</f>
        <v>0</v>
      </c>
      <c r="C687" s="1">
        <f>IF(B687="", "", "other")</f>
        <v>0</v>
      </c>
      <c r="D687" s="1">
        <f>IF(B687="", "", "metagenome")</f>
        <v>0</v>
      </c>
      <c r="E687" s="1">
        <f>IF(B687="", "", "256318")</f>
        <v>0</v>
      </c>
    </row>
    <row r="688" spans="1:5">
      <c r="A688">
        <f>IF(COUNTBLANK(B688:E688)&lt;&gt;COLUMNS(B688:E688),687,"")</f>
        <v>0</v>
      </c>
      <c r="C688" s="1">
        <f>IF(B688="", "", "other")</f>
        <v>0</v>
      </c>
      <c r="D688" s="1">
        <f>IF(B688="", "", "metagenome")</f>
        <v>0</v>
      </c>
      <c r="E688" s="1">
        <f>IF(B688="", "", "256318")</f>
        <v>0</v>
      </c>
    </row>
    <row r="689" spans="1:5">
      <c r="A689">
        <f>IF(COUNTBLANK(B689:E689)&lt;&gt;COLUMNS(B689:E689),688,"")</f>
        <v>0</v>
      </c>
      <c r="C689" s="1">
        <f>IF(B689="", "", "other")</f>
        <v>0</v>
      </c>
      <c r="D689" s="1">
        <f>IF(B689="", "", "metagenome")</f>
        <v>0</v>
      </c>
      <c r="E689" s="1">
        <f>IF(B689="", "", "256318")</f>
        <v>0</v>
      </c>
    </row>
    <row r="690" spans="1:5">
      <c r="A690">
        <f>IF(COUNTBLANK(B690:E690)&lt;&gt;COLUMNS(B690:E690),689,"")</f>
        <v>0</v>
      </c>
      <c r="C690" s="1">
        <f>IF(B690="", "", "other")</f>
        <v>0</v>
      </c>
      <c r="D690" s="1">
        <f>IF(B690="", "", "metagenome")</f>
        <v>0</v>
      </c>
      <c r="E690" s="1">
        <f>IF(B690="", "", "256318")</f>
        <v>0</v>
      </c>
    </row>
    <row r="691" spans="1:5">
      <c r="A691">
        <f>IF(COUNTBLANK(B691:E691)&lt;&gt;COLUMNS(B691:E691),690,"")</f>
        <v>0</v>
      </c>
      <c r="C691" s="1">
        <f>IF(B691="", "", "other")</f>
        <v>0</v>
      </c>
      <c r="D691" s="1">
        <f>IF(B691="", "", "metagenome")</f>
        <v>0</v>
      </c>
      <c r="E691" s="1">
        <f>IF(B691="", "", "256318")</f>
        <v>0</v>
      </c>
    </row>
    <row r="692" spans="1:5">
      <c r="A692">
        <f>IF(COUNTBLANK(B692:E692)&lt;&gt;COLUMNS(B692:E692),691,"")</f>
        <v>0</v>
      </c>
      <c r="C692" s="1">
        <f>IF(B692="", "", "other")</f>
        <v>0</v>
      </c>
      <c r="D692" s="1">
        <f>IF(B692="", "", "metagenome")</f>
        <v>0</v>
      </c>
      <c r="E692" s="1">
        <f>IF(B692="", "", "256318")</f>
        <v>0</v>
      </c>
    </row>
    <row r="693" spans="1:5">
      <c r="A693">
        <f>IF(COUNTBLANK(B693:E693)&lt;&gt;COLUMNS(B693:E693),692,"")</f>
        <v>0</v>
      </c>
      <c r="C693" s="1">
        <f>IF(B693="", "", "other")</f>
        <v>0</v>
      </c>
      <c r="D693" s="1">
        <f>IF(B693="", "", "metagenome")</f>
        <v>0</v>
      </c>
      <c r="E693" s="1">
        <f>IF(B693="", "", "256318")</f>
        <v>0</v>
      </c>
    </row>
    <row r="694" spans="1:5">
      <c r="A694">
        <f>IF(COUNTBLANK(B694:E694)&lt;&gt;COLUMNS(B694:E694),693,"")</f>
        <v>0</v>
      </c>
      <c r="C694" s="1">
        <f>IF(B694="", "", "other")</f>
        <v>0</v>
      </c>
      <c r="D694" s="1">
        <f>IF(B694="", "", "metagenome")</f>
        <v>0</v>
      </c>
      <c r="E694" s="1">
        <f>IF(B694="", "", "256318")</f>
        <v>0</v>
      </c>
    </row>
    <row r="695" spans="1:5">
      <c r="A695">
        <f>IF(COUNTBLANK(B695:E695)&lt;&gt;COLUMNS(B695:E695),694,"")</f>
        <v>0</v>
      </c>
      <c r="C695" s="1">
        <f>IF(B695="", "", "other")</f>
        <v>0</v>
      </c>
      <c r="D695" s="1">
        <f>IF(B695="", "", "metagenome")</f>
        <v>0</v>
      </c>
      <c r="E695" s="1">
        <f>IF(B695="", "", "256318")</f>
        <v>0</v>
      </c>
    </row>
    <row r="696" spans="1:5">
      <c r="A696">
        <f>IF(COUNTBLANK(B696:E696)&lt;&gt;COLUMNS(B696:E696),695,"")</f>
        <v>0</v>
      </c>
      <c r="C696" s="1">
        <f>IF(B696="", "", "other")</f>
        <v>0</v>
      </c>
      <c r="D696" s="1">
        <f>IF(B696="", "", "metagenome")</f>
        <v>0</v>
      </c>
      <c r="E696" s="1">
        <f>IF(B696="", "", "256318")</f>
        <v>0</v>
      </c>
    </row>
    <row r="697" spans="1:5">
      <c r="A697">
        <f>IF(COUNTBLANK(B697:E697)&lt;&gt;COLUMNS(B697:E697),696,"")</f>
        <v>0</v>
      </c>
      <c r="C697" s="1">
        <f>IF(B697="", "", "other")</f>
        <v>0</v>
      </c>
      <c r="D697" s="1">
        <f>IF(B697="", "", "metagenome")</f>
        <v>0</v>
      </c>
      <c r="E697" s="1">
        <f>IF(B697="", "", "256318")</f>
        <v>0</v>
      </c>
    </row>
    <row r="698" spans="1:5">
      <c r="A698">
        <f>IF(COUNTBLANK(B698:E698)&lt;&gt;COLUMNS(B698:E698),697,"")</f>
        <v>0</v>
      </c>
      <c r="C698" s="1">
        <f>IF(B698="", "", "other")</f>
        <v>0</v>
      </c>
      <c r="D698" s="1">
        <f>IF(B698="", "", "metagenome")</f>
        <v>0</v>
      </c>
      <c r="E698" s="1">
        <f>IF(B698="", "", "256318")</f>
        <v>0</v>
      </c>
    </row>
    <row r="699" spans="1:5">
      <c r="A699">
        <f>IF(COUNTBLANK(B699:E699)&lt;&gt;COLUMNS(B699:E699),698,"")</f>
        <v>0</v>
      </c>
      <c r="C699" s="1">
        <f>IF(B699="", "", "other")</f>
        <v>0</v>
      </c>
      <c r="D699" s="1">
        <f>IF(B699="", "", "metagenome")</f>
        <v>0</v>
      </c>
      <c r="E699" s="1">
        <f>IF(B699="", "", "256318")</f>
        <v>0</v>
      </c>
    </row>
    <row r="700" spans="1:5">
      <c r="A700">
        <f>IF(COUNTBLANK(B700:E700)&lt;&gt;COLUMNS(B700:E700),699,"")</f>
        <v>0</v>
      </c>
      <c r="C700" s="1">
        <f>IF(B700="", "", "other")</f>
        <v>0</v>
      </c>
      <c r="D700" s="1">
        <f>IF(B700="", "", "metagenome")</f>
        <v>0</v>
      </c>
      <c r="E700" s="1">
        <f>IF(B700="", "", "256318")</f>
        <v>0</v>
      </c>
    </row>
    <row r="701" spans="1:5">
      <c r="A701">
        <f>IF(COUNTBLANK(B701:E701)&lt;&gt;COLUMNS(B701:E701),700,"")</f>
        <v>0</v>
      </c>
      <c r="C701" s="1">
        <f>IF(B701="", "", "other")</f>
        <v>0</v>
      </c>
      <c r="D701" s="1">
        <f>IF(B701="", "", "metagenome")</f>
        <v>0</v>
      </c>
      <c r="E701" s="1">
        <f>IF(B701="", "", "256318")</f>
        <v>0</v>
      </c>
    </row>
    <row r="702" spans="1:5">
      <c r="A702">
        <f>IF(COUNTBLANK(B702:E702)&lt;&gt;COLUMNS(B702:E702),701,"")</f>
        <v>0</v>
      </c>
      <c r="C702" s="1">
        <f>IF(B702="", "", "other")</f>
        <v>0</v>
      </c>
      <c r="D702" s="1">
        <f>IF(B702="", "", "metagenome")</f>
        <v>0</v>
      </c>
      <c r="E702" s="1">
        <f>IF(B702="", "", "256318")</f>
        <v>0</v>
      </c>
    </row>
    <row r="703" spans="1:5">
      <c r="A703">
        <f>IF(COUNTBLANK(B703:E703)&lt;&gt;COLUMNS(B703:E703),702,"")</f>
        <v>0</v>
      </c>
      <c r="C703" s="1">
        <f>IF(B703="", "", "other")</f>
        <v>0</v>
      </c>
      <c r="D703" s="1">
        <f>IF(B703="", "", "metagenome")</f>
        <v>0</v>
      </c>
      <c r="E703" s="1">
        <f>IF(B703="", "", "256318")</f>
        <v>0</v>
      </c>
    </row>
    <row r="704" spans="1:5">
      <c r="A704">
        <f>IF(COUNTBLANK(B704:E704)&lt;&gt;COLUMNS(B704:E704),703,"")</f>
        <v>0</v>
      </c>
      <c r="C704" s="1">
        <f>IF(B704="", "", "other")</f>
        <v>0</v>
      </c>
      <c r="D704" s="1">
        <f>IF(B704="", "", "metagenome")</f>
        <v>0</v>
      </c>
      <c r="E704" s="1">
        <f>IF(B704="", "", "256318")</f>
        <v>0</v>
      </c>
    </row>
    <row r="705" spans="1:5">
      <c r="A705">
        <f>IF(COUNTBLANK(B705:E705)&lt;&gt;COLUMNS(B705:E705),704,"")</f>
        <v>0</v>
      </c>
      <c r="C705" s="1">
        <f>IF(B705="", "", "other")</f>
        <v>0</v>
      </c>
      <c r="D705" s="1">
        <f>IF(B705="", "", "metagenome")</f>
        <v>0</v>
      </c>
      <c r="E705" s="1">
        <f>IF(B705="", "", "256318")</f>
        <v>0</v>
      </c>
    </row>
    <row r="706" spans="1:5">
      <c r="A706">
        <f>IF(COUNTBLANK(B706:E706)&lt;&gt;COLUMNS(B706:E706),705,"")</f>
        <v>0</v>
      </c>
      <c r="C706" s="1">
        <f>IF(B706="", "", "other")</f>
        <v>0</v>
      </c>
      <c r="D706" s="1">
        <f>IF(B706="", "", "metagenome")</f>
        <v>0</v>
      </c>
      <c r="E706" s="1">
        <f>IF(B706="", "", "256318")</f>
        <v>0</v>
      </c>
    </row>
    <row r="707" spans="1:5">
      <c r="A707">
        <f>IF(COUNTBLANK(B707:E707)&lt;&gt;COLUMNS(B707:E707),706,"")</f>
        <v>0</v>
      </c>
      <c r="C707" s="1">
        <f>IF(B707="", "", "other")</f>
        <v>0</v>
      </c>
      <c r="D707" s="1">
        <f>IF(B707="", "", "metagenome")</f>
        <v>0</v>
      </c>
      <c r="E707" s="1">
        <f>IF(B707="", "", "256318")</f>
        <v>0</v>
      </c>
    </row>
    <row r="708" spans="1:5">
      <c r="A708">
        <f>IF(COUNTBLANK(B708:E708)&lt;&gt;COLUMNS(B708:E708),707,"")</f>
        <v>0</v>
      </c>
      <c r="C708" s="1">
        <f>IF(B708="", "", "other")</f>
        <v>0</v>
      </c>
      <c r="D708" s="1">
        <f>IF(B708="", "", "metagenome")</f>
        <v>0</v>
      </c>
      <c r="E708" s="1">
        <f>IF(B708="", "", "256318")</f>
        <v>0</v>
      </c>
    </row>
    <row r="709" spans="1:5">
      <c r="A709">
        <f>IF(COUNTBLANK(B709:E709)&lt;&gt;COLUMNS(B709:E709),708,"")</f>
        <v>0</v>
      </c>
      <c r="C709" s="1">
        <f>IF(B709="", "", "other")</f>
        <v>0</v>
      </c>
      <c r="D709" s="1">
        <f>IF(B709="", "", "metagenome")</f>
        <v>0</v>
      </c>
      <c r="E709" s="1">
        <f>IF(B709="", "", "256318")</f>
        <v>0</v>
      </c>
    </row>
    <row r="710" spans="1:5">
      <c r="A710">
        <f>IF(COUNTBLANK(B710:E710)&lt;&gt;COLUMNS(B710:E710),709,"")</f>
        <v>0</v>
      </c>
      <c r="C710" s="1">
        <f>IF(B710="", "", "other")</f>
        <v>0</v>
      </c>
      <c r="D710" s="1">
        <f>IF(B710="", "", "metagenome")</f>
        <v>0</v>
      </c>
      <c r="E710" s="1">
        <f>IF(B710="", "", "256318")</f>
        <v>0</v>
      </c>
    </row>
    <row r="711" spans="1:5">
      <c r="A711">
        <f>IF(COUNTBLANK(B711:E711)&lt;&gt;COLUMNS(B711:E711),710,"")</f>
        <v>0</v>
      </c>
      <c r="C711" s="1">
        <f>IF(B711="", "", "other")</f>
        <v>0</v>
      </c>
      <c r="D711" s="1">
        <f>IF(B711="", "", "metagenome")</f>
        <v>0</v>
      </c>
      <c r="E711" s="1">
        <f>IF(B711="", "", "256318")</f>
        <v>0</v>
      </c>
    </row>
    <row r="712" spans="1:5">
      <c r="A712">
        <f>IF(COUNTBLANK(B712:E712)&lt;&gt;COLUMNS(B712:E712),711,"")</f>
        <v>0</v>
      </c>
      <c r="C712" s="1">
        <f>IF(B712="", "", "other")</f>
        <v>0</v>
      </c>
      <c r="D712" s="1">
        <f>IF(B712="", "", "metagenome")</f>
        <v>0</v>
      </c>
      <c r="E712" s="1">
        <f>IF(B712="", "", "256318")</f>
        <v>0</v>
      </c>
    </row>
    <row r="713" spans="1:5">
      <c r="A713">
        <f>IF(COUNTBLANK(B713:E713)&lt;&gt;COLUMNS(B713:E713),712,"")</f>
        <v>0</v>
      </c>
      <c r="C713" s="1">
        <f>IF(B713="", "", "other")</f>
        <v>0</v>
      </c>
      <c r="D713" s="1">
        <f>IF(B713="", "", "metagenome")</f>
        <v>0</v>
      </c>
      <c r="E713" s="1">
        <f>IF(B713="", "", "256318")</f>
        <v>0</v>
      </c>
    </row>
    <row r="714" spans="1:5">
      <c r="A714">
        <f>IF(COUNTBLANK(B714:E714)&lt;&gt;COLUMNS(B714:E714),713,"")</f>
        <v>0</v>
      </c>
      <c r="C714" s="1">
        <f>IF(B714="", "", "other")</f>
        <v>0</v>
      </c>
      <c r="D714" s="1">
        <f>IF(B714="", "", "metagenome")</f>
        <v>0</v>
      </c>
      <c r="E714" s="1">
        <f>IF(B714="", "", "256318")</f>
        <v>0</v>
      </c>
    </row>
    <row r="715" spans="1:5">
      <c r="A715">
        <f>IF(COUNTBLANK(B715:E715)&lt;&gt;COLUMNS(B715:E715),714,"")</f>
        <v>0</v>
      </c>
      <c r="C715" s="1">
        <f>IF(B715="", "", "other")</f>
        <v>0</v>
      </c>
      <c r="D715" s="1">
        <f>IF(B715="", "", "metagenome")</f>
        <v>0</v>
      </c>
      <c r="E715" s="1">
        <f>IF(B715="", "", "256318")</f>
        <v>0</v>
      </c>
    </row>
    <row r="716" spans="1:5">
      <c r="A716">
        <f>IF(COUNTBLANK(B716:E716)&lt;&gt;COLUMNS(B716:E716),715,"")</f>
        <v>0</v>
      </c>
      <c r="C716" s="1">
        <f>IF(B716="", "", "other")</f>
        <v>0</v>
      </c>
      <c r="D716" s="1">
        <f>IF(B716="", "", "metagenome")</f>
        <v>0</v>
      </c>
      <c r="E716" s="1">
        <f>IF(B716="", "", "256318")</f>
        <v>0</v>
      </c>
    </row>
    <row r="717" spans="1:5">
      <c r="A717">
        <f>IF(COUNTBLANK(B717:E717)&lt;&gt;COLUMNS(B717:E717),716,"")</f>
        <v>0</v>
      </c>
      <c r="C717" s="1">
        <f>IF(B717="", "", "other")</f>
        <v>0</v>
      </c>
      <c r="D717" s="1">
        <f>IF(B717="", "", "metagenome")</f>
        <v>0</v>
      </c>
      <c r="E717" s="1">
        <f>IF(B717="", "", "256318")</f>
        <v>0</v>
      </c>
    </row>
    <row r="718" spans="1:5">
      <c r="A718">
        <f>IF(COUNTBLANK(B718:E718)&lt;&gt;COLUMNS(B718:E718),717,"")</f>
        <v>0</v>
      </c>
      <c r="C718" s="1">
        <f>IF(B718="", "", "other")</f>
        <v>0</v>
      </c>
      <c r="D718" s="1">
        <f>IF(B718="", "", "metagenome")</f>
        <v>0</v>
      </c>
      <c r="E718" s="1">
        <f>IF(B718="", "", "256318")</f>
        <v>0</v>
      </c>
    </row>
    <row r="719" spans="1:5">
      <c r="A719">
        <f>IF(COUNTBLANK(B719:E719)&lt;&gt;COLUMNS(B719:E719),718,"")</f>
        <v>0</v>
      </c>
      <c r="C719" s="1">
        <f>IF(B719="", "", "other")</f>
        <v>0</v>
      </c>
      <c r="D719" s="1">
        <f>IF(B719="", "", "metagenome")</f>
        <v>0</v>
      </c>
      <c r="E719" s="1">
        <f>IF(B719="", "", "256318")</f>
        <v>0</v>
      </c>
    </row>
    <row r="720" spans="1:5">
      <c r="A720">
        <f>IF(COUNTBLANK(B720:E720)&lt;&gt;COLUMNS(B720:E720),719,"")</f>
        <v>0</v>
      </c>
      <c r="C720" s="1">
        <f>IF(B720="", "", "other")</f>
        <v>0</v>
      </c>
      <c r="D720" s="1">
        <f>IF(B720="", "", "metagenome")</f>
        <v>0</v>
      </c>
      <c r="E720" s="1">
        <f>IF(B720="", "", "256318")</f>
        <v>0</v>
      </c>
    </row>
    <row r="721" spans="1:5">
      <c r="A721">
        <f>IF(COUNTBLANK(B721:E721)&lt;&gt;COLUMNS(B721:E721),720,"")</f>
        <v>0</v>
      </c>
      <c r="C721" s="1">
        <f>IF(B721="", "", "other")</f>
        <v>0</v>
      </c>
      <c r="D721" s="1">
        <f>IF(B721="", "", "metagenome")</f>
        <v>0</v>
      </c>
      <c r="E721" s="1">
        <f>IF(B721="", "", "256318")</f>
        <v>0</v>
      </c>
    </row>
    <row r="722" spans="1:5">
      <c r="A722">
        <f>IF(COUNTBLANK(B722:E722)&lt;&gt;COLUMNS(B722:E722),721,"")</f>
        <v>0</v>
      </c>
      <c r="C722" s="1">
        <f>IF(B722="", "", "other")</f>
        <v>0</v>
      </c>
      <c r="D722" s="1">
        <f>IF(B722="", "", "metagenome")</f>
        <v>0</v>
      </c>
      <c r="E722" s="1">
        <f>IF(B722="", "", "256318")</f>
        <v>0</v>
      </c>
    </row>
    <row r="723" spans="1:5">
      <c r="A723">
        <f>IF(COUNTBLANK(B723:E723)&lt;&gt;COLUMNS(B723:E723),722,"")</f>
        <v>0</v>
      </c>
      <c r="C723" s="1">
        <f>IF(B723="", "", "other")</f>
        <v>0</v>
      </c>
      <c r="D723" s="1">
        <f>IF(B723="", "", "metagenome")</f>
        <v>0</v>
      </c>
      <c r="E723" s="1">
        <f>IF(B723="", "", "256318")</f>
        <v>0</v>
      </c>
    </row>
    <row r="724" spans="1:5">
      <c r="A724">
        <f>IF(COUNTBLANK(B724:E724)&lt;&gt;COLUMNS(B724:E724),723,"")</f>
        <v>0</v>
      </c>
      <c r="C724" s="1">
        <f>IF(B724="", "", "other")</f>
        <v>0</v>
      </c>
      <c r="D724" s="1">
        <f>IF(B724="", "", "metagenome")</f>
        <v>0</v>
      </c>
      <c r="E724" s="1">
        <f>IF(B724="", "", "256318")</f>
        <v>0</v>
      </c>
    </row>
    <row r="725" spans="1:5">
      <c r="A725">
        <f>IF(COUNTBLANK(B725:E725)&lt;&gt;COLUMNS(B725:E725),724,"")</f>
        <v>0</v>
      </c>
      <c r="C725" s="1">
        <f>IF(B725="", "", "other")</f>
        <v>0</v>
      </c>
      <c r="D725" s="1">
        <f>IF(B725="", "", "metagenome")</f>
        <v>0</v>
      </c>
      <c r="E725" s="1">
        <f>IF(B725="", "", "256318")</f>
        <v>0</v>
      </c>
    </row>
    <row r="726" spans="1:5">
      <c r="A726">
        <f>IF(COUNTBLANK(B726:E726)&lt;&gt;COLUMNS(B726:E726),725,"")</f>
        <v>0</v>
      </c>
      <c r="C726" s="1">
        <f>IF(B726="", "", "other")</f>
        <v>0</v>
      </c>
      <c r="D726" s="1">
        <f>IF(B726="", "", "metagenome")</f>
        <v>0</v>
      </c>
      <c r="E726" s="1">
        <f>IF(B726="", "", "256318")</f>
        <v>0</v>
      </c>
    </row>
    <row r="727" spans="1:5">
      <c r="A727">
        <f>IF(COUNTBLANK(B727:E727)&lt;&gt;COLUMNS(B727:E727),726,"")</f>
        <v>0</v>
      </c>
      <c r="C727" s="1">
        <f>IF(B727="", "", "other")</f>
        <v>0</v>
      </c>
      <c r="D727" s="1">
        <f>IF(B727="", "", "metagenome")</f>
        <v>0</v>
      </c>
      <c r="E727" s="1">
        <f>IF(B727="", "", "256318")</f>
        <v>0</v>
      </c>
    </row>
    <row r="728" spans="1:5">
      <c r="A728">
        <f>IF(COUNTBLANK(B728:E728)&lt;&gt;COLUMNS(B728:E728),727,"")</f>
        <v>0</v>
      </c>
      <c r="C728" s="1">
        <f>IF(B728="", "", "other")</f>
        <v>0</v>
      </c>
      <c r="D728" s="1">
        <f>IF(B728="", "", "metagenome")</f>
        <v>0</v>
      </c>
      <c r="E728" s="1">
        <f>IF(B728="", "", "256318")</f>
        <v>0</v>
      </c>
    </row>
    <row r="729" spans="1:5">
      <c r="A729">
        <f>IF(COUNTBLANK(B729:E729)&lt;&gt;COLUMNS(B729:E729),728,"")</f>
        <v>0</v>
      </c>
      <c r="C729" s="1">
        <f>IF(B729="", "", "other")</f>
        <v>0</v>
      </c>
      <c r="D729" s="1">
        <f>IF(B729="", "", "metagenome")</f>
        <v>0</v>
      </c>
      <c r="E729" s="1">
        <f>IF(B729="", "", "256318")</f>
        <v>0</v>
      </c>
    </row>
    <row r="730" spans="1:5">
      <c r="A730">
        <f>IF(COUNTBLANK(B730:E730)&lt;&gt;COLUMNS(B730:E730),729,"")</f>
        <v>0</v>
      </c>
      <c r="C730" s="1">
        <f>IF(B730="", "", "other")</f>
        <v>0</v>
      </c>
      <c r="D730" s="1">
        <f>IF(B730="", "", "metagenome")</f>
        <v>0</v>
      </c>
      <c r="E730" s="1">
        <f>IF(B730="", "", "256318")</f>
        <v>0</v>
      </c>
    </row>
    <row r="731" spans="1:5">
      <c r="A731">
        <f>IF(COUNTBLANK(B731:E731)&lt;&gt;COLUMNS(B731:E731),730,"")</f>
        <v>0</v>
      </c>
      <c r="C731" s="1">
        <f>IF(B731="", "", "other")</f>
        <v>0</v>
      </c>
      <c r="D731" s="1">
        <f>IF(B731="", "", "metagenome")</f>
        <v>0</v>
      </c>
      <c r="E731" s="1">
        <f>IF(B731="", "", "256318")</f>
        <v>0</v>
      </c>
    </row>
    <row r="732" spans="1:5">
      <c r="A732">
        <f>IF(COUNTBLANK(B732:E732)&lt;&gt;COLUMNS(B732:E732),731,"")</f>
        <v>0</v>
      </c>
      <c r="C732" s="1">
        <f>IF(B732="", "", "other")</f>
        <v>0</v>
      </c>
      <c r="D732" s="1">
        <f>IF(B732="", "", "metagenome")</f>
        <v>0</v>
      </c>
      <c r="E732" s="1">
        <f>IF(B732="", "", "256318")</f>
        <v>0</v>
      </c>
    </row>
    <row r="733" spans="1:5">
      <c r="A733">
        <f>IF(COUNTBLANK(B733:E733)&lt;&gt;COLUMNS(B733:E733),732,"")</f>
        <v>0</v>
      </c>
      <c r="C733" s="1">
        <f>IF(B733="", "", "other")</f>
        <v>0</v>
      </c>
      <c r="D733" s="1">
        <f>IF(B733="", "", "metagenome")</f>
        <v>0</v>
      </c>
      <c r="E733" s="1">
        <f>IF(B733="", "", "256318")</f>
        <v>0</v>
      </c>
    </row>
    <row r="734" spans="1:5">
      <c r="A734">
        <f>IF(COUNTBLANK(B734:E734)&lt;&gt;COLUMNS(B734:E734),733,"")</f>
        <v>0</v>
      </c>
      <c r="C734" s="1">
        <f>IF(B734="", "", "other")</f>
        <v>0</v>
      </c>
      <c r="D734" s="1">
        <f>IF(B734="", "", "metagenome")</f>
        <v>0</v>
      </c>
      <c r="E734" s="1">
        <f>IF(B734="", "", "256318")</f>
        <v>0</v>
      </c>
    </row>
    <row r="735" spans="1:5">
      <c r="A735">
        <f>IF(COUNTBLANK(B735:E735)&lt;&gt;COLUMNS(B735:E735),734,"")</f>
        <v>0</v>
      </c>
      <c r="C735" s="1">
        <f>IF(B735="", "", "other")</f>
        <v>0</v>
      </c>
      <c r="D735" s="1">
        <f>IF(B735="", "", "metagenome")</f>
        <v>0</v>
      </c>
      <c r="E735" s="1">
        <f>IF(B735="", "", "256318")</f>
        <v>0</v>
      </c>
    </row>
    <row r="736" spans="1:5">
      <c r="A736">
        <f>IF(COUNTBLANK(B736:E736)&lt;&gt;COLUMNS(B736:E736),735,"")</f>
        <v>0</v>
      </c>
      <c r="C736" s="1">
        <f>IF(B736="", "", "other")</f>
        <v>0</v>
      </c>
      <c r="D736" s="1">
        <f>IF(B736="", "", "metagenome")</f>
        <v>0</v>
      </c>
      <c r="E736" s="1">
        <f>IF(B736="", "", "256318")</f>
        <v>0</v>
      </c>
    </row>
    <row r="737" spans="1:5">
      <c r="A737">
        <f>IF(COUNTBLANK(B737:E737)&lt;&gt;COLUMNS(B737:E737),736,"")</f>
        <v>0</v>
      </c>
      <c r="C737" s="1">
        <f>IF(B737="", "", "other")</f>
        <v>0</v>
      </c>
      <c r="D737" s="1">
        <f>IF(B737="", "", "metagenome")</f>
        <v>0</v>
      </c>
      <c r="E737" s="1">
        <f>IF(B737="", "", "256318")</f>
        <v>0</v>
      </c>
    </row>
    <row r="738" spans="1:5">
      <c r="A738">
        <f>IF(COUNTBLANK(B738:E738)&lt;&gt;COLUMNS(B738:E738),737,"")</f>
        <v>0</v>
      </c>
      <c r="C738" s="1">
        <f>IF(B738="", "", "other")</f>
        <v>0</v>
      </c>
      <c r="D738" s="1">
        <f>IF(B738="", "", "metagenome")</f>
        <v>0</v>
      </c>
      <c r="E738" s="1">
        <f>IF(B738="", "", "256318")</f>
        <v>0</v>
      </c>
    </row>
    <row r="739" spans="1:5">
      <c r="A739">
        <f>IF(COUNTBLANK(B739:E739)&lt;&gt;COLUMNS(B739:E739),738,"")</f>
        <v>0</v>
      </c>
      <c r="C739" s="1">
        <f>IF(B739="", "", "other")</f>
        <v>0</v>
      </c>
      <c r="D739" s="1">
        <f>IF(B739="", "", "metagenome")</f>
        <v>0</v>
      </c>
      <c r="E739" s="1">
        <f>IF(B739="", "", "256318")</f>
        <v>0</v>
      </c>
    </row>
    <row r="740" spans="1:5">
      <c r="A740">
        <f>IF(COUNTBLANK(B740:E740)&lt;&gt;COLUMNS(B740:E740),739,"")</f>
        <v>0</v>
      </c>
      <c r="C740" s="1">
        <f>IF(B740="", "", "other")</f>
        <v>0</v>
      </c>
      <c r="D740" s="1">
        <f>IF(B740="", "", "metagenome")</f>
        <v>0</v>
      </c>
      <c r="E740" s="1">
        <f>IF(B740="", "", "256318")</f>
        <v>0</v>
      </c>
    </row>
    <row r="741" spans="1:5">
      <c r="A741">
        <f>IF(COUNTBLANK(B741:E741)&lt;&gt;COLUMNS(B741:E741),740,"")</f>
        <v>0</v>
      </c>
      <c r="C741" s="1">
        <f>IF(B741="", "", "other")</f>
        <v>0</v>
      </c>
      <c r="D741" s="1">
        <f>IF(B741="", "", "metagenome")</f>
        <v>0</v>
      </c>
      <c r="E741" s="1">
        <f>IF(B741="", "", "256318")</f>
        <v>0</v>
      </c>
    </row>
    <row r="742" spans="1:5">
      <c r="A742">
        <f>IF(COUNTBLANK(B742:E742)&lt;&gt;COLUMNS(B742:E742),741,"")</f>
        <v>0</v>
      </c>
      <c r="C742" s="1">
        <f>IF(B742="", "", "other")</f>
        <v>0</v>
      </c>
      <c r="D742" s="1">
        <f>IF(B742="", "", "metagenome")</f>
        <v>0</v>
      </c>
      <c r="E742" s="1">
        <f>IF(B742="", "", "256318")</f>
        <v>0</v>
      </c>
    </row>
    <row r="743" spans="1:5">
      <c r="A743">
        <f>IF(COUNTBLANK(B743:E743)&lt;&gt;COLUMNS(B743:E743),742,"")</f>
        <v>0</v>
      </c>
      <c r="C743" s="1">
        <f>IF(B743="", "", "other")</f>
        <v>0</v>
      </c>
      <c r="D743" s="1">
        <f>IF(B743="", "", "metagenome")</f>
        <v>0</v>
      </c>
      <c r="E743" s="1">
        <f>IF(B743="", "", "256318")</f>
        <v>0</v>
      </c>
    </row>
    <row r="744" spans="1:5">
      <c r="A744">
        <f>IF(COUNTBLANK(B744:E744)&lt;&gt;COLUMNS(B744:E744),743,"")</f>
        <v>0</v>
      </c>
      <c r="C744" s="1">
        <f>IF(B744="", "", "other")</f>
        <v>0</v>
      </c>
      <c r="D744" s="1">
        <f>IF(B744="", "", "metagenome")</f>
        <v>0</v>
      </c>
      <c r="E744" s="1">
        <f>IF(B744="", "", "256318")</f>
        <v>0</v>
      </c>
    </row>
    <row r="745" spans="1:5">
      <c r="A745">
        <f>IF(COUNTBLANK(B745:E745)&lt;&gt;COLUMNS(B745:E745),744,"")</f>
        <v>0</v>
      </c>
      <c r="C745" s="1">
        <f>IF(B745="", "", "other")</f>
        <v>0</v>
      </c>
      <c r="D745" s="1">
        <f>IF(B745="", "", "metagenome")</f>
        <v>0</v>
      </c>
      <c r="E745" s="1">
        <f>IF(B745="", "", "256318")</f>
        <v>0</v>
      </c>
    </row>
    <row r="746" spans="1:5">
      <c r="A746">
        <f>IF(COUNTBLANK(B746:E746)&lt;&gt;COLUMNS(B746:E746),745,"")</f>
        <v>0</v>
      </c>
      <c r="C746" s="1">
        <f>IF(B746="", "", "other")</f>
        <v>0</v>
      </c>
      <c r="D746" s="1">
        <f>IF(B746="", "", "metagenome")</f>
        <v>0</v>
      </c>
      <c r="E746" s="1">
        <f>IF(B746="", "", "256318")</f>
        <v>0</v>
      </c>
    </row>
    <row r="747" spans="1:5">
      <c r="A747">
        <f>IF(COUNTBLANK(B747:E747)&lt;&gt;COLUMNS(B747:E747),746,"")</f>
        <v>0</v>
      </c>
      <c r="C747" s="1">
        <f>IF(B747="", "", "other")</f>
        <v>0</v>
      </c>
      <c r="D747" s="1">
        <f>IF(B747="", "", "metagenome")</f>
        <v>0</v>
      </c>
      <c r="E747" s="1">
        <f>IF(B747="", "", "256318")</f>
        <v>0</v>
      </c>
    </row>
    <row r="748" spans="1:5">
      <c r="A748">
        <f>IF(COUNTBLANK(B748:E748)&lt;&gt;COLUMNS(B748:E748),747,"")</f>
        <v>0</v>
      </c>
      <c r="C748" s="1">
        <f>IF(B748="", "", "other")</f>
        <v>0</v>
      </c>
      <c r="D748" s="1">
        <f>IF(B748="", "", "metagenome")</f>
        <v>0</v>
      </c>
      <c r="E748" s="1">
        <f>IF(B748="", "", "256318")</f>
        <v>0</v>
      </c>
    </row>
    <row r="749" spans="1:5">
      <c r="A749">
        <f>IF(COUNTBLANK(B749:E749)&lt;&gt;COLUMNS(B749:E749),748,"")</f>
        <v>0</v>
      </c>
      <c r="C749" s="1">
        <f>IF(B749="", "", "other")</f>
        <v>0</v>
      </c>
      <c r="D749" s="1">
        <f>IF(B749="", "", "metagenome")</f>
        <v>0</v>
      </c>
      <c r="E749" s="1">
        <f>IF(B749="", "", "256318")</f>
        <v>0</v>
      </c>
    </row>
    <row r="750" spans="1:5">
      <c r="A750">
        <f>IF(COUNTBLANK(B750:E750)&lt;&gt;COLUMNS(B750:E750),749,"")</f>
        <v>0</v>
      </c>
      <c r="C750" s="1">
        <f>IF(B750="", "", "other")</f>
        <v>0</v>
      </c>
      <c r="D750" s="1">
        <f>IF(B750="", "", "metagenome")</f>
        <v>0</v>
      </c>
      <c r="E750" s="1">
        <f>IF(B750="", "", "256318")</f>
        <v>0</v>
      </c>
    </row>
    <row r="751" spans="1:5">
      <c r="A751">
        <f>IF(COUNTBLANK(B751:E751)&lt;&gt;COLUMNS(B751:E751),750,"")</f>
        <v>0</v>
      </c>
      <c r="C751" s="1">
        <f>IF(B751="", "", "other")</f>
        <v>0</v>
      </c>
      <c r="D751" s="1">
        <f>IF(B751="", "", "metagenome")</f>
        <v>0</v>
      </c>
      <c r="E751" s="1">
        <f>IF(B751="", "", "256318")</f>
        <v>0</v>
      </c>
    </row>
    <row r="752" spans="1:5">
      <c r="A752">
        <f>IF(COUNTBLANK(B752:E752)&lt;&gt;COLUMNS(B752:E752),751,"")</f>
        <v>0</v>
      </c>
      <c r="C752" s="1">
        <f>IF(B752="", "", "other")</f>
        <v>0</v>
      </c>
      <c r="D752" s="1">
        <f>IF(B752="", "", "metagenome")</f>
        <v>0</v>
      </c>
      <c r="E752" s="1">
        <f>IF(B752="", "", "256318")</f>
        <v>0</v>
      </c>
    </row>
    <row r="753" spans="1:5">
      <c r="A753">
        <f>IF(COUNTBLANK(B753:E753)&lt;&gt;COLUMNS(B753:E753),752,"")</f>
        <v>0</v>
      </c>
      <c r="C753" s="1">
        <f>IF(B753="", "", "other")</f>
        <v>0</v>
      </c>
      <c r="D753" s="1">
        <f>IF(B753="", "", "metagenome")</f>
        <v>0</v>
      </c>
      <c r="E753" s="1">
        <f>IF(B753="", "", "256318")</f>
        <v>0</v>
      </c>
    </row>
    <row r="754" spans="1:5">
      <c r="A754">
        <f>IF(COUNTBLANK(B754:E754)&lt;&gt;COLUMNS(B754:E754),753,"")</f>
        <v>0</v>
      </c>
      <c r="C754" s="1">
        <f>IF(B754="", "", "other")</f>
        <v>0</v>
      </c>
      <c r="D754" s="1">
        <f>IF(B754="", "", "metagenome")</f>
        <v>0</v>
      </c>
      <c r="E754" s="1">
        <f>IF(B754="", "", "256318")</f>
        <v>0</v>
      </c>
    </row>
    <row r="755" spans="1:5">
      <c r="A755">
        <f>IF(COUNTBLANK(B755:E755)&lt;&gt;COLUMNS(B755:E755),754,"")</f>
        <v>0</v>
      </c>
      <c r="C755" s="1">
        <f>IF(B755="", "", "other")</f>
        <v>0</v>
      </c>
      <c r="D755" s="1">
        <f>IF(B755="", "", "metagenome")</f>
        <v>0</v>
      </c>
      <c r="E755" s="1">
        <f>IF(B755="", "", "256318")</f>
        <v>0</v>
      </c>
    </row>
    <row r="756" spans="1:5">
      <c r="A756">
        <f>IF(COUNTBLANK(B756:E756)&lt;&gt;COLUMNS(B756:E756),755,"")</f>
        <v>0</v>
      </c>
      <c r="C756" s="1">
        <f>IF(B756="", "", "other")</f>
        <v>0</v>
      </c>
      <c r="D756" s="1">
        <f>IF(B756="", "", "metagenome")</f>
        <v>0</v>
      </c>
      <c r="E756" s="1">
        <f>IF(B756="", "", "256318")</f>
        <v>0</v>
      </c>
    </row>
    <row r="757" spans="1:5">
      <c r="A757">
        <f>IF(COUNTBLANK(B757:E757)&lt;&gt;COLUMNS(B757:E757),756,"")</f>
        <v>0</v>
      </c>
      <c r="C757" s="1">
        <f>IF(B757="", "", "other")</f>
        <v>0</v>
      </c>
      <c r="D757" s="1">
        <f>IF(B757="", "", "metagenome")</f>
        <v>0</v>
      </c>
      <c r="E757" s="1">
        <f>IF(B757="", "", "256318")</f>
        <v>0</v>
      </c>
    </row>
    <row r="758" spans="1:5">
      <c r="A758">
        <f>IF(COUNTBLANK(B758:E758)&lt;&gt;COLUMNS(B758:E758),757,"")</f>
        <v>0</v>
      </c>
      <c r="C758" s="1">
        <f>IF(B758="", "", "other")</f>
        <v>0</v>
      </c>
      <c r="D758" s="1">
        <f>IF(B758="", "", "metagenome")</f>
        <v>0</v>
      </c>
      <c r="E758" s="1">
        <f>IF(B758="", "", "256318")</f>
        <v>0</v>
      </c>
    </row>
    <row r="759" spans="1:5">
      <c r="A759">
        <f>IF(COUNTBLANK(B759:E759)&lt;&gt;COLUMNS(B759:E759),758,"")</f>
        <v>0</v>
      </c>
      <c r="C759" s="1">
        <f>IF(B759="", "", "other")</f>
        <v>0</v>
      </c>
      <c r="D759" s="1">
        <f>IF(B759="", "", "metagenome")</f>
        <v>0</v>
      </c>
      <c r="E759" s="1">
        <f>IF(B759="", "", "256318")</f>
        <v>0</v>
      </c>
    </row>
    <row r="760" spans="1:5">
      <c r="A760">
        <f>IF(COUNTBLANK(B760:E760)&lt;&gt;COLUMNS(B760:E760),759,"")</f>
        <v>0</v>
      </c>
      <c r="C760" s="1">
        <f>IF(B760="", "", "other")</f>
        <v>0</v>
      </c>
      <c r="D760" s="1">
        <f>IF(B760="", "", "metagenome")</f>
        <v>0</v>
      </c>
      <c r="E760" s="1">
        <f>IF(B760="", "", "256318")</f>
        <v>0</v>
      </c>
    </row>
    <row r="761" spans="1:5">
      <c r="A761">
        <f>IF(COUNTBLANK(B761:E761)&lt;&gt;COLUMNS(B761:E761),760,"")</f>
        <v>0</v>
      </c>
      <c r="C761" s="1">
        <f>IF(B761="", "", "other")</f>
        <v>0</v>
      </c>
      <c r="D761" s="1">
        <f>IF(B761="", "", "metagenome")</f>
        <v>0</v>
      </c>
      <c r="E761" s="1">
        <f>IF(B761="", "", "256318")</f>
        <v>0</v>
      </c>
    </row>
    <row r="762" spans="1:5">
      <c r="A762">
        <f>IF(COUNTBLANK(B762:E762)&lt;&gt;COLUMNS(B762:E762),761,"")</f>
        <v>0</v>
      </c>
      <c r="C762" s="1">
        <f>IF(B762="", "", "other")</f>
        <v>0</v>
      </c>
      <c r="D762" s="1">
        <f>IF(B762="", "", "metagenome")</f>
        <v>0</v>
      </c>
      <c r="E762" s="1">
        <f>IF(B762="", "", "256318")</f>
        <v>0</v>
      </c>
    </row>
    <row r="763" spans="1:5">
      <c r="A763">
        <f>IF(COUNTBLANK(B763:E763)&lt;&gt;COLUMNS(B763:E763),762,"")</f>
        <v>0</v>
      </c>
      <c r="C763" s="1">
        <f>IF(B763="", "", "other")</f>
        <v>0</v>
      </c>
      <c r="D763" s="1">
        <f>IF(B763="", "", "metagenome")</f>
        <v>0</v>
      </c>
      <c r="E763" s="1">
        <f>IF(B763="", "", "256318")</f>
        <v>0</v>
      </c>
    </row>
    <row r="764" spans="1:5">
      <c r="A764">
        <f>IF(COUNTBLANK(B764:E764)&lt;&gt;COLUMNS(B764:E764),763,"")</f>
        <v>0</v>
      </c>
      <c r="C764" s="1">
        <f>IF(B764="", "", "other")</f>
        <v>0</v>
      </c>
      <c r="D764" s="1">
        <f>IF(B764="", "", "metagenome")</f>
        <v>0</v>
      </c>
      <c r="E764" s="1">
        <f>IF(B764="", "", "256318")</f>
        <v>0</v>
      </c>
    </row>
    <row r="765" spans="1:5">
      <c r="A765">
        <f>IF(COUNTBLANK(B765:E765)&lt;&gt;COLUMNS(B765:E765),764,"")</f>
        <v>0</v>
      </c>
      <c r="C765" s="1">
        <f>IF(B765="", "", "other")</f>
        <v>0</v>
      </c>
      <c r="D765" s="1">
        <f>IF(B765="", "", "metagenome")</f>
        <v>0</v>
      </c>
      <c r="E765" s="1">
        <f>IF(B765="", "", "256318")</f>
        <v>0</v>
      </c>
    </row>
    <row r="766" spans="1:5">
      <c r="A766">
        <f>IF(COUNTBLANK(B766:E766)&lt;&gt;COLUMNS(B766:E766),765,"")</f>
        <v>0</v>
      </c>
      <c r="C766" s="1">
        <f>IF(B766="", "", "other")</f>
        <v>0</v>
      </c>
      <c r="D766" s="1">
        <f>IF(B766="", "", "metagenome")</f>
        <v>0</v>
      </c>
      <c r="E766" s="1">
        <f>IF(B766="", "", "256318")</f>
        <v>0</v>
      </c>
    </row>
    <row r="767" spans="1:5">
      <c r="A767">
        <f>IF(COUNTBLANK(B767:E767)&lt;&gt;COLUMNS(B767:E767),766,"")</f>
        <v>0</v>
      </c>
      <c r="C767" s="1">
        <f>IF(B767="", "", "other")</f>
        <v>0</v>
      </c>
      <c r="D767" s="1">
        <f>IF(B767="", "", "metagenome")</f>
        <v>0</v>
      </c>
      <c r="E767" s="1">
        <f>IF(B767="", "", "256318")</f>
        <v>0</v>
      </c>
    </row>
    <row r="768" spans="1:5">
      <c r="A768">
        <f>IF(COUNTBLANK(B768:E768)&lt;&gt;COLUMNS(B768:E768),767,"")</f>
        <v>0</v>
      </c>
      <c r="C768" s="1">
        <f>IF(B768="", "", "other")</f>
        <v>0</v>
      </c>
      <c r="D768" s="1">
        <f>IF(B768="", "", "metagenome")</f>
        <v>0</v>
      </c>
      <c r="E768" s="1">
        <f>IF(B768="", "", "256318")</f>
        <v>0</v>
      </c>
    </row>
    <row r="769" spans="1:5">
      <c r="A769">
        <f>IF(COUNTBLANK(B769:E769)&lt;&gt;COLUMNS(B769:E769),768,"")</f>
        <v>0</v>
      </c>
      <c r="C769" s="1">
        <f>IF(B769="", "", "other")</f>
        <v>0</v>
      </c>
      <c r="D769" s="1">
        <f>IF(B769="", "", "metagenome")</f>
        <v>0</v>
      </c>
      <c r="E769" s="1">
        <f>IF(B769="", "", "256318")</f>
        <v>0</v>
      </c>
    </row>
    <row r="770" spans="1:5">
      <c r="A770">
        <f>IF(COUNTBLANK(B770:E770)&lt;&gt;COLUMNS(B770:E770),769,"")</f>
        <v>0</v>
      </c>
      <c r="C770" s="1">
        <f>IF(B770="", "", "other")</f>
        <v>0</v>
      </c>
      <c r="D770" s="1">
        <f>IF(B770="", "", "metagenome")</f>
        <v>0</v>
      </c>
      <c r="E770" s="1">
        <f>IF(B770="", "", "256318")</f>
        <v>0</v>
      </c>
    </row>
    <row r="771" spans="1:5">
      <c r="A771">
        <f>IF(COUNTBLANK(B771:E771)&lt;&gt;COLUMNS(B771:E771),770,"")</f>
        <v>0</v>
      </c>
      <c r="C771" s="1">
        <f>IF(B771="", "", "other")</f>
        <v>0</v>
      </c>
      <c r="D771" s="1">
        <f>IF(B771="", "", "metagenome")</f>
        <v>0</v>
      </c>
      <c r="E771" s="1">
        <f>IF(B771="", "", "256318")</f>
        <v>0</v>
      </c>
    </row>
    <row r="772" spans="1:5">
      <c r="A772">
        <f>IF(COUNTBLANK(B772:E772)&lt;&gt;COLUMNS(B772:E772),771,"")</f>
        <v>0</v>
      </c>
      <c r="C772" s="1">
        <f>IF(B772="", "", "other")</f>
        <v>0</v>
      </c>
      <c r="D772" s="1">
        <f>IF(B772="", "", "metagenome")</f>
        <v>0</v>
      </c>
      <c r="E772" s="1">
        <f>IF(B772="", "", "256318")</f>
        <v>0</v>
      </c>
    </row>
    <row r="773" spans="1:5">
      <c r="A773">
        <f>IF(COUNTBLANK(B773:E773)&lt;&gt;COLUMNS(B773:E773),772,"")</f>
        <v>0</v>
      </c>
      <c r="C773" s="1">
        <f>IF(B773="", "", "other")</f>
        <v>0</v>
      </c>
      <c r="D773" s="1">
        <f>IF(B773="", "", "metagenome")</f>
        <v>0</v>
      </c>
      <c r="E773" s="1">
        <f>IF(B773="", "", "256318")</f>
        <v>0</v>
      </c>
    </row>
    <row r="774" spans="1:5">
      <c r="A774">
        <f>IF(COUNTBLANK(B774:E774)&lt;&gt;COLUMNS(B774:E774),773,"")</f>
        <v>0</v>
      </c>
      <c r="C774" s="1">
        <f>IF(B774="", "", "other")</f>
        <v>0</v>
      </c>
      <c r="D774" s="1">
        <f>IF(B774="", "", "metagenome")</f>
        <v>0</v>
      </c>
      <c r="E774" s="1">
        <f>IF(B774="", "", "256318")</f>
        <v>0</v>
      </c>
    </row>
    <row r="775" spans="1:5">
      <c r="A775">
        <f>IF(COUNTBLANK(B775:E775)&lt;&gt;COLUMNS(B775:E775),774,"")</f>
        <v>0</v>
      </c>
      <c r="C775" s="1">
        <f>IF(B775="", "", "other")</f>
        <v>0</v>
      </c>
      <c r="D775" s="1">
        <f>IF(B775="", "", "metagenome")</f>
        <v>0</v>
      </c>
      <c r="E775" s="1">
        <f>IF(B775="", "", "256318")</f>
        <v>0</v>
      </c>
    </row>
    <row r="776" spans="1:5">
      <c r="A776">
        <f>IF(COUNTBLANK(B776:E776)&lt;&gt;COLUMNS(B776:E776),775,"")</f>
        <v>0</v>
      </c>
      <c r="C776" s="1">
        <f>IF(B776="", "", "other")</f>
        <v>0</v>
      </c>
      <c r="D776" s="1">
        <f>IF(B776="", "", "metagenome")</f>
        <v>0</v>
      </c>
      <c r="E776" s="1">
        <f>IF(B776="", "", "256318")</f>
        <v>0</v>
      </c>
    </row>
    <row r="777" spans="1:5">
      <c r="A777">
        <f>IF(COUNTBLANK(B777:E777)&lt;&gt;COLUMNS(B777:E777),776,"")</f>
        <v>0</v>
      </c>
      <c r="C777" s="1">
        <f>IF(B777="", "", "other")</f>
        <v>0</v>
      </c>
      <c r="D777" s="1">
        <f>IF(B777="", "", "metagenome")</f>
        <v>0</v>
      </c>
      <c r="E777" s="1">
        <f>IF(B777="", "", "256318")</f>
        <v>0</v>
      </c>
    </row>
    <row r="778" spans="1:5">
      <c r="A778">
        <f>IF(COUNTBLANK(B778:E778)&lt;&gt;COLUMNS(B778:E778),777,"")</f>
        <v>0</v>
      </c>
      <c r="C778" s="1">
        <f>IF(B778="", "", "other")</f>
        <v>0</v>
      </c>
      <c r="D778" s="1">
        <f>IF(B778="", "", "metagenome")</f>
        <v>0</v>
      </c>
      <c r="E778" s="1">
        <f>IF(B778="", "", "256318")</f>
        <v>0</v>
      </c>
    </row>
    <row r="779" spans="1:5">
      <c r="A779">
        <f>IF(COUNTBLANK(B779:E779)&lt;&gt;COLUMNS(B779:E779),778,"")</f>
        <v>0</v>
      </c>
      <c r="C779" s="1">
        <f>IF(B779="", "", "other")</f>
        <v>0</v>
      </c>
      <c r="D779" s="1">
        <f>IF(B779="", "", "metagenome")</f>
        <v>0</v>
      </c>
      <c r="E779" s="1">
        <f>IF(B779="", "", "256318")</f>
        <v>0</v>
      </c>
    </row>
    <row r="780" spans="1:5">
      <c r="A780">
        <f>IF(COUNTBLANK(B780:E780)&lt;&gt;COLUMNS(B780:E780),779,"")</f>
        <v>0</v>
      </c>
      <c r="C780" s="1">
        <f>IF(B780="", "", "other")</f>
        <v>0</v>
      </c>
      <c r="D780" s="1">
        <f>IF(B780="", "", "metagenome")</f>
        <v>0</v>
      </c>
      <c r="E780" s="1">
        <f>IF(B780="", "", "256318")</f>
        <v>0</v>
      </c>
    </row>
    <row r="781" spans="1:5">
      <c r="A781">
        <f>IF(COUNTBLANK(B781:E781)&lt;&gt;COLUMNS(B781:E781),780,"")</f>
        <v>0</v>
      </c>
      <c r="C781" s="1">
        <f>IF(B781="", "", "other")</f>
        <v>0</v>
      </c>
      <c r="D781" s="1">
        <f>IF(B781="", "", "metagenome")</f>
        <v>0</v>
      </c>
      <c r="E781" s="1">
        <f>IF(B781="", "", "256318")</f>
        <v>0</v>
      </c>
    </row>
    <row r="782" spans="1:5">
      <c r="A782">
        <f>IF(COUNTBLANK(B782:E782)&lt;&gt;COLUMNS(B782:E782),781,"")</f>
        <v>0</v>
      </c>
      <c r="C782" s="1">
        <f>IF(B782="", "", "other")</f>
        <v>0</v>
      </c>
      <c r="D782" s="1">
        <f>IF(B782="", "", "metagenome")</f>
        <v>0</v>
      </c>
      <c r="E782" s="1">
        <f>IF(B782="", "", "256318")</f>
        <v>0</v>
      </c>
    </row>
    <row r="783" spans="1:5">
      <c r="A783">
        <f>IF(COUNTBLANK(B783:E783)&lt;&gt;COLUMNS(B783:E783),782,"")</f>
        <v>0</v>
      </c>
      <c r="C783" s="1">
        <f>IF(B783="", "", "other")</f>
        <v>0</v>
      </c>
      <c r="D783" s="1">
        <f>IF(B783="", "", "metagenome")</f>
        <v>0</v>
      </c>
      <c r="E783" s="1">
        <f>IF(B783="", "", "256318")</f>
        <v>0</v>
      </c>
    </row>
    <row r="784" spans="1:5">
      <c r="A784">
        <f>IF(COUNTBLANK(B784:E784)&lt;&gt;COLUMNS(B784:E784),783,"")</f>
        <v>0</v>
      </c>
      <c r="C784" s="1">
        <f>IF(B784="", "", "other")</f>
        <v>0</v>
      </c>
      <c r="D784" s="1">
        <f>IF(B784="", "", "metagenome")</f>
        <v>0</v>
      </c>
      <c r="E784" s="1">
        <f>IF(B784="", "", "256318")</f>
        <v>0</v>
      </c>
    </row>
    <row r="785" spans="1:5">
      <c r="A785">
        <f>IF(COUNTBLANK(B785:E785)&lt;&gt;COLUMNS(B785:E785),784,"")</f>
        <v>0</v>
      </c>
      <c r="C785" s="1">
        <f>IF(B785="", "", "other")</f>
        <v>0</v>
      </c>
      <c r="D785" s="1">
        <f>IF(B785="", "", "metagenome")</f>
        <v>0</v>
      </c>
      <c r="E785" s="1">
        <f>IF(B785="", "", "256318")</f>
        <v>0</v>
      </c>
    </row>
    <row r="786" spans="1:5">
      <c r="A786">
        <f>IF(COUNTBLANK(B786:E786)&lt;&gt;COLUMNS(B786:E786),785,"")</f>
        <v>0</v>
      </c>
      <c r="C786" s="1">
        <f>IF(B786="", "", "other")</f>
        <v>0</v>
      </c>
      <c r="D786" s="1">
        <f>IF(B786="", "", "metagenome")</f>
        <v>0</v>
      </c>
      <c r="E786" s="1">
        <f>IF(B786="", "", "256318")</f>
        <v>0</v>
      </c>
    </row>
    <row r="787" spans="1:5">
      <c r="A787">
        <f>IF(COUNTBLANK(B787:E787)&lt;&gt;COLUMNS(B787:E787),786,"")</f>
        <v>0</v>
      </c>
      <c r="C787" s="1">
        <f>IF(B787="", "", "other")</f>
        <v>0</v>
      </c>
      <c r="D787" s="1">
        <f>IF(B787="", "", "metagenome")</f>
        <v>0</v>
      </c>
      <c r="E787" s="1">
        <f>IF(B787="", "", "256318")</f>
        <v>0</v>
      </c>
    </row>
    <row r="788" spans="1:5">
      <c r="A788">
        <f>IF(COUNTBLANK(B788:E788)&lt;&gt;COLUMNS(B788:E788),787,"")</f>
        <v>0</v>
      </c>
      <c r="C788" s="1">
        <f>IF(B788="", "", "other")</f>
        <v>0</v>
      </c>
      <c r="D788" s="1">
        <f>IF(B788="", "", "metagenome")</f>
        <v>0</v>
      </c>
      <c r="E788" s="1">
        <f>IF(B788="", "", "256318")</f>
        <v>0</v>
      </c>
    </row>
    <row r="789" spans="1:5">
      <c r="A789">
        <f>IF(COUNTBLANK(B789:E789)&lt;&gt;COLUMNS(B789:E789),788,"")</f>
        <v>0</v>
      </c>
      <c r="C789" s="1">
        <f>IF(B789="", "", "other")</f>
        <v>0</v>
      </c>
      <c r="D789" s="1">
        <f>IF(B789="", "", "metagenome")</f>
        <v>0</v>
      </c>
      <c r="E789" s="1">
        <f>IF(B789="", "", "256318")</f>
        <v>0</v>
      </c>
    </row>
    <row r="790" spans="1:5">
      <c r="A790">
        <f>IF(COUNTBLANK(B790:E790)&lt;&gt;COLUMNS(B790:E790),789,"")</f>
        <v>0</v>
      </c>
      <c r="C790" s="1">
        <f>IF(B790="", "", "other")</f>
        <v>0</v>
      </c>
      <c r="D790" s="1">
        <f>IF(B790="", "", "metagenome")</f>
        <v>0</v>
      </c>
      <c r="E790" s="1">
        <f>IF(B790="", "", "256318")</f>
        <v>0</v>
      </c>
    </row>
    <row r="791" spans="1:5">
      <c r="A791">
        <f>IF(COUNTBLANK(B791:E791)&lt;&gt;COLUMNS(B791:E791),790,"")</f>
        <v>0</v>
      </c>
      <c r="C791" s="1">
        <f>IF(B791="", "", "other")</f>
        <v>0</v>
      </c>
      <c r="D791" s="1">
        <f>IF(B791="", "", "metagenome")</f>
        <v>0</v>
      </c>
      <c r="E791" s="1">
        <f>IF(B791="", "", "256318")</f>
        <v>0</v>
      </c>
    </row>
    <row r="792" spans="1:5">
      <c r="A792">
        <f>IF(COUNTBLANK(B792:E792)&lt;&gt;COLUMNS(B792:E792),791,"")</f>
        <v>0</v>
      </c>
      <c r="C792" s="1">
        <f>IF(B792="", "", "other")</f>
        <v>0</v>
      </c>
      <c r="D792" s="1">
        <f>IF(B792="", "", "metagenome")</f>
        <v>0</v>
      </c>
      <c r="E792" s="1">
        <f>IF(B792="", "", "256318")</f>
        <v>0</v>
      </c>
    </row>
    <row r="793" spans="1:5">
      <c r="A793">
        <f>IF(COUNTBLANK(B793:E793)&lt;&gt;COLUMNS(B793:E793),792,"")</f>
        <v>0</v>
      </c>
      <c r="C793" s="1">
        <f>IF(B793="", "", "other")</f>
        <v>0</v>
      </c>
      <c r="D793" s="1">
        <f>IF(B793="", "", "metagenome")</f>
        <v>0</v>
      </c>
      <c r="E793" s="1">
        <f>IF(B793="", "", "256318")</f>
        <v>0</v>
      </c>
    </row>
    <row r="794" spans="1:5">
      <c r="A794">
        <f>IF(COUNTBLANK(B794:E794)&lt;&gt;COLUMNS(B794:E794),793,"")</f>
        <v>0</v>
      </c>
      <c r="C794" s="1">
        <f>IF(B794="", "", "other")</f>
        <v>0</v>
      </c>
      <c r="D794" s="1">
        <f>IF(B794="", "", "metagenome")</f>
        <v>0</v>
      </c>
      <c r="E794" s="1">
        <f>IF(B794="", "", "256318")</f>
        <v>0</v>
      </c>
    </row>
    <row r="795" spans="1:5">
      <c r="A795">
        <f>IF(COUNTBLANK(B795:E795)&lt;&gt;COLUMNS(B795:E795),794,"")</f>
        <v>0</v>
      </c>
      <c r="C795" s="1">
        <f>IF(B795="", "", "other")</f>
        <v>0</v>
      </c>
      <c r="D795" s="1">
        <f>IF(B795="", "", "metagenome")</f>
        <v>0</v>
      </c>
      <c r="E795" s="1">
        <f>IF(B795="", "", "256318")</f>
        <v>0</v>
      </c>
    </row>
    <row r="796" spans="1:5">
      <c r="A796">
        <f>IF(COUNTBLANK(B796:E796)&lt;&gt;COLUMNS(B796:E796),795,"")</f>
        <v>0</v>
      </c>
      <c r="C796" s="1">
        <f>IF(B796="", "", "other")</f>
        <v>0</v>
      </c>
      <c r="D796" s="1">
        <f>IF(B796="", "", "metagenome")</f>
        <v>0</v>
      </c>
      <c r="E796" s="1">
        <f>IF(B796="", "", "256318")</f>
        <v>0</v>
      </c>
    </row>
    <row r="797" spans="1:5">
      <c r="A797">
        <f>IF(COUNTBLANK(B797:E797)&lt;&gt;COLUMNS(B797:E797),796,"")</f>
        <v>0</v>
      </c>
      <c r="C797" s="1">
        <f>IF(B797="", "", "other")</f>
        <v>0</v>
      </c>
      <c r="D797" s="1">
        <f>IF(B797="", "", "metagenome")</f>
        <v>0</v>
      </c>
      <c r="E797" s="1">
        <f>IF(B797="", "", "256318")</f>
        <v>0</v>
      </c>
    </row>
    <row r="798" spans="1:5">
      <c r="A798">
        <f>IF(COUNTBLANK(B798:E798)&lt;&gt;COLUMNS(B798:E798),797,"")</f>
        <v>0</v>
      </c>
      <c r="C798" s="1">
        <f>IF(B798="", "", "other")</f>
        <v>0</v>
      </c>
      <c r="D798" s="1">
        <f>IF(B798="", "", "metagenome")</f>
        <v>0</v>
      </c>
      <c r="E798" s="1">
        <f>IF(B798="", "", "256318")</f>
        <v>0</v>
      </c>
    </row>
    <row r="799" spans="1:5">
      <c r="A799">
        <f>IF(COUNTBLANK(B799:E799)&lt;&gt;COLUMNS(B799:E799),798,"")</f>
        <v>0</v>
      </c>
      <c r="C799" s="1">
        <f>IF(B799="", "", "other")</f>
        <v>0</v>
      </c>
      <c r="D799" s="1">
        <f>IF(B799="", "", "metagenome")</f>
        <v>0</v>
      </c>
      <c r="E799" s="1">
        <f>IF(B799="", "", "256318")</f>
        <v>0</v>
      </c>
    </row>
    <row r="800" spans="1:5">
      <c r="A800">
        <f>IF(COUNTBLANK(B800:E800)&lt;&gt;COLUMNS(B800:E800),799,"")</f>
        <v>0</v>
      </c>
      <c r="C800" s="1">
        <f>IF(B800="", "", "other")</f>
        <v>0</v>
      </c>
      <c r="D800" s="1">
        <f>IF(B800="", "", "metagenome")</f>
        <v>0</v>
      </c>
      <c r="E800" s="1">
        <f>IF(B800="", "", "256318")</f>
        <v>0</v>
      </c>
    </row>
    <row r="801" spans="1:5">
      <c r="A801">
        <f>IF(COUNTBLANK(B801:E801)&lt;&gt;COLUMNS(B801:E801),800,"")</f>
        <v>0</v>
      </c>
      <c r="C801" s="1">
        <f>IF(B801="", "", "other")</f>
        <v>0</v>
      </c>
      <c r="D801" s="1">
        <f>IF(B801="", "", "metagenome")</f>
        <v>0</v>
      </c>
      <c r="E801" s="1">
        <f>IF(B801="", "", "256318")</f>
        <v>0</v>
      </c>
    </row>
    <row r="802" spans="1:5">
      <c r="A802">
        <f>IF(COUNTBLANK(B802:E802)&lt;&gt;COLUMNS(B802:E802),801,"")</f>
        <v>0</v>
      </c>
      <c r="C802" s="1">
        <f>IF(B802="", "", "other")</f>
        <v>0</v>
      </c>
      <c r="D802" s="1">
        <f>IF(B802="", "", "metagenome")</f>
        <v>0</v>
      </c>
      <c r="E802" s="1">
        <f>IF(B802="", "", "256318")</f>
        <v>0</v>
      </c>
    </row>
    <row r="803" spans="1:5">
      <c r="A803">
        <f>IF(COUNTBLANK(B803:E803)&lt;&gt;COLUMNS(B803:E803),802,"")</f>
        <v>0</v>
      </c>
      <c r="C803" s="1">
        <f>IF(B803="", "", "other")</f>
        <v>0</v>
      </c>
      <c r="D803" s="1">
        <f>IF(B803="", "", "metagenome")</f>
        <v>0</v>
      </c>
      <c r="E803" s="1">
        <f>IF(B803="", "", "256318")</f>
        <v>0</v>
      </c>
    </row>
    <row r="804" spans="1:5">
      <c r="A804">
        <f>IF(COUNTBLANK(B804:E804)&lt;&gt;COLUMNS(B804:E804),803,"")</f>
        <v>0</v>
      </c>
      <c r="C804" s="1">
        <f>IF(B804="", "", "other")</f>
        <v>0</v>
      </c>
      <c r="D804" s="1">
        <f>IF(B804="", "", "metagenome")</f>
        <v>0</v>
      </c>
      <c r="E804" s="1">
        <f>IF(B804="", "", "256318")</f>
        <v>0</v>
      </c>
    </row>
    <row r="805" spans="1:5">
      <c r="A805">
        <f>IF(COUNTBLANK(B805:E805)&lt;&gt;COLUMNS(B805:E805),804,"")</f>
        <v>0</v>
      </c>
      <c r="C805" s="1">
        <f>IF(B805="", "", "other")</f>
        <v>0</v>
      </c>
      <c r="D805" s="1">
        <f>IF(B805="", "", "metagenome")</f>
        <v>0</v>
      </c>
      <c r="E805" s="1">
        <f>IF(B805="", "", "256318")</f>
        <v>0</v>
      </c>
    </row>
    <row r="806" spans="1:5">
      <c r="A806">
        <f>IF(COUNTBLANK(B806:E806)&lt;&gt;COLUMNS(B806:E806),805,"")</f>
        <v>0</v>
      </c>
      <c r="C806" s="1">
        <f>IF(B806="", "", "other")</f>
        <v>0</v>
      </c>
      <c r="D806" s="1">
        <f>IF(B806="", "", "metagenome")</f>
        <v>0</v>
      </c>
      <c r="E806" s="1">
        <f>IF(B806="", "", "256318")</f>
        <v>0</v>
      </c>
    </row>
    <row r="807" spans="1:5">
      <c r="A807">
        <f>IF(COUNTBLANK(B807:E807)&lt;&gt;COLUMNS(B807:E807),806,"")</f>
        <v>0</v>
      </c>
      <c r="C807" s="1">
        <f>IF(B807="", "", "other")</f>
        <v>0</v>
      </c>
      <c r="D807" s="1">
        <f>IF(B807="", "", "metagenome")</f>
        <v>0</v>
      </c>
      <c r="E807" s="1">
        <f>IF(B807="", "", "256318")</f>
        <v>0</v>
      </c>
    </row>
    <row r="808" spans="1:5">
      <c r="A808">
        <f>IF(COUNTBLANK(B808:E808)&lt;&gt;COLUMNS(B808:E808),807,"")</f>
        <v>0</v>
      </c>
      <c r="C808" s="1">
        <f>IF(B808="", "", "other")</f>
        <v>0</v>
      </c>
      <c r="D808" s="1">
        <f>IF(B808="", "", "metagenome")</f>
        <v>0</v>
      </c>
      <c r="E808" s="1">
        <f>IF(B808="", "", "256318")</f>
        <v>0</v>
      </c>
    </row>
    <row r="809" spans="1:5">
      <c r="A809">
        <f>IF(COUNTBLANK(B809:E809)&lt;&gt;COLUMNS(B809:E809),808,"")</f>
        <v>0</v>
      </c>
      <c r="C809" s="1">
        <f>IF(B809="", "", "other")</f>
        <v>0</v>
      </c>
      <c r="D809" s="1">
        <f>IF(B809="", "", "metagenome")</f>
        <v>0</v>
      </c>
      <c r="E809" s="1">
        <f>IF(B809="", "", "256318")</f>
        <v>0</v>
      </c>
    </row>
    <row r="810" spans="1:5">
      <c r="A810">
        <f>IF(COUNTBLANK(B810:E810)&lt;&gt;COLUMNS(B810:E810),809,"")</f>
        <v>0</v>
      </c>
      <c r="C810" s="1">
        <f>IF(B810="", "", "other")</f>
        <v>0</v>
      </c>
      <c r="D810" s="1">
        <f>IF(B810="", "", "metagenome")</f>
        <v>0</v>
      </c>
      <c r="E810" s="1">
        <f>IF(B810="", "", "256318")</f>
        <v>0</v>
      </c>
    </row>
    <row r="811" spans="1:5">
      <c r="A811">
        <f>IF(COUNTBLANK(B811:E811)&lt;&gt;COLUMNS(B811:E811),810,"")</f>
        <v>0</v>
      </c>
      <c r="C811" s="1">
        <f>IF(B811="", "", "other")</f>
        <v>0</v>
      </c>
      <c r="D811" s="1">
        <f>IF(B811="", "", "metagenome")</f>
        <v>0</v>
      </c>
      <c r="E811" s="1">
        <f>IF(B811="", "", "256318")</f>
        <v>0</v>
      </c>
    </row>
    <row r="812" spans="1:5">
      <c r="A812">
        <f>IF(COUNTBLANK(B812:E812)&lt;&gt;COLUMNS(B812:E812),811,"")</f>
        <v>0</v>
      </c>
      <c r="C812" s="1">
        <f>IF(B812="", "", "other")</f>
        <v>0</v>
      </c>
      <c r="D812" s="1">
        <f>IF(B812="", "", "metagenome")</f>
        <v>0</v>
      </c>
      <c r="E812" s="1">
        <f>IF(B812="", "", "256318")</f>
        <v>0</v>
      </c>
    </row>
    <row r="813" spans="1:5">
      <c r="A813">
        <f>IF(COUNTBLANK(B813:E813)&lt;&gt;COLUMNS(B813:E813),812,"")</f>
        <v>0</v>
      </c>
      <c r="C813" s="1">
        <f>IF(B813="", "", "other")</f>
        <v>0</v>
      </c>
      <c r="D813" s="1">
        <f>IF(B813="", "", "metagenome")</f>
        <v>0</v>
      </c>
      <c r="E813" s="1">
        <f>IF(B813="", "", "256318")</f>
        <v>0</v>
      </c>
    </row>
    <row r="814" spans="1:5">
      <c r="A814">
        <f>IF(COUNTBLANK(B814:E814)&lt;&gt;COLUMNS(B814:E814),813,"")</f>
        <v>0</v>
      </c>
      <c r="C814" s="1">
        <f>IF(B814="", "", "other")</f>
        <v>0</v>
      </c>
      <c r="D814" s="1">
        <f>IF(B814="", "", "metagenome")</f>
        <v>0</v>
      </c>
      <c r="E814" s="1">
        <f>IF(B814="", "", "256318")</f>
        <v>0</v>
      </c>
    </row>
    <row r="815" spans="1:5">
      <c r="A815">
        <f>IF(COUNTBLANK(B815:E815)&lt;&gt;COLUMNS(B815:E815),814,"")</f>
        <v>0</v>
      </c>
      <c r="C815" s="1">
        <f>IF(B815="", "", "other")</f>
        <v>0</v>
      </c>
      <c r="D815" s="1">
        <f>IF(B815="", "", "metagenome")</f>
        <v>0</v>
      </c>
      <c r="E815" s="1">
        <f>IF(B815="", "", "256318")</f>
        <v>0</v>
      </c>
    </row>
    <row r="816" spans="1:5">
      <c r="A816">
        <f>IF(COUNTBLANK(B816:E816)&lt;&gt;COLUMNS(B816:E816),815,"")</f>
        <v>0</v>
      </c>
      <c r="C816" s="1">
        <f>IF(B816="", "", "other")</f>
        <v>0</v>
      </c>
      <c r="D816" s="1">
        <f>IF(B816="", "", "metagenome")</f>
        <v>0</v>
      </c>
      <c r="E816" s="1">
        <f>IF(B816="", "", "256318")</f>
        <v>0</v>
      </c>
    </row>
    <row r="817" spans="1:5">
      <c r="A817">
        <f>IF(COUNTBLANK(B817:E817)&lt;&gt;COLUMNS(B817:E817),816,"")</f>
        <v>0</v>
      </c>
      <c r="C817" s="1">
        <f>IF(B817="", "", "other")</f>
        <v>0</v>
      </c>
      <c r="D817" s="1">
        <f>IF(B817="", "", "metagenome")</f>
        <v>0</v>
      </c>
      <c r="E817" s="1">
        <f>IF(B817="", "", "256318")</f>
        <v>0</v>
      </c>
    </row>
    <row r="818" spans="1:5">
      <c r="A818">
        <f>IF(COUNTBLANK(B818:E818)&lt;&gt;COLUMNS(B818:E818),817,"")</f>
        <v>0</v>
      </c>
      <c r="C818" s="1">
        <f>IF(B818="", "", "other")</f>
        <v>0</v>
      </c>
      <c r="D818" s="1">
        <f>IF(B818="", "", "metagenome")</f>
        <v>0</v>
      </c>
      <c r="E818" s="1">
        <f>IF(B818="", "", "256318")</f>
        <v>0</v>
      </c>
    </row>
    <row r="819" spans="1:5">
      <c r="A819">
        <f>IF(COUNTBLANK(B819:E819)&lt;&gt;COLUMNS(B819:E819),818,"")</f>
        <v>0</v>
      </c>
      <c r="C819" s="1">
        <f>IF(B819="", "", "other")</f>
        <v>0</v>
      </c>
      <c r="D819" s="1">
        <f>IF(B819="", "", "metagenome")</f>
        <v>0</v>
      </c>
      <c r="E819" s="1">
        <f>IF(B819="", "", "256318")</f>
        <v>0</v>
      </c>
    </row>
    <row r="820" spans="1:5">
      <c r="A820">
        <f>IF(COUNTBLANK(B820:E820)&lt;&gt;COLUMNS(B820:E820),819,"")</f>
        <v>0</v>
      </c>
      <c r="C820" s="1">
        <f>IF(B820="", "", "other")</f>
        <v>0</v>
      </c>
      <c r="D820" s="1">
        <f>IF(B820="", "", "metagenome")</f>
        <v>0</v>
      </c>
      <c r="E820" s="1">
        <f>IF(B820="", "", "256318")</f>
        <v>0</v>
      </c>
    </row>
    <row r="821" spans="1:5">
      <c r="A821">
        <f>IF(COUNTBLANK(B821:E821)&lt;&gt;COLUMNS(B821:E821),820,"")</f>
        <v>0</v>
      </c>
      <c r="C821" s="1">
        <f>IF(B821="", "", "other")</f>
        <v>0</v>
      </c>
      <c r="D821" s="1">
        <f>IF(B821="", "", "metagenome")</f>
        <v>0</v>
      </c>
      <c r="E821" s="1">
        <f>IF(B821="", "", "256318")</f>
        <v>0</v>
      </c>
    </row>
    <row r="822" spans="1:5">
      <c r="A822">
        <f>IF(COUNTBLANK(B822:E822)&lt;&gt;COLUMNS(B822:E822),821,"")</f>
        <v>0</v>
      </c>
      <c r="C822" s="1">
        <f>IF(B822="", "", "other")</f>
        <v>0</v>
      </c>
      <c r="D822" s="1">
        <f>IF(B822="", "", "metagenome")</f>
        <v>0</v>
      </c>
      <c r="E822" s="1">
        <f>IF(B822="", "", "256318")</f>
        <v>0</v>
      </c>
    </row>
    <row r="823" spans="1:5">
      <c r="A823">
        <f>IF(COUNTBLANK(B823:E823)&lt;&gt;COLUMNS(B823:E823),822,"")</f>
        <v>0</v>
      </c>
      <c r="C823" s="1">
        <f>IF(B823="", "", "other")</f>
        <v>0</v>
      </c>
      <c r="D823" s="1">
        <f>IF(B823="", "", "metagenome")</f>
        <v>0</v>
      </c>
      <c r="E823" s="1">
        <f>IF(B823="", "", "256318")</f>
        <v>0</v>
      </c>
    </row>
    <row r="824" spans="1:5">
      <c r="A824">
        <f>IF(COUNTBLANK(B824:E824)&lt;&gt;COLUMNS(B824:E824),823,"")</f>
        <v>0</v>
      </c>
      <c r="C824" s="1">
        <f>IF(B824="", "", "other")</f>
        <v>0</v>
      </c>
      <c r="D824" s="1">
        <f>IF(B824="", "", "metagenome")</f>
        <v>0</v>
      </c>
      <c r="E824" s="1">
        <f>IF(B824="", "", "256318")</f>
        <v>0</v>
      </c>
    </row>
    <row r="825" spans="1:5">
      <c r="A825">
        <f>IF(COUNTBLANK(B825:E825)&lt;&gt;COLUMNS(B825:E825),824,"")</f>
        <v>0</v>
      </c>
      <c r="C825" s="1">
        <f>IF(B825="", "", "other")</f>
        <v>0</v>
      </c>
      <c r="D825" s="1">
        <f>IF(B825="", "", "metagenome")</f>
        <v>0</v>
      </c>
      <c r="E825" s="1">
        <f>IF(B825="", "", "256318")</f>
        <v>0</v>
      </c>
    </row>
    <row r="826" spans="1:5">
      <c r="A826">
        <f>IF(COUNTBLANK(B826:E826)&lt;&gt;COLUMNS(B826:E826),825,"")</f>
        <v>0</v>
      </c>
      <c r="C826" s="1">
        <f>IF(B826="", "", "other")</f>
        <v>0</v>
      </c>
      <c r="D826" s="1">
        <f>IF(B826="", "", "metagenome")</f>
        <v>0</v>
      </c>
      <c r="E826" s="1">
        <f>IF(B826="", "", "256318")</f>
        <v>0</v>
      </c>
    </row>
    <row r="827" spans="1:5">
      <c r="A827">
        <f>IF(COUNTBLANK(B827:E827)&lt;&gt;COLUMNS(B827:E827),826,"")</f>
        <v>0</v>
      </c>
      <c r="C827" s="1">
        <f>IF(B827="", "", "other")</f>
        <v>0</v>
      </c>
      <c r="D827" s="1">
        <f>IF(B827="", "", "metagenome")</f>
        <v>0</v>
      </c>
      <c r="E827" s="1">
        <f>IF(B827="", "", "256318")</f>
        <v>0</v>
      </c>
    </row>
    <row r="828" spans="1:5">
      <c r="A828">
        <f>IF(COUNTBLANK(B828:E828)&lt;&gt;COLUMNS(B828:E828),827,"")</f>
        <v>0</v>
      </c>
      <c r="C828" s="1">
        <f>IF(B828="", "", "other")</f>
        <v>0</v>
      </c>
      <c r="D828" s="1">
        <f>IF(B828="", "", "metagenome")</f>
        <v>0</v>
      </c>
      <c r="E828" s="1">
        <f>IF(B828="", "", "256318")</f>
        <v>0</v>
      </c>
    </row>
    <row r="829" spans="1:5">
      <c r="A829">
        <f>IF(COUNTBLANK(B829:E829)&lt;&gt;COLUMNS(B829:E829),828,"")</f>
        <v>0</v>
      </c>
      <c r="C829" s="1">
        <f>IF(B829="", "", "other")</f>
        <v>0</v>
      </c>
      <c r="D829" s="1">
        <f>IF(B829="", "", "metagenome")</f>
        <v>0</v>
      </c>
      <c r="E829" s="1">
        <f>IF(B829="", "", "256318")</f>
        <v>0</v>
      </c>
    </row>
    <row r="830" spans="1:5">
      <c r="A830">
        <f>IF(COUNTBLANK(B830:E830)&lt;&gt;COLUMNS(B830:E830),829,"")</f>
        <v>0</v>
      </c>
      <c r="C830" s="1">
        <f>IF(B830="", "", "other")</f>
        <v>0</v>
      </c>
      <c r="D830" s="1">
        <f>IF(B830="", "", "metagenome")</f>
        <v>0</v>
      </c>
      <c r="E830" s="1">
        <f>IF(B830="", "", "256318")</f>
        <v>0</v>
      </c>
    </row>
    <row r="831" spans="1:5">
      <c r="A831">
        <f>IF(COUNTBLANK(B831:E831)&lt;&gt;COLUMNS(B831:E831),830,"")</f>
        <v>0</v>
      </c>
      <c r="C831" s="1">
        <f>IF(B831="", "", "other")</f>
        <v>0</v>
      </c>
      <c r="D831" s="1">
        <f>IF(B831="", "", "metagenome")</f>
        <v>0</v>
      </c>
      <c r="E831" s="1">
        <f>IF(B831="", "", "256318")</f>
        <v>0</v>
      </c>
    </row>
    <row r="832" spans="1:5">
      <c r="A832">
        <f>IF(COUNTBLANK(B832:E832)&lt;&gt;COLUMNS(B832:E832),831,"")</f>
        <v>0</v>
      </c>
      <c r="C832" s="1">
        <f>IF(B832="", "", "other")</f>
        <v>0</v>
      </c>
      <c r="D832" s="1">
        <f>IF(B832="", "", "metagenome")</f>
        <v>0</v>
      </c>
      <c r="E832" s="1">
        <f>IF(B832="", "", "256318")</f>
        <v>0</v>
      </c>
    </row>
    <row r="833" spans="1:5">
      <c r="A833">
        <f>IF(COUNTBLANK(B833:E833)&lt;&gt;COLUMNS(B833:E833),832,"")</f>
        <v>0</v>
      </c>
      <c r="C833" s="1">
        <f>IF(B833="", "", "other")</f>
        <v>0</v>
      </c>
      <c r="D833" s="1">
        <f>IF(B833="", "", "metagenome")</f>
        <v>0</v>
      </c>
      <c r="E833" s="1">
        <f>IF(B833="", "", "256318")</f>
        <v>0</v>
      </c>
    </row>
    <row r="834" spans="1:5">
      <c r="A834">
        <f>IF(COUNTBLANK(B834:E834)&lt;&gt;COLUMNS(B834:E834),833,"")</f>
        <v>0</v>
      </c>
      <c r="C834" s="1">
        <f>IF(B834="", "", "other")</f>
        <v>0</v>
      </c>
      <c r="D834" s="1">
        <f>IF(B834="", "", "metagenome")</f>
        <v>0</v>
      </c>
      <c r="E834" s="1">
        <f>IF(B834="", "", "256318")</f>
        <v>0</v>
      </c>
    </row>
    <row r="835" spans="1:5">
      <c r="A835">
        <f>IF(COUNTBLANK(B835:E835)&lt;&gt;COLUMNS(B835:E835),834,"")</f>
        <v>0</v>
      </c>
      <c r="C835" s="1">
        <f>IF(B835="", "", "other")</f>
        <v>0</v>
      </c>
      <c r="D835" s="1">
        <f>IF(B835="", "", "metagenome")</f>
        <v>0</v>
      </c>
      <c r="E835" s="1">
        <f>IF(B835="", "", "256318")</f>
        <v>0</v>
      </c>
    </row>
    <row r="836" spans="1:5">
      <c r="A836">
        <f>IF(COUNTBLANK(B836:E836)&lt;&gt;COLUMNS(B836:E836),835,"")</f>
        <v>0</v>
      </c>
      <c r="C836" s="1">
        <f>IF(B836="", "", "other")</f>
        <v>0</v>
      </c>
      <c r="D836" s="1">
        <f>IF(B836="", "", "metagenome")</f>
        <v>0</v>
      </c>
      <c r="E836" s="1">
        <f>IF(B836="", "", "256318")</f>
        <v>0</v>
      </c>
    </row>
    <row r="837" spans="1:5">
      <c r="A837">
        <f>IF(COUNTBLANK(B837:E837)&lt;&gt;COLUMNS(B837:E837),836,"")</f>
        <v>0</v>
      </c>
      <c r="C837" s="1">
        <f>IF(B837="", "", "other")</f>
        <v>0</v>
      </c>
      <c r="D837" s="1">
        <f>IF(B837="", "", "metagenome")</f>
        <v>0</v>
      </c>
      <c r="E837" s="1">
        <f>IF(B837="", "", "256318")</f>
        <v>0</v>
      </c>
    </row>
    <row r="838" spans="1:5">
      <c r="A838">
        <f>IF(COUNTBLANK(B838:E838)&lt;&gt;COLUMNS(B838:E838),837,"")</f>
        <v>0</v>
      </c>
      <c r="C838" s="1">
        <f>IF(B838="", "", "other")</f>
        <v>0</v>
      </c>
      <c r="D838" s="1">
        <f>IF(B838="", "", "metagenome")</f>
        <v>0</v>
      </c>
      <c r="E838" s="1">
        <f>IF(B838="", "", "256318")</f>
        <v>0</v>
      </c>
    </row>
    <row r="839" spans="1:5">
      <c r="A839">
        <f>IF(COUNTBLANK(B839:E839)&lt;&gt;COLUMNS(B839:E839),838,"")</f>
        <v>0</v>
      </c>
      <c r="C839" s="1">
        <f>IF(B839="", "", "other")</f>
        <v>0</v>
      </c>
      <c r="D839" s="1">
        <f>IF(B839="", "", "metagenome")</f>
        <v>0</v>
      </c>
      <c r="E839" s="1">
        <f>IF(B839="", "", "256318")</f>
        <v>0</v>
      </c>
    </row>
    <row r="840" spans="1:5">
      <c r="A840">
        <f>IF(COUNTBLANK(B840:E840)&lt;&gt;COLUMNS(B840:E840),839,"")</f>
        <v>0</v>
      </c>
      <c r="C840" s="1">
        <f>IF(B840="", "", "other")</f>
        <v>0</v>
      </c>
      <c r="D840" s="1">
        <f>IF(B840="", "", "metagenome")</f>
        <v>0</v>
      </c>
      <c r="E840" s="1">
        <f>IF(B840="", "", "256318")</f>
        <v>0</v>
      </c>
    </row>
    <row r="841" spans="1:5">
      <c r="A841">
        <f>IF(COUNTBLANK(B841:E841)&lt;&gt;COLUMNS(B841:E841),840,"")</f>
        <v>0</v>
      </c>
      <c r="C841" s="1">
        <f>IF(B841="", "", "other")</f>
        <v>0</v>
      </c>
      <c r="D841" s="1">
        <f>IF(B841="", "", "metagenome")</f>
        <v>0</v>
      </c>
      <c r="E841" s="1">
        <f>IF(B841="", "", "256318")</f>
        <v>0</v>
      </c>
    </row>
    <row r="842" spans="1:5">
      <c r="A842">
        <f>IF(COUNTBLANK(B842:E842)&lt;&gt;COLUMNS(B842:E842),841,"")</f>
        <v>0</v>
      </c>
      <c r="C842" s="1">
        <f>IF(B842="", "", "other")</f>
        <v>0</v>
      </c>
      <c r="D842" s="1">
        <f>IF(B842="", "", "metagenome")</f>
        <v>0</v>
      </c>
      <c r="E842" s="1">
        <f>IF(B842="", "", "256318")</f>
        <v>0</v>
      </c>
    </row>
    <row r="843" spans="1:5">
      <c r="A843">
        <f>IF(COUNTBLANK(B843:E843)&lt;&gt;COLUMNS(B843:E843),842,"")</f>
        <v>0</v>
      </c>
      <c r="C843" s="1">
        <f>IF(B843="", "", "other")</f>
        <v>0</v>
      </c>
      <c r="D843" s="1">
        <f>IF(B843="", "", "metagenome")</f>
        <v>0</v>
      </c>
      <c r="E843" s="1">
        <f>IF(B843="", "", "256318")</f>
        <v>0</v>
      </c>
    </row>
    <row r="844" spans="1:5">
      <c r="A844">
        <f>IF(COUNTBLANK(B844:E844)&lt;&gt;COLUMNS(B844:E844),843,"")</f>
        <v>0</v>
      </c>
      <c r="C844" s="1">
        <f>IF(B844="", "", "other")</f>
        <v>0</v>
      </c>
      <c r="D844" s="1">
        <f>IF(B844="", "", "metagenome")</f>
        <v>0</v>
      </c>
      <c r="E844" s="1">
        <f>IF(B844="", "", "256318")</f>
        <v>0</v>
      </c>
    </row>
    <row r="845" spans="1:5">
      <c r="A845">
        <f>IF(COUNTBLANK(B845:E845)&lt;&gt;COLUMNS(B845:E845),844,"")</f>
        <v>0</v>
      </c>
      <c r="C845" s="1">
        <f>IF(B845="", "", "other")</f>
        <v>0</v>
      </c>
      <c r="D845" s="1">
        <f>IF(B845="", "", "metagenome")</f>
        <v>0</v>
      </c>
      <c r="E845" s="1">
        <f>IF(B845="", "", "256318")</f>
        <v>0</v>
      </c>
    </row>
    <row r="846" spans="1:5">
      <c r="A846">
        <f>IF(COUNTBLANK(B846:E846)&lt;&gt;COLUMNS(B846:E846),845,"")</f>
        <v>0</v>
      </c>
      <c r="C846" s="1">
        <f>IF(B846="", "", "other")</f>
        <v>0</v>
      </c>
      <c r="D846" s="1">
        <f>IF(B846="", "", "metagenome")</f>
        <v>0</v>
      </c>
      <c r="E846" s="1">
        <f>IF(B846="", "", "256318")</f>
        <v>0</v>
      </c>
    </row>
    <row r="847" spans="1:5">
      <c r="A847">
        <f>IF(COUNTBLANK(B847:E847)&lt;&gt;COLUMNS(B847:E847),846,"")</f>
        <v>0</v>
      </c>
      <c r="C847" s="1">
        <f>IF(B847="", "", "other")</f>
        <v>0</v>
      </c>
      <c r="D847" s="1">
        <f>IF(B847="", "", "metagenome")</f>
        <v>0</v>
      </c>
      <c r="E847" s="1">
        <f>IF(B847="", "", "256318")</f>
        <v>0</v>
      </c>
    </row>
    <row r="848" spans="1:5">
      <c r="A848">
        <f>IF(COUNTBLANK(B848:E848)&lt;&gt;COLUMNS(B848:E848),847,"")</f>
        <v>0</v>
      </c>
      <c r="C848" s="1">
        <f>IF(B848="", "", "other")</f>
        <v>0</v>
      </c>
      <c r="D848" s="1">
        <f>IF(B848="", "", "metagenome")</f>
        <v>0</v>
      </c>
      <c r="E848" s="1">
        <f>IF(B848="", "", "256318")</f>
        <v>0</v>
      </c>
    </row>
    <row r="849" spans="1:5">
      <c r="A849">
        <f>IF(COUNTBLANK(B849:E849)&lt;&gt;COLUMNS(B849:E849),848,"")</f>
        <v>0</v>
      </c>
      <c r="C849" s="1">
        <f>IF(B849="", "", "other")</f>
        <v>0</v>
      </c>
      <c r="D849" s="1">
        <f>IF(B849="", "", "metagenome")</f>
        <v>0</v>
      </c>
      <c r="E849" s="1">
        <f>IF(B849="", "", "256318")</f>
        <v>0</v>
      </c>
    </row>
    <row r="850" spans="1:5">
      <c r="A850">
        <f>IF(COUNTBLANK(B850:E850)&lt;&gt;COLUMNS(B850:E850),849,"")</f>
        <v>0</v>
      </c>
      <c r="C850" s="1">
        <f>IF(B850="", "", "other")</f>
        <v>0</v>
      </c>
      <c r="D850" s="1">
        <f>IF(B850="", "", "metagenome")</f>
        <v>0</v>
      </c>
      <c r="E850" s="1">
        <f>IF(B850="", "", "256318")</f>
        <v>0</v>
      </c>
    </row>
    <row r="851" spans="1:5">
      <c r="A851">
        <f>IF(COUNTBLANK(B851:E851)&lt;&gt;COLUMNS(B851:E851),850,"")</f>
        <v>0</v>
      </c>
      <c r="C851" s="1">
        <f>IF(B851="", "", "other")</f>
        <v>0</v>
      </c>
      <c r="D851" s="1">
        <f>IF(B851="", "", "metagenome")</f>
        <v>0</v>
      </c>
      <c r="E851" s="1">
        <f>IF(B851="", "", "256318")</f>
        <v>0</v>
      </c>
    </row>
    <row r="852" spans="1:5">
      <c r="A852">
        <f>IF(COUNTBLANK(B852:E852)&lt;&gt;COLUMNS(B852:E852),851,"")</f>
        <v>0</v>
      </c>
      <c r="C852" s="1">
        <f>IF(B852="", "", "other")</f>
        <v>0</v>
      </c>
      <c r="D852" s="1">
        <f>IF(B852="", "", "metagenome")</f>
        <v>0</v>
      </c>
      <c r="E852" s="1">
        <f>IF(B852="", "", "256318")</f>
        <v>0</v>
      </c>
    </row>
    <row r="853" spans="1:5">
      <c r="A853">
        <f>IF(COUNTBLANK(B853:E853)&lt;&gt;COLUMNS(B853:E853),852,"")</f>
        <v>0</v>
      </c>
      <c r="C853" s="1">
        <f>IF(B853="", "", "other")</f>
        <v>0</v>
      </c>
      <c r="D853" s="1">
        <f>IF(B853="", "", "metagenome")</f>
        <v>0</v>
      </c>
      <c r="E853" s="1">
        <f>IF(B853="", "", "256318")</f>
        <v>0</v>
      </c>
    </row>
    <row r="854" spans="1:5">
      <c r="A854">
        <f>IF(COUNTBLANK(B854:E854)&lt;&gt;COLUMNS(B854:E854),853,"")</f>
        <v>0</v>
      </c>
      <c r="C854" s="1">
        <f>IF(B854="", "", "other")</f>
        <v>0</v>
      </c>
      <c r="D854" s="1">
        <f>IF(B854="", "", "metagenome")</f>
        <v>0</v>
      </c>
      <c r="E854" s="1">
        <f>IF(B854="", "", "256318")</f>
        <v>0</v>
      </c>
    </row>
    <row r="855" spans="1:5">
      <c r="A855">
        <f>IF(COUNTBLANK(B855:E855)&lt;&gt;COLUMNS(B855:E855),854,"")</f>
        <v>0</v>
      </c>
      <c r="C855" s="1">
        <f>IF(B855="", "", "other")</f>
        <v>0</v>
      </c>
      <c r="D855" s="1">
        <f>IF(B855="", "", "metagenome")</f>
        <v>0</v>
      </c>
      <c r="E855" s="1">
        <f>IF(B855="", "", "256318")</f>
        <v>0</v>
      </c>
    </row>
    <row r="856" spans="1:5">
      <c r="A856">
        <f>IF(COUNTBLANK(B856:E856)&lt;&gt;COLUMNS(B856:E856),855,"")</f>
        <v>0</v>
      </c>
      <c r="C856" s="1">
        <f>IF(B856="", "", "other")</f>
        <v>0</v>
      </c>
      <c r="D856" s="1">
        <f>IF(B856="", "", "metagenome")</f>
        <v>0</v>
      </c>
      <c r="E856" s="1">
        <f>IF(B856="", "", "256318")</f>
        <v>0</v>
      </c>
    </row>
    <row r="857" spans="1:5">
      <c r="A857">
        <f>IF(COUNTBLANK(B857:E857)&lt;&gt;COLUMNS(B857:E857),856,"")</f>
        <v>0</v>
      </c>
      <c r="C857" s="1">
        <f>IF(B857="", "", "other")</f>
        <v>0</v>
      </c>
      <c r="D857" s="1">
        <f>IF(B857="", "", "metagenome")</f>
        <v>0</v>
      </c>
      <c r="E857" s="1">
        <f>IF(B857="", "", "256318")</f>
        <v>0</v>
      </c>
    </row>
    <row r="858" spans="1:5">
      <c r="A858">
        <f>IF(COUNTBLANK(B858:E858)&lt;&gt;COLUMNS(B858:E858),857,"")</f>
        <v>0</v>
      </c>
      <c r="C858" s="1">
        <f>IF(B858="", "", "other")</f>
        <v>0</v>
      </c>
      <c r="D858" s="1">
        <f>IF(B858="", "", "metagenome")</f>
        <v>0</v>
      </c>
      <c r="E858" s="1">
        <f>IF(B858="", "", "256318")</f>
        <v>0</v>
      </c>
    </row>
    <row r="859" spans="1:5">
      <c r="A859">
        <f>IF(COUNTBLANK(B859:E859)&lt;&gt;COLUMNS(B859:E859),858,"")</f>
        <v>0</v>
      </c>
      <c r="C859" s="1">
        <f>IF(B859="", "", "other")</f>
        <v>0</v>
      </c>
      <c r="D859" s="1">
        <f>IF(B859="", "", "metagenome")</f>
        <v>0</v>
      </c>
      <c r="E859" s="1">
        <f>IF(B859="", "", "256318")</f>
        <v>0</v>
      </c>
    </row>
    <row r="860" spans="1:5">
      <c r="A860">
        <f>IF(COUNTBLANK(B860:E860)&lt;&gt;COLUMNS(B860:E860),859,"")</f>
        <v>0</v>
      </c>
      <c r="C860" s="1">
        <f>IF(B860="", "", "other")</f>
        <v>0</v>
      </c>
      <c r="D860" s="1">
        <f>IF(B860="", "", "metagenome")</f>
        <v>0</v>
      </c>
      <c r="E860" s="1">
        <f>IF(B860="", "", "256318")</f>
        <v>0</v>
      </c>
    </row>
    <row r="861" spans="1:5">
      <c r="A861">
        <f>IF(COUNTBLANK(B861:E861)&lt;&gt;COLUMNS(B861:E861),860,"")</f>
        <v>0</v>
      </c>
      <c r="C861" s="1">
        <f>IF(B861="", "", "other")</f>
        <v>0</v>
      </c>
      <c r="D861" s="1">
        <f>IF(B861="", "", "metagenome")</f>
        <v>0</v>
      </c>
      <c r="E861" s="1">
        <f>IF(B861="", "", "256318")</f>
        <v>0</v>
      </c>
    </row>
    <row r="862" spans="1:5">
      <c r="A862">
        <f>IF(COUNTBLANK(B862:E862)&lt;&gt;COLUMNS(B862:E862),861,"")</f>
        <v>0</v>
      </c>
      <c r="C862" s="1">
        <f>IF(B862="", "", "other")</f>
        <v>0</v>
      </c>
      <c r="D862" s="1">
        <f>IF(B862="", "", "metagenome")</f>
        <v>0</v>
      </c>
      <c r="E862" s="1">
        <f>IF(B862="", "", "256318")</f>
        <v>0</v>
      </c>
    </row>
    <row r="863" spans="1:5">
      <c r="A863">
        <f>IF(COUNTBLANK(B863:E863)&lt;&gt;COLUMNS(B863:E863),862,"")</f>
        <v>0</v>
      </c>
      <c r="C863" s="1">
        <f>IF(B863="", "", "other")</f>
        <v>0</v>
      </c>
      <c r="D863" s="1">
        <f>IF(B863="", "", "metagenome")</f>
        <v>0</v>
      </c>
      <c r="E863" s="1">
        <f>IF(B863="", "", "256318")</f>
        <v>0</v>
      </c>
    </row>
    <row r="864" spans="1:5">
      <c r="A864">
        <f>IF(COUNTBLANK(B864:E864)&lt;&gt;COLUMNS(B864:E864),863,"")</f>
        <v>0</v>
      </c>
      <c r="C864" s="1">
        <f>IF(B864="", "", "other")</f>
        <v>0</v>
      </c>
      <c r="D864" s="1">
        <f>IF(B864="", "", "metagenome")</f>
        <v>0</v>
      </c>
      <c r="E864" s="1">
        <f>IF(B864="", "", "256318")</f>
        <v>0</v>
      </c>
    </row>
    <row r="865" spans="1:5">
      <c r="A865">
        <f>IF(COUNTBLANK(B865:E865)&lt;&gt;COLUMNS(B865:E865),864,"")</f>
        <v>0</v>
      </c>
      <c r="C865" s="1">
        <f>IF(B865="", "", "other")</f>
        <v>0</v>
      </c>
      <c r="D865" s="1">
        <f>IF(B865="", "", "metagenome")</f>
        <v>0</v>
      </c>
      <c r="E865" s="1">
        <f>IF(B865="", "", "256318")</f>
        <v>0</v>
      </c>
    </row>
    <row r="866" spans="1:5">
      <c r="A866">
        <f>IF(COUNTBLANK(B866:E866)&lt;&gt;COLUMNS(B866:E866),865,"")</f>
        <v>0</v>
      </c>
      <c r="C866" s="1">
        <f>IF(B866="", "", "other")</f>
        <v>0</v>
      </c>
      <c r="D866" s="1">
        <f>IF(B866="", "", "metagenome")</f>
        <v>0</v>
      </c>
      <c r="E866" s="1">
        <f>IF(B866="", "", "256318")</f>
        <v>0</v>
      </c>
    </row>
    <row r="867" spans="1:5">
      <c r="A867">
        <f>IF(COUNTBLANK(B867:E867)&lt;&gt;COLUMNS(B867:E867),866,"")</f>
        <v>0</v>
      </c>
      <c r="C867" s="1">
        <f>IF(B867="", "", "other")</f>
        <v>0</v>
      </c>
      <c r="D867" s="1">
        <f>IF(B867="", "", "metagenome")</f>
        <v>0</v>
      </c>
      <c r="E867" s="1">
        <f>IF(B867="", "", "256318")</f>
        <v>0</v>
      </c>
    </row>
    <row r="868" spans="1:5">
      <c r="A868">
        <f>IF(COUNTBLANK(B868:E868)&lt;&gt;COLUMNS(B868:E868),867,"")</f>
        <v>0</v>
      </c>
      <c r="C868" s="1">
        <f>IF(B868="", "", "other")</f>
        <v>0</v>
      </c>
      <c r="D868" s="1">
        <f>IF(B868="", "", "metagenome")</f>
        <v>0</v>
      </c>
      <c r="E868" s="1">
        <f>IF(B868="", "", "256318")</f>
        <v>0</v>
      </c>
    </row>
    <row r="869" spans="1:5">
      <c r="A869">
        <f>IF(COUNTBLANK(B869:E869)&lt;&gt;COLUMNS(B869:E869),868,"")</f>
        <v>0</v>
      </c>
      <c r="C869" s="1">
        <f>IF(B869="", "", "other")</f>
        <v>0</v>
      </c>
      <c r="D869" s="1">
        <f>IF(B869="", "", "metagenome")</f>
        <v>0</v>
      </c>
      <c r="E869" s="1">
        <f>IF(B869="", "", "256318")</f>
        <v>0</v>
      </c>
    </row>
    <row r="870" spans="1:5">
      <c r="A870">
        <f>IF(COUNTBLANK(B870:E870)&lt;&gt;COLUMNS(B870:E870),869,"")</f>
        <v>0</v>
      </c>
      <c r="C870" s="1">
        <f>IF(B870="", "", "other")</f>
        <v>0</v>
      </c>
      <c r="D870" s="1">
        <f>IF(B870="", "", "metagenome")</f>
        <v>0</v>
      </c>
      <c r="E870" s="1">
        <f>IF(B870="", "", "256318")</f>
        <v>0</v>
      </c>
    </row>
    <row r="871" spans="1:5">
      <c r="A871">
        <f>IF(COUNTBLANK(B871:E871)&lt;&gt;COLUMNS(B871:E871),870,"")</f>
        <v>0</v>
      </c>
      <c r="C871" s="1">
        <f>IF(B871="", "", "other")</f>
        <v>0</v>
      </c>
      <c r="D871" s="1">
        <f>IF(B871="", "", "metagenome")</f>
        <v>0</v>
      </c>
      <c r="E871" s="1">
        <f>IF(B871="", "", "256318")</f>
        <v>0</v>
      </c>
    </row>
    <row r="872" spans="1:5">
      <c r="A872">
        <f>IF(COUNTBLANK(B872:E872)&lt;&gt;COLUMNS(B872:E872),871,"")</f>
        <v>0</v>
      </c>
      <c r="C872" s="1">
        <f>IF(B872="", "", "other")</f>
        <v>0</v>
      </c>
      <c r="D872" s="1">
        <f>IF(B872="", "", "metagenome")</f>
        <v>0</v>
      </c>
      <c r="E872" s="1">
        <f>IF(B872="", "", "256318")</f>
        <v>0</v>
      </c>
    </row>
    <row r="873" spans="1:5">
      <c r="A873">
        <f>IF(COUNTBLANK(B873:E873)&lt;&gt;COLUMNS(B873:E873),872,"")</f>
        <v>0</v>
      </c>
      <c r="C873" s="1">
        <f>IF(B873="", "", "other")</f>
        <v>0</v>
      </c>
      <c r="D873" s="1">
        <f>IF(B873="", "", "metagenome")</f>
        <v>0</v>
      </c>
      <c r="E873" s="1">
        <f>IF(B873="", "", "256318")</f>
        <v>0</v>
      </c>
    </row>
    <row r="874" spans="1:5">
      <c r="A874">
        <f>IF(COUNTBLANK(B874:E874)&lt;&gt;COLUMNS(B874:E874),873,"")</f>
        <v>0</v>
      </c>
      <c r="C874" s="1">
        <f>IF(B874="", "", "other")</f>
        <v>0</v>
      </c>
      <c r="D874" s="1">
        <f>IF(B874="", "", "metagenome")</f>
        <v>0</v>
      </c>
      <c r="E874" s="1">
        <f>IF(B874="", "", "256318")</f>
        <v>0</v>
      </c>
    </row>
    <row r="875" spans="1:5">
      <c r="A875">
        <f>IF(COUNTBLANK(B875:E875)&lt;&gt;COLUMNS(B875:E875),874,"")</f>
        <v>0</v>
      </c>
      <c r="C875" s="1">
        <f>IF(B875="", "", "other")</f>
        <v>0</v>
      </c>
      <c r="D875" s="1">
        <f>IF(B875="", "", "metagenome")</f>
        <v>0</v>
      </c>
      <c r="E875" s="1">
        <f>IF(B875="", "", "256318")</f>
        <v>0</v>
      </c>
    </row>
    <row r="876" spans="1:5">
      <c r="A876">
        <f>IF(COUNTBLANK(B876:E876)&lt;&gt;COLUMNS(B876:E876),875,"")</f>
        <v>0</v>
      </c>
      <c r="C876" s="1">
        <f>IF(B876="", "", "other")</f>
        <v>0</v>
      </c>
      <c r="D876" s="1">
        <f>IF(B876="", "", "metagenome")</f>
        <v>0</v>
      </c>
      <c r="E876" s="1">
        <f>IF(B876="", "", "256318")</f>
        <v>0</v>
      </c>
    </row>
    <row r="877" spans="1:5">
      <c r="A877">
        <f>IF(COUNTBLANK(B877:E877)&lt;&gt;COLUMNS(B877:E877),876,"")</f>
        <v>0</v>
      </c>
      <c r="C877" s="1">
        <f>IF(B877="", "", "other")</f>
        <v>0</v>
      </c>
      <c r="D877" s="1">
        <f>IF(B877="", "", "metagenome")</f>
        <v>0</v>
      </c>
      <c r="E877" s="1">
        <f>IF(B877="", "", "256318")</f>
        <v>0</v>
      </c>
    </row>
    <row r="878" spans="1:5">
      <c r="A878">
        <f>IF(COUNTBLANK(B878:E878)&lt;&gt;COLUMNS(B878:E878),877,"")</f>
        <v>0</v>
      </c>
      <c r="C878" s="1">
        <f>IF(B878="", "", "other")</f>
        <v>0</v>
      </c>
      <c r="D878" s="1">
        <f>IF(B878="", "", "metagenome")</f>
        <v>0</v>
      </c>
      <c r="E878" s="1">
        <f>IF(B878="", "", "256318")</f>
        <v>0</v>
      </c>
    </row>
    <row r="879" spans="1:5">
      <c r="A879">
        <f>IF(COUNTBLANK(B879:E879)&lt;&gt;COLUMNS(B879:E879),878,"")</f>
        <v>0</v>
      </c>
      <c r="C879" s="1">
        <f>IF(B879="", "", "other")</f>
        <v>0</v>
      </c>
      <c r="D879" s="1">
        <f>IF(B879="", "", "metagenome")</f>
        <v>0</v>
      </c>
      <c r="E879" s="1">
        <f>IF(B879="", "", "256318")</f>
        <v>0</v>
      </c>
    </row>
    <row r="880" spans="1:5">
      <c r="A880">
        <f>IF(COUNTBLANK(B880:E880)&lt;&gt;COLUMNS(B880:E880),879,"")</f>
        <v>0</v>
      </c>
      <c r="C880" s="1">
        <f>IF(B880="", "", "other")</f>
        <v>0</v>
      </c>
      <c r="D880" s="1">
        <f>IF(B880="", "", "metagenome")</f>
        <v>0</v>
      </c>
      <c r="E880" s="1">
        <f>IF(B880="", "", "256318")</f>
        <v>0</v>
      </c>
    </row>
    <row r="881" spans="1:5">
      <c r="A881">
        <f>IF(COUNTBLANK(B881:E881)&lt;&gt;COLUMNS(B881:E881),880,"")</f>
        <v>0</v>
      </c>
      <c r="C881" s="1">
        <f>IF(B881="", "", "other")</f>
        <v>0</v>
      </c>
      <c r="D881" s="1">
        <f>IF(B881="", "", "metagenome")</f>
        <v>0</v>
      </c>
      <c r="E881" s="1">
        <f>IF(B881="", "", "256318")</f>
        <v>0</v>
      </c>
    </row>
    <row r="882" spans="1:5">
      <c r="A882">
        <f>IF(COUNTBLANK(B882:E882)&lt;&gt;COLUMNS(B882:E882),881,"")</f>
        <v>0</v>
      </c>
      <c r="C882" s="1">
        <f>IF(B882="", "", "other")</f>
        <v>0</v>
      </c>
      <c r="D882" s="1">
        <f>IF(B882="", "", "metagenome")</f>
        <v>0</v>
      </c>
      <c r="E882" s="1">
        <f>IF(B882="", "", "256318")</f>
        <v>0</v>
      </c>
    </row>
    <row r="883" spans="1:5">
      <c r="A883">
        <f>IF(COUNTBLANK(B883:E883)&lt;&gt;COLUMNS(B883:E883),882,"")</f>
        <v>0</v>
      </c>
      <c r="C883" s="1">
        <f>IF(B883="", "", "other")</f>
        <v>0</v>
      </c>
      <c r="D883" s="1">
        <f>IF(B883="", "", "metagenome")</f>
        <v>0</v>
      </c>
      <c r="E883" s="1">
        <f>IF(B883="", "", "256318")</f>
        <v>0</v>
      </c>
    </row>
    <row r="884" spans="1:5">
      <c r="A884">
        <f>IF(COUNTBLANK(B884:E884)&lt;&gt;COLUMNS(B884:E884),883,"")</f>
        <v>0</v>
      </c>
      <c r="C884" s="1">
        <f>IF(B884="", "", "other")</f>
        <v>0</v>
      </c>
      <c r="D884" s="1">
        <f>IF(B884="", "", "metagenome")</f>
        <v>0</v>
      </c>
      <c r="E884" s="1">
        <f>IF(B884="", "", "256318")</f>
        <v>0</v>
      </c>
    </row>
    <row r="885" spans="1:5">
      <c r="A885">
        <f>IF(COUNTBLANK(B885:E885)&lt;&gt;COLUMNS(B885:E885),884,"")</f>
        <v>0</v>
      </c>
      <c r="C885" s="1">
        <f>IF(B885="", "", "other")</f>
        <v>0</v>
      </c>
      <c r="D885" s="1">
        <f>IF(B885="", "", "metagenome")</f>
        <v>0</v>
      </c>
      <c r="E885" s="1">
        <f>IF(B885="", "", "256318")</f>
        <v>0</v>
      </c>
    </row>
    <row r="886" spans="1:5">
      <c r="A886">
        <f>IF(COUNTBLANK(B886:E886)&lt;&gt;COLUMNS(B886:E886),885,"")</f>
        <v>0</v>
      </c>
      <c r="C886" s="1">
        <f>IF(B886="", "", "other")</f>
        <v>0</v>
      </c>
      <c r="D886" s="1">
        <f>IF(B886="", "", "metagenome")</f>
        <v>0</v>
      </c>
      <c r="E886" s="1">
        <f>IF(B886="", "", "256318")</f>
        <v>0</v>
      </c>
    </row>
    <row r="887" spans="1:5">
      <c r="A887">
        <f>IF(COUNTBLANK(B887:E887)&lt;&gt;COLUMNS(B887:E887),886,"")</f>
        <v>0</v>
      </c>
      <c r="C887" s="1">
        <f>IF(B887="", "", "other")</f>
        <v>0</v>
      </c>
      <c r="D887" s="1">
        <f>IF(B887="", "", "metagenome")</f>
        <v>0</v>
      </c>
      <c r="E887" s="1">
        <f>IF(B887="", "", "256318")</f>
        <v>0</v>
      </c>
    </row>
    <row r="888" spans="1:5">
      <c r="A888">
        <f>IF(COUNTBLANK(B888:E888)&lt;&gt;COLUMNS(B888:E888),887,"")</f>
        <v>0</v>
      </c>
      <c r="C888" s="1">
        <f>IF(B888="", "", "other")</f>
        <v>0</v>
      </c>
      <c r="D888" s="1">
        <f>IF(B888="", "", "metagenome")</f>
        <v>0</v>
      </c>
      <c r="E888" s="1">
        <f>IF(B888="", "", "256318")</f>
        <v>0</v>
      </c>
    </row>
    <row r="889" spans="1:5">
      <c r="A889">
        <f>IF(COUNTBLANK(B889:E889)&lt;&gt;COLUMNS(B889:E889),888,"")</f>
        <v>0</v>
      </c>
      <c r="C889" s="1">
        <f>IF(B889="", "", "other")</f>
        <v>0</v>
      </c>
      <c r="D889" s="1">
        <f>IF(B889="", "", "metagenome")</f>
        <v>0</v>
      </c>
      <c r="E889" s="1">
        <f>IF(B889="", "", "256318")</f>
        <v>0</v>
      </c>
    </row>
    <row r="890" spans="1:5">
      <c r="A890">
        <f>IF(COUNTBLANK(B890:E890)&lt;&gt;COLUMNS(B890:E890),889,"")</f>
        <v>0</v>
      </c>
      <c r="C890" s="1">
        <f>IF(B890="", "", "other")</f>
        <v>0</v>
      </c>
      <c r="D890" s="1">
        <f>IF(B890="", "", "metagenome")</f>
        <v>0</v>
      </c>
      <c r="E890" s="1">
        <f>IF(B890="", "", "256318")</f>
        <v>0</v>
      </c>
    </row>
    <row r="891" spans="1:5">
      <c r="A891">
        <f>IF(COUNTBLANK(B891:E891)&lt;&gt;COLUMNS(B891:E891),890,"")</f>
        <v>0</v>
      </c>
      <c r="C891" s="1">
        <f>IF(B891="", "", "other")</f>
        <v>0</v>
      </c>
      <c r="D891" s="1">
        <f>IF(B891="", "", "metagenome")</f>
        <v>0</v>
      </c>
      <c r="E891" s="1">
        <f>IF(B891="", "", "256318")</f>
        <v>0</v>
      </c>
    </row>
    <row r="892" spans="1:5">
      <c r="A892">
        <f>IF(COUNTBLANK(B892:E892)&lt;&gt;COLUMNS(B892:E892),891,"")</f>
        <v>0</v>
      </c>
      <c r="C892" s="1">
        <f>IF(B892="", "", "other")</f>
        <v>0</v>
      </c>
      <c r="D892" s="1">
        <f>IF(B892="", "", "metagenome")</f>
        <v>0</v>
      </c>
      <c r="E892" s="1">
        <f>IF(B892="", "", "256318")</f>
        <v>0</v>
      </c>
    </row>
    <row r="893" spans="1:5">
      <c r="A893">
        <f>IF(COUNTBLANK(B893:E893)&lt;&gt;COLUMNS(B893:E893),892,"")</f>
        <v>0</v>
      </c>
      <c r="C893" s="1">
        <f>IF(B893="", "", "other")</f>
        <v>0</v>
      </c>
      <c r="D893" s="1">
        <f>IF(B893="", "", "metagenome")</f>
        <v>0</v>
      </c>
      <c r="E893" s="1">
        <f>IF(B893="", "", "256318")</f>
        <v>0</v>
      </c>
    </row>
    <row r="894" spans="1:5">
      <c r="A894">
        <f>IF(COUNTBLANK(B894:E894)&lt;&gt;COLUMNS(B894:E894),893,"")</f>
        <v>0</v>
      </c>
      <c r="C894" s="1">
        <f>IF(B894="", "", "other")</f>
        <v>0</v>
      </c>
      <c r="D894" s="1">
        <f>IF(B894="", "", "metagenome")</f>
        <v>0</v>
      </c>
      <c r="E894" s="1">
        <f>IF(B894="", "", "256318")</f>
        <v>0</v>
      </c>
    </row>
    <row r="895" spans="1:5">
      <c r="A895">
        <f>IF(COUNTBLANK(B895:E895)&lt;&gt;COLUMNS(B895:E895),894,"")</f>
        <v>0</v>
      </c>
      <c r="C895" s="1">
        <f>IF(B895="", "", "other")</f>
        <v>0</v>
      </c>
      <c r="D895" s="1">
        <f>IF(B895="", "", "metagenome")</f>
        <v>0</v>
      </c>
      <c r="E895" s="1">
        <f>IF(B895="", "", "256318")</f>
        <v>0</v>
      </c>
    </row>
    <row r="896" spans="1:5">
      <c r="A896">
        <f>IF(COUNTBLANK(B896:E896)&lt;&gt;COLUMNS(B896:E896),895,"")</f>
        <v>0</v>
      </c>
      <c r="C896" s="1">
        <f>IF(B896="", "", "other")</f>
        <v>0</v>
      </c>
      <c r="D896" s="1">
        <f>IF(B896="", "", "metagenome")</f>
        <v>0</v>
      </c>
      <c r="E896" s="1">
        <f>IF(B896="", "", "256318")</f>
        <v>0</v>
      </c>
    </row>
    <row r="897" spans="1:5">
      <c r="A897">
        <f>IF(COUNTBLANK(B897:E897)&lt;&gt;COLUMNS(B897:E897),896,"")</f>
        <v>0</v>
      </c>
      <c r="C897" s="1">
        <f>IF(B897="", "", "other")</f>
        <v>0</v>
      </c>
      <c r="D897" s="1">
        <f>IF(B897="", "", "metagenome")</f>
        <v>0</v>
      </c>
      <c r="E897" s="1">
        <f>IF(B897="", "", "256318")</f>
        <v>0</v>
      </c>
    </row>
    <row r="898" spans="1:5">
      <c r="A898">
        <f>IF(COUNTBLANK(B898:E898)&lt;&gt;COLUMNS(B898:E898),897,"")</f>
        <v>0</v>
      </c>
      <c r="C898" s="1">
        <f>IF(B898="", "", "other")</f>
        <v>0</v>
      </c>
      <c r="D898" s="1">
        <f>IF(B898="", "", "metagenome")</f>
        <v>0</v>
      </c>
      <c r="E898" s="1">
        <f>IF(B898="", "", "256318")</f>
        <v>0</v>
      </c>
    </row>
    <row r="899" spans="1:5">
      <c r="A899">
        <f>IF(COUNTBLANK(B899:E899)&lt;&gt;COLUMNS(B899:E899),898,"")</f>
        <v>0</v>
      </c>
      <c r="C899" s="1">
        <f>IF(B899="", "", "other")</f>
        <v>0</v>
      </c>
      <c r="D899" s="1">
        <f>IF(B899="", "", "metagenome")</f>
        <v>0</v>
      </c>
      <c r="E899" s="1">
        <f>IF(B899="", "", "256318")</f>
        <v>0</v>
      </c>
    </row>
    <row r="900" spans="1:5">
      <c r="A900">
        <f>IF(COUNTBLANK(B900:E900)&lt;&gt;COLUMNS(B900:E900),899,"")</f>
        <v>0</v>
      </c>
      <c r="C900" s="1">
        <f>IF(B900="", "", "other")</f>
        <v>0</v>
      </c>
      <c r="D900" s="1">
        <f>IF(B900="", "", "metagenome")</f>
        <v>0</v>
      </c>
      <c r="E900" s="1">
        <f>IF(B900="", "", "256318")</f>
        <v>0</v>
      </c>
    </row>
    <row r="901" spans="1:5">
      <c r="A901">
        <f>IF(COUNTBLANK(B901:E901)&lt;&gt;COLUMNS(B901:E901),900,"")</f>
        <v>0</v>
      </c>
      <c r="C901" s="1">
        <f>IF(B901="", "", "other")</f>
        <v>0</v>
      </c>
      <c r="D901" s="1">
        <f>IF(B901="", "", "metagenome")</f>
        <v>0</v>
      </c>
      <c r="E901" s="1">
        <f>IF(B901="", "", "256318")</f>
        <v>0</v>
      </c>
    </row>
    <row r="902" spans="1:5">
      <c r="A902">
        <f>IF(COUNTBLANK(B902:E902)&lt;&gt;COLUMNS(B902:E902),901,"")</f>
        <v>0</v>
      </c>
      <c r="C902" s="1">
        <f>IF(B902="", "", "other")</f>
        <v>0</v>
      </c>
      <c r="D902" s="1">
        <f>IF(B902="", "", "metagenome")</f>
        <v>0</v>
      </c>
      <c r="E902" s="1">
        <f>IF(B902="", "", "256318")</f>
        <v>0</v>
      </c>
    </row>
    <row r="903" spans="1:5">
      <c r="A903">
        <f>IF(COUNTBLANK(B903:E903)&lt;&gt;COLUMNS(B903:E903),902,"")</f>
        <v>0</v>
      </c>
      <c r="C903" s="1">
        <f>IF(B903="", "", "other")</f>
        <v>0</v>
      </c>
      <c r="D903" s="1">
        <f>IF(B903="", "", "metagenome")</f>
        <v>0</v>
      </c>
      <c r="E903" s="1">
        <f>IF(B903="", "", "256318")</f>
        <v>0</v>
      </c>
    </row>
    <row r="904" spans="1:5">
      <c r="A904">
        <f>IF(COUNTBLANK(B904:E904)&lt;&gt;COLUMNS(B904:E904),903,"")</f>
        <v>0</v>
      </c>
      <c r="C904" s="1">
        <f>IF(B904="", "", "other")</f>
        <v>0</v>
      </c>
      <c r="D904" s="1">
        <f>IF(B904="", "", "metagenome")</f>
        <v>0</v>
      </c>
      <c r="E904" s="1">
        <f>IF(B904="", "", "256318")</f>
        <v>0</v>
      </c>
    </row>
    <row r="905" spans="1:5">
      <c r="A905">
        <f>IF(COUNTBLANK(B905:E905)&lt;&gt;COLUMNS(B905:E905),904,"")</f>
        <v>0</v>
      </c>
      <c r="C905" s="1">
        <f>IF(B905="", "", "other")</f>
        <v>0</v>
      </c>
      <c r="D905" s="1">
        <f>IF(B905="", "", "metagenome")</f>
        <v>0</v>
      </c>
      <c r="E905" s="1">
        <f>IF(B905="", "", "256318")</f>
        <v>0</v>
      </c>
    </row>
    <row r="906" spans="1:5">
      <c r="A906">
        <f>IF(COUNTBLANK(B906:E906)&lt;&gt;COLUMNS(B906:E906),905,"")</f>
        <v>0</v>
      </c>
      <c r="C906" s="1">
        <f>IF(B906="", "", "other")</f>
        <v>0</v>
      </c>
      <c r="D906" s="1">
        <f>IF(B906="", "", "metagenome")</f>
        <v>0</v>
      </c>
      <c r="E906" s="1">
        <f>IF(B906="", "", "256318")</f>
        <v>0</v>
      </c>
    </row>
    <row r="907" spans="1:5">
      <c r="A907">
        <f>IF(COUNTBLANK(B907:E907)&lt;&gt;COLUMNS(B907:E907),906,"")</f>
        <v>0</v>
      </c>
      <c r="C907" s="1">
        <f>IF(B907="", "", "other")</f>
        <v>0</v>
      </c>
      <c r="D907" s="1">
        <f>IF(B907="", "", "metagenome")</f>
        <v>0</v>
      </c>
      <c r="E907" s="1">
        <f>IF(B907="", "", "256318")</f>
        <v>0</v>
      </c>
    </row>
    <row r="908" spans="1:5">
      <c r="A908">
        <f>IF(COUNTBLANK(B908:E908)&lt;&gt;COLUMNS(B908:E908),907,"")</f>
        <v>0</v>
      </c>
      <c r="C908" s="1">
        <f>IF(B908="", "", "other")</f>
        <v>0</v>
      </c>
      <c r="D908" s="1">
        <f>IF(B908="", "", "metagenome")</f>
        <v>0</v>
      </c>
      <c r="E908" s="1">
        <f>IF(B908="", "", "256318")</f>
        <v>0</v>
      </c>
    </row>
    <row r="909" spans="1:5">
      <c r="A909">
        <f>IF(COUNTBLANK(B909:E909)&lt;&gt;COLUMNS(B909:E909),908,"")</f>
        <v>0</v>
      </c>
      <c r="C909" s="1">
        <f>IF(B909="", "", "other")</f>
        <v>0</v>
      </c>
      <c r="D909" s="1">
        <f>IF(B909="", "", "metagenome")</f>
        <v>0</v>
      </c>
      <c r="E909" s="1">
        <f>IF(B909="", "", "256318")</f>
        <v>0</v>
      </c>
    </row>
    <row r="910" spans="1:5">
      <c r="A910">
        <f>IF(COUNTBLANK(B910:E910)&lt;&gt;COLUMNS(B910:E910),909,"")</f>
        <v>0</v>
      </c>
      <c r="C910" s="1">
        <f>IF(B910="", "", "other")</f>
        <v>0</v>
      </c>
      <c r="D910" s="1">
        <f>IF(B910="", "", "metagenome")</f>
        <v>0</v>
      </c>
      <c r="E910" s="1">
        <f>IF(B910="", "", "256318")</f>
        <v>0</v>
      </c>
    </row>
    <row r="911" spans="1:5">
      <c r="A911">
        <f>IF(COUNTBLANK(B911:E911)&lt;&gt;COLUMNS(B911:E911),910,"")</f>
        <v>0</v>
      </c>
      <c r="C911" s="1">
        <f>IF(B911="", "", "other")</f>
        <v>0</v>
      </c>
      <c r="D911" s="1">
        <f>IF(B911="", "", "metagenome")</f>
        <v>0</v>
      </c>
      <c r="E911" s="1">
        <f>IF(B911="", "", "256318")</f>
        <v>0</v>
      </c>
    </row>
    <row r="912" spans="1:5">
      <c r="A912">
        <f>IF(COUNTBLANK(B912:E912)&lt;&gt;COLUMNS(B912:E912),911,"")</f>
        <v>0</v>
      </c>
      <c r="C912" s="1">
        <f>IF(B912="", "", "other")</f>
        <v>0</v>
      </c>
      <c r="D912" s="1">
        <f>IF(B912="", "", "metagenome")</f>
        <v>0</v>
      </c>
      <c r="E912" s="1">
        <f>IF(B912="", "", "256318")</f>
        <v>0</v>
      </c>
    </row>
    <row r="913" spans="1:5">
      <c r="A913">
        <f>IF(COUNTBLANK(B913:E913)&lt;&gt;COLUMNS(B913:E913),912,"")</f>
        <v>0</v>
      </c>
      <c r="C913" s="1">
        <f>IF(B913="", "", "other")</f>
        <v>0</v>
      </c>
      <c r="D913" s="1">
        <f>IF(B913="", "", "metagenome")</f>
        <v>0</v>
      </c>
      <c r="E913" s="1">
        <f>IF(B913="", "", "256318")</f>
        <v>0</v>
      </c>
    </row>
    <row r="914" spans="1:5">
      <c r="A914">
        <f>IF(COUNTBLANK(B914:E914)&lt;&gt;COLUMNS(B914:E914),913,"")</f>
        <v>0</v>
      </c>
      <c r="C914" s="1">
        <f>IF(B914="", "", "other")</f>
        <v>0</v>
      </c>
      <c r="D914" s="1">
        <f>IF(B914="", "", "metagenome")</f>
        <v>0</v>
      </c>
      <c r="E914" s="1">
        <f>IF(B914="", "", "256318")</f>
        <v>0</v>
      </c>
    </row>
    <row r="915" spans="1:5">
      <c r="A915">
        <f>IF(COUNTBLANK(B915:E915)&lt;&gt;COLUMNS(B915:E915),914,"")</f>
        <v>0</v>
      </c>
      <c r="C915" s="1">
        <f>IF(B915="", "", "other")</f>
        <v>0</v>
      </c>
      <c r="D915" s="1">
        <f>IF(B915="", "", "metagenome")</f>
        <v>0</v>
      </c>
      <c r="E915" s="1">
        <f>IF(B915="", "", "256318")</f>
        <v>0</v>
      </c>
    </row>
    <row r="916" spans="1:5">
      <c r="A916">
        <f>IF(COUNTBLANK(B916:E916)&lt;&gt;COLUMNS(B916:E916),915,"")</f>
        <v>0</v>
      </c>
      <c r="C916" s="1">
        <f>IF(B916="", "", "other")</f>
        <v>0</v>
      </c>
      <c r="D916" s="1">
        <f>IF(B916="", "", "metagenome")</f>
        <v>0</v>
      </c>
      <c r="E916" s="1">
        <f>IF(B916="", "", "256318")</f>
        <v>0</v>
      </c>
    </row>
    <row r="917" spans="1:5">
      <c r="A917">
        <f>IF(COUNTBLANK(B917:E917)&lt;&gt;COLUMNS(B917:E917),916,"")</f>
        <v>0</v>
      </c>
      <c r="C917" s="1">
        <f>IF(B917="", "", "other")</f>
        <v>0</v>
      </c>
      <c r="D917" s="1">
        <f>IF(B917="", "", "metagenome")</f>
        <v>0</v>
      </c>
      <c r="E917" s="1">
        <f>IF(B917="", "", "256318")</f>
        <v>0</v>
      </c>
    </row>
    <row r="918" spans="1:5">
      <c r="A918">
        <f>IF(COUNTBLANK(B918:E918)&lt;&gt;COLUMNS(B918:E918),917,"")</f>
        <v>0</v>
      </c>
      <c r="C918" s="1">
        <f>IF(B918="", "", "other")</f>
        <v>0</v>
      </c>
      <c r="D918" s="1">
        <f>IF(B918="", "", "metagenome")</f>
        <v>0</v>
      </c>
      <c r="E918" s="1">
        <f>IF(B918="", "", "256318")</f>
        <v>0</v>
      </c>
    </row>
    <row r="919" spans="1:5">
      <c r="A919">
        <f>IF(COUNTBLANK(B919:E919)&lt;&gt;COLUMNS(B919:E919),918,"")</f>
        <v>0</v>
      </c>
      <c r="C919" s="1">
        <f>IF(B919="", "", "other")</f>
        <v>0</v>
      </c>
      <c r="D919" s="1">
        <f>IF(B919="", "", "metagenome")</f>
        <v>0</v>
      </c>
      <c r="E919" s="1">
        <f>IF(B919="", "", "256318")</f>
        <v>0</v>
      </c>
    </row>
    <row r="920" spans="1:5">
      <c r="A920">
        <f>IF(COUNTBLANK(B920:E920)&lt;&gt;COLUMNS(B920:E920),919,"")</f>
        <v>0</v>
      </c>
      <c r="C920" s="1">
        <f>IF(B920="", "", "other")</f>
        <v>0</v>
      </c>
      <c r="D920" s="1">
        <f>IF(B920="", "", "metagenome")</f>
        <v>0</v>
      </c>
      <c r="E920" s="1">
        <f>IF(B920="", "", "256318")</f>
        <v>0</v>
      </c>
    </row>
    <row r="921" spans="1:5">
      <c r="A921">
        <f>IF(COUNTBLANK(B921:E921)&lt;&gt;COLUMNS(B921:E921),920,"")</f>
        <v>0</v>
      </c>
      <c r="C921" s="1">
        <f>IF(B921="", "", "other")</f>
        <v>0</v>
      </c>
      <c r="D921" s="1">
        <f>IF(B921="", "", "metagenome")</f>
        <v>0</v>
      </c>
      <c r="E921" s="1">
        <f>IF(B921="", "", "256318")</f>
        <v>0</v>
      </c>
    </row>
    <row r="922" spans="1:5">
      <c r="A922">
        <f>IF(COUNTBLANK(B922:E922)&lt;&gt;COLUMNS(B922:E922),921,"")</f>
        <v>0</v>
      </c>
      <c r="C922" s="1">
        <f>IF(B922="", "", "other")</f>
        <v>0</v>
      </c>
      <c r="D922" s="1">
        <f>IF(B922="", "", "metagenome")</f>
        <v>0</v>
      </c>
      <c r="E922" s="1">
        <f>IF(B922="", "", "256318")</f>
        <v>0</v>
      </c>
    </row>
    <row r="923" spans="1:5">
      <c r="A923">
        <f>IF(COUNTBLANK(B923:E923)&lt;&gt;COLUMNS(B923:E923),922,"")</f>
        <v>0</v>
      </c>
      <c r="C923" s="1">
        <f>IF(B923="", "", "other")</f>
        <v>0</v>
      </c>
      <c r="D923" s="1">
        <f>IF(B923="", "", "metagenome")</f>
        <v>0</v>
      </c>
      <c r="E923" s="1">
        <f>IF(B923="", "", "256318")</f>
        <v>0</v>
      </c>
    </row>
    <row r="924" spans="1:5">
      <c r="A924">
        <f>IF(COUNTBLANK(B924:E924)&lt;&gt;COLUMNS(B924:E924),923,"")</f>
        <v>0</v>
      </c>
      <c r="C924" s="1">
        <f>IF(B924="", "", "other")</f>
        <v>0</v>
      </c>
      <c r="D924" s="1">
        <f>IF(B924="", "", "metagenome")</f>
        <v>0</v>
      </c>
      <c r="E924" s="1">
        <f>IF(B924="", "", "256318")</f>
        <v>0</v>
      </c>
    </row>
    <row r="925" spans="1:5">
      <c r="A925">
        <f>IF(COUNTBLANK(B925:E925)&lt;&gt;COLUMNS(B925:E925),924,"")</f>
        <v>0</v>
      </c>
      <c r="C925" s="1">
        <f>IF(B925="", "", "other")</f>
        <v>0</v>
      </c>
      <c r="D925" s="1">
        <f>IF(B925="", "", "metagenome")</f>
        <v>0</v>
      </c>
      <c r="E925" s="1">
        <f>IF(B925="", "", "256318")</f>
        <v>0</v>
      </c>
    </row>
    <row r="926" spans="1:5">
      <c r="A926">
        <f>IF(COUNTBLANK(B926:E926)&lt;&gt;COLUMNS(B926:E926),925,"")</f>
        <v>0</v>
      </c>
      <c r="C926" s="1">
        <f>IF(B926="", "", "other")</f>
        <v>0</v>
      </c>
      <c r="D926" s="1">
        <f>IF(B926="", "", "metagenome")</f>
        <v>0</v>
      </c>
      <c r="E926" s="1">
        <f>IF(B926="", "", "256318")</f>
        <v>0</v>
      </c>
    </row>
    <row r="927" spans="1:5">
      <c r="A927">
        <f>IF(COUNTBLANK(B927:E927)&lt;&gt;COLUMNS(B927:E927),926,"")</f>
        <v>0</v>
      </c>
      <c r="C927" s="1">
        <f>IF(B927="", "", "other")</f>
        <v>0</v>
      </c>
      <c r="D927" s="1">
        <f>IF(B927="", "", "metagenome")</f>
        <v>0</v>
      </c>
      <c r="E927" s="1">
        <f>IF(B927="", "", "256318")</f>
        <v>0</v>
      </c>
    </row>
    <row r="928" spans="1:5">
      <c r="A928">
        <f>IF(COUNTBLANK(B928:E928)&lt;&gt;COLUMNS(B928:E928),927,"")</f>
        <v>0</v>
      </c>
      <c r="C928" s="1">
        <f>IF(B928="", "", "other")</f>
        <v>0</v>
      </c>
      <c r="D928" s="1">
        <f>IF(B928="", "", "metagenome")</f>
        <v>0</v>
      </c>
      <c r="E928" s="1">
        <f>IF(B928="", "", "256318")</f>
        <v>0</v>
      </c>
    </row>
    <row r="929" spans="1:5">
      <c r="A929">
        <f>IF(COUNTBLANK(B929:E929)&lt;&gt;COLUMNS(B929:E929),928,"")</f>
        <v>0</v>
      </c>
      <c r="C929" s="1">
        <f>IF(B929="", "", "other")</f>
        <v>0</v>
      </c>
      <c r="D929" s="1">
        <f>IF(B929="", "", "metagenome")</f>
        <v>0</v>
      </c>
      <c r="E929" s="1">
        <f>IF(B929="", "", "256318")</f>
        <v>0</v>
      </c>
    </row>
    <row r="930" spans="1:5">
      <c r="A930">
        <f>IF(COUNTBLANK(B930:E930)&lt;&gt;COLUMNS(B930:E930),929,"")</f>
        <v>0</v>
      </c>
      <c r="C930" s="1">
        <f>IF(B930="", "", "other")</f>
        <v>0</v>
      </c>
      <c r="D930" s="1">
        <f>IF(B930="", "", "metagenome")</f>
        <v>0</v>
      </c>
      <c r="E930" s="1">
        <f>IF(B930="", "", "256318")</f>
        <v>0</v>
      </c>
    </row>
    <row r="931" spans="1:5">
      <c r="A931">
        <f>IF(COUNTBLANK(B931:E931)&lt;&gt;COLUMNS(B931:E931),930,"")</f>
        <v>0</v>
      </c>
      <c r="C931" s="1">
        <f>IF(B931="", "", "other")</f>
        <v>0</v>
      </c>
      <c r="D931" s="1">
        <f>IF(B931="", "", "metagenome")</f>
        <v>0</v>
      </c>
      <c r="E931" s="1">
        <f>IF(B931="", "", "256318")</f>
        <v>0</v>
      </c>
    </row>
    <row r="932" spans="1:5">
      <c r="A932">
        <f>IF(COUNTBLANK(B932:E932)&lt;&gt;COLUMNS(B932:E932),931,"")</f>
        <v>0</v>
      </c>
      <c r="C932" s="1">
        <f>IF(B932="", "", "other")</f>
        <v>0</v>
      </c>
      <c r="D932" s="1">
        <f>IF(B932="", "", "metagenome")</f>
        <v>0</v>
      </c>
      <c r="E932" s="1">
        <f>IF(B932="", "", "256318")</f>
        <v>0</v>
      </c>
    </row>
    <row r="933" spans="1:5">
      <c r="A933">
        <f>IF(COUNTBLANK(B933:E933)&lt;&gt;COLUMNS(B933:E933),932,"")</f>
        <v>0</v>
      </c>
      <c r="C933" s="1">
        <f>IF(B933="", "", "other")</f>
        <v>0</v>
      </c>
      <c r="D933" s="1">
        <f>IF(B933="", "", "metagenome")</f>
        <v>0</v>
      </c>
      <c r="E933" s="1">
        <f>IF(B933="", "", "256318")</f>
        <v>0</v>
      </c>
    </row>
    <row r="934" spans="1:5">
      <c r="A934">
        <f>IF(COUNTBLANK(B934:E934)&lt;&gt;COLUMNS(B934:E934),933,"")</f>
        <v>0</v>
      </c>
      <c r="C934" s="1">
        <f>IF(B934="", "", "other")</f>
        <v>0</v>
      </c>
      <c r="D934" s="1">
        <f>IF(B934="", "", "metagenome")</f>
        <v>0</v>
      </c>
      <c r="E934" s="1">
        <f>IF(B934="", "", "256318")</f>
        <v>0</v>
      </c>
    </row>
    <row r="935" spans="1:5">
      <c r="A935">
        <f>IF(COUNTBLANK(B935:E935)&lt;&gt;COLUMNS(B935:E935),934,"")</f>
        <v>0</v>
      </c>
      <c r="C935" s="1">
        <f>IF(B935="", "", "other")</f>
        <v>0</v>
      </c>
      <c r="D935" s="1">
        <f>IF(B935="", "", "metagenome")</f>
        <v>0</v>
      </c>
      <c r="E935" s="1">
        <f>IF(B935="", "", "256318")</f>
        <v>0</v>
      </c>
    </row>
    <row r="936" spans="1:5">
      <c r="A936">
        <f>IF(COUNTBLANK(B936:E936)&lt;&gt;COLUMNS(B936:E936),935,"")</f>
        <v>0</v>
      </c>
      <c r="C936" s="1">
        <f>IF(B936="", "", "other")</f>
        <v>0</v>
      </c>
      <c r="D936" s="1">
        <f>IF(B936="", "", "metagenome")</f>
        <v>0</v>
      </c>
      <c r="E936" s="1">
        <f>IF(B936="", "", "256318")</f>
        <v>0</v>
      </c>
    </row>
    <row r="937" spans="1:5">
      <c r="A937">
        <f>IF(COUNTBLANK(B937:E937)&lt;&gt;COLUMNS(B937:E937),936,"")</f>
        <v>0</v>
      </c>
      <c r="C937" s="1">
        <f>IF(B937="", "", "other")</f>
        <v>0</v>
      </c>
      <c r="D937" s="1">
        <f>IF(B937="", "", "metagenome")</f>
        <v>0</v>
      </c>
      <c r="E937" s="1">
        <f>IF(B937="", "", "256318")</f>
        <v>0</v>
      </c>
    </row>
    <row r="938" spans="1:5">
      <c r="A938">
        <f>IF(COUNTBLANK(B938:E938)&lt;&gt;COLUMNS(B938:E938),937,"")</f>
        <v>0</v>
      </c>
      <c r="C938" s="1">
        <f>IF(B938="", "", "other")</f>
        <v>0</v>
      </c>
      <c r="D938" s="1">
        <f>IF(B938="", "", "metagenome")</f>
        <v>0</v>
      </c>
      <c r="E938" s="1">
        <f>IF(B938="", "", "256318")</f>
        <v>0</v>
      </c>
    </row>
    <row r="939" spans="1:5">
      <c r="A939">
        <f>IF(COUNTBLANK(B939:E939)&lt;&gt;COLUMNS(B939:E939),938,"")</f>
        <v>0</v>
      </c>
      <c r="C939" s="1">
        <f>IF(B939="", "", "other")</f>
        <v>0</v>
      </c>
      <c r="D939" s="1">
        <f>IF(B939="", "", "metagenome")</f>
        <v>0</v>
      </c>
      <c r="E939" s="1">
        <f>IF(B939="", "", "256318")</f>
        <v>0</v>
      </c>
    </row>
    <row r="940" spans="1:5">
      <c r="A940">
        <f>IF(COUNTBLANK(B940:E940)&lt;&gt;COLUMNS(B940:E940),939,"")</f>
        <v>0</v>
      </c>
      <c r="C940" s="1">
        <f>IF(B940="", "", "other")</f>
        <v>0</v>
      </c>
      <c r="D940" s="1">
        <f>IF(B940="", "", "metagenome")</f>
        <v>0</v>
      </c>
      <c r="E940" s="1">
        <f>IF(B940="", "", "256318")</f>
        <v>0</v>
      </c>
    </row>
    <row r="941" spans="1:5">
      <c r="A941">
        <f>IF(COUNTBLANK(B941:E941)&lt;&gt;COLUMNS(B941:E941),940,"")</f>
        <v>0</v>
      </c>
      <c r="C941" s="1">
        <f>IF(B941="", "", "other")</f>
        <v>0</v>
      </c>
      <c r="D941" s="1">
        <f>IF(B941="", "", "metagenome")</f>
        <v>0</v>
      </c>
      <c r="E941" s="1">
        <f>IF(B941="", "", "256318")</f>
        <v>0</v>
      </c>
    </row>
    <row r="942" spans="1:5">
      <c r="A942">
        <f>IF(COUNTBLANK(B942:E942)&lt;&gt;COLUMNS(B942:E942),941,"")</f>
        <v>0</v>
      </c>
      <c r="C942" s="1">
        <f>IF(B942="", "", "other")</f>
        <v>0</v>
      </c>
      <c r="D942" s="1">
        <f>IF(B942="", "", "metagenome")</f>
        <v>0</v>
      </c>
      <c r="E942" s="1">
        <f>IF(B942="", "", "256318")</f>
        <v>0</v>
      </c>
    </row>
    <row r="943" spans="1:5">
      <c r="A943">
        <f>IF(COUNTBLANK(B943:E943)&lt;&gt;COLUMNS(B943:E943),942,"")</f>
        <v>0</v>
      </c>
      <c r="C943" s="1">
        <f>IF(B943="", "", "other")</f>
        <v>0</v>
      </c>
      <c r="D943" s="1">
        <f>IF(B943="", "", "metagenome")</f>
        <v>0</v>
      </c>
      <c r="E943" s="1">
        <f>IF(B943="", "", "256318")</f>
        <v>0</v>
      </c>
    </row>
    <row r="944" spans="1:5">
      <c r="A944">
        <f>IF(COUNTBLANK(B944:E944)&lt;&gt;COLUMNS(B944:E944),943,"")</f>
        <v>0</v>
      </c>
      <c r="C944" s="1">
        <f>IF(B944="", "", "other")</f>
        <v>0</v>
      </c>
      <c r="D944" s="1">
        <f>IF(B944="", "", "metagenome")</f>
        <v>0</v>
      </c>
      <c r="E944" s="1">
        <f>IF(B944="", "", "256318")</f>
        <v>0</v>
      </c>
    </row>
    <row r="945" spans="1:5">
      <c r="A945">
        <f>IF(COUNTBLANK(B945:E945)&lt;&gt;COLUMNS(B945:E945),944,"")</f>
        <v>0</v>
      </c>
      <c r="C945" s="1">
        <f>IF(B945="", "", "other")</f>
        <v>0</v>
      </c>
      <c r="D945" s="1">
        <f>IF(B945="", "", "metagenome")</f>
        <v>0</v>
      </c>
      <c r="E945" s="1">
        <f>IF(B945="", "", "256318")</f>
        <v>0</v>
      </c>
    </row>
    <row r="946" spans="1:5">
      <c r="A946">
        <f>IF(COUNTBLANK(B946:E946)&lt;&gt;COLUMNS(B946:E946),945,"")</f>
        <v>0</v>
      </c>
      <c r="C946" s="1">
        <f>IF(B946="", "", "other")</f>
        <v>0</v>
      </c>
      <c r="D946" s="1">
        <f>IF(B946="", "", "metagenome")</f>
        <v>0</v>
      </c>
      <c r="E946" s="1">
        <f>IF(B946="", "", "256318")</f>
        <v>0</v>
      </c>
    </row>
    <row r="947" spans="1:5">
      <c r="A947">
        <f>IF(COUNTBLANK(B947:E947)&lt;&gt;COLUMNS(B947:E947),946,"")</f>
        <v>0</v>
      </c>
      <c r="C947" s="1">
        <f>IF(B947="", "", "other")</f>
        <v>0</v>
      </c>
      <c r="D947" s="1">
        <f>IF(B947="", "", "metagenome")</f>
        <v>0</v>
      </c>
      <c r="E947" s="1">
        <f>IF(B947="", "", "256318")</f>
        <v>0</v>
      </c>
    </row>
    <row r="948" spans="1:5">
      <c r="A948">
        <f>IF(COUNTBLANK(B948:E948)&lt;&gt;COLUMNS(B948:E948),947,"")</f>
        <v>0</v>
      </c>
      <c r="C948" s="1">
        <f>IF(B948="", "", "other")</f>
        <v>0</v>
      </c>
      <c r="D948" s="1">
        <f>IF(B948="", "", "metagenome")</f>
        <v>0</v>
      </c>
      <c r="E948" s="1">
        <f>IF(B948="", "", "256318")</f>
        <v>0</v>
      </c>
    </row>
    <row r="949" spans="1:5">
      <c r="A949">
        <f>IF(COUNTBLANK(B949:E949)&lt;&gt;COLUMNS(B949:E949),948,"")</f>
        <v>0</v>
      </c>
      <c r="C949" s="1">
        <f>IF(B949="", "", "other")</f>
        <v>0</v>
      </c>
      <c r="D949" s="1">
        <f>IF(B949="", "", "metagenome")</f>
        <v>0</v>
      </c>
      <c r="E949" s="1">
        <f>IF(B949="", "", "256318")</f>
        <v>0</v>
      </c>
    </row>
    <row r="950" spans="1:5">
      <c r="A950">
        <f>IF(COUNTBLANK(B950:E950)&lt;&gt;COLUMNS(B950:E950),949,"")</f>
        <v>0</v>
      </c>
      <c r="C950" s="1">
        <f>IF(B950="", "", "other")</f>
        <v>0</v>
      </c>
      <c r="D950" s="1">
        <f>IF(B950="", "", "metagenome")</f>
        <v>0</v>
      </c>
      <c r="E950" s="1">
        <f>IF(B950="", "", "256318")</f>
        <v>0</v>
      </c>
    </row>
    <row r="951" spans="1:5">
      <c r="A951">
        <f>IF(COUNTBLANK(B951:E951)&lt;&gt;COLUMNS(B951:E951),950,"")</f>
        <v>0</v>
      </c>
      <c r="C951" s="1">
        <f>IF(B951="", "", "other")</f>
        <v>0</v>
      </c>
      <c r="D951" s="1">
        <f>IF(B951="", "", "metagenome")</f>
        <v>0</v>
      </c>
      <c r="E951" s="1">
        <f>IF(B951="", "", "256318")</f>
        <v>0</v>
      </c>
    </row>
    <row r="952" spans="1:5">
      <c r="A952">
        <f>IF(COUNTBLANK(B952:E952)&lt;&gt;COLUMNS(B952:E952),951,"")</f>
        <v>0</v>
      </c>
      <c r="C952" s="1">
        <f>IF(B952="", "", "other")</f>
        <v>0</v>
      </c>
      <c r="D952" s="1">
        <f>IF(B952="", "", "metagenome")</f>
        <v>0</v>
      </c>
      <c r="E952" s="1">
        <f>IF(B952="", "", "256318")</f>
        <v>0</v>
      </c>
    </row>
    <row r="953" spans="1:5">
      <c r="A953">
        <f>IF(COUNTBLANK(B953:E953)&lt;&gt;COLUMNS(B953:E953),952,"")</f>
        <v>0</v>
      </c>
      <c r="C953" s="1">
        <f>IF(B953="", "", "other")</f>
        <v>0</v>
      </c>
      <c r="D953" s="1">
        <f>IF(B953="", "", "metagenome")</f>
        <v>0</v>
      </c>
      <c r="E953" s="1">
        <f>IF(B953="", "", "256318")</f>
        <v>0</v>
      </c>
    </row>
    <row r="954" spans="1:5">
      <c r="A954">
        <f>IF(COUNTBLANK(B954:E954)&lt;&gt;COLUMNS(B954:E954),953,"")</f>
        <v>0</v>
      </c>
      <c r="C954" s="1">
        <f>IF(B954="", "", "other")</f>
        <v>0</v>
      </c>
      <c r="D954" s="1">
        <f>IF(B954="", "", "metagenome")</f>
        <v>0</v>
      </c>
      <c r="E954" s="1">
        <f>IF(B954="", "", "256318")</f>
        <v>0</v>
      </c>
    </row>
    <row r="955" spans="1:5">
      <c r="A955">
        <f>IF(COUNTBLANK(B955:E955)&lt;&gt;COLUMNS(B955:E955),954,"")</f>
        <v>0</v>
      </c>
      <c r="C955" s="1">
        <f>IF(B955="", "", "other")</f>
        <v>0</v>
      </c>
      <c r="D955" s="1">
        <f>IF(B955="", "", "metagenome")</f>
        <v>0</v>
      </c>
      <c r="E955" s="1">
        <f>IF(B955="", "", "256318")</f>
        <v>0</v>
      </c>
    </row>
    <row r="956" spans="1:5">
      <c r="A956">
        <f>IF(COUNTBLANK(B956:E956)&lt;&gt;COLUMNS(B956:E956),955,"")</f>
        <v>0</v>
      </c>
      <c r="C956" s="1">
        <f>IF(B956="", "", "other")</f>
        <v>0</v>
      </c>
      <c r="D956" s="1">
        <f>IF(B956="", "", "metagenome")</f>
        <v>0</v>
      </c>
      <c r="E956" s="1">
        <f>IF(B956="", "", "256318")</f>
        <v>0</v>
      </c>
    </row>
    <row r="957" spans="1:5">
      <c r="A957">
        <f>IF(COUNTBLANK(B957:E957)&lt;&gt;COLUMNS(B957:E957),956,"")</f>
        <v>0</v>
      </c>
      <c r="C957" s="1">
        <f>IF(B957="", "", "other")</f>
        <v>0</v>
      </c>
      <c r="D957" s="1">
        <f>IF(B957="", "", "metagenome")</f>
        <v>0</v>
      </c>
      <c r="E957" s="1">
        <f>IF(B957="", "", "256318")</f>
        <v>0</v>
      </c>
    </row>
    <row r="958" spans="1:5">
      <c r="A958">
        <f>IF(COUNTBLANK(B958:E958)&lt;&gt;COLUMNS(B958:E958),957,"")</f>
        <v>0</v>
      </c>
      <c r="C958" s="1">
        <f>IF(B958="", "", "other")</f>
        <v>0</v>
      </c>
      <c r="D958" s="1">
        <f>IF(B958="", "", "metagenome")</f>
        <v>0</v>
      </c>
      <c r="E958" s="1">
        <f>IF(B958="", "", "256318")</f>
        <v>0</v>
      </c>
    </row>
    <row r="959" spans="1:5">
      <c r="A959">
        <f>IF(COUNTBLANK(B959:E959)&lt;&gt;COLUMNS(B959:E959),958,"")</f>
        <v>0</v>
      </c>
      <c r="C959" s="1">
        <f>IF(B959="", "", "other")</f>
        <v>0</v>
      </c>
      <c r="D959" s="1">
        <f>IF(B959="", "", "metagenome")</f>
        <v>0</v>
      </c>
      <c r="E959" s="1">
        <f>IF(B959="", "", "256318")</f>
        <v>0</v>
      </c>
    </row>
    <row r="960" spans="1:5">
      <c r="A960">
        <f>IF(COUNTBLANK(B960:E960)&lt;&gt;COLUMNS(B960:E960),959,"")</f>
        <v>0</v>
      </c>
      <c r="C960" s="1">
        <f>IF(B960="", "", "other")</f>
        <v>0</v>
      </c>
      <c r="D960" s="1">
        <f>IF(B960="", "", "metagenome")</f>
        <v>0</v>
      </c>
      <c r="E960" s="1">
        <f>IF(B960="", "", "256318")</f>
        <v>0</v>
      </c>
    </row>
    <row r="961" spans="1:5">
      <c r="A961">
        <f>IF(COUNTBLANK(B961:E961)&lt;&gt;COLUMNS(B961:E961),960,"")</f>
        <v>0</v>
      </c>
      <c r="C961" s="1">
        <f>IF(B961="", "", "other")</f>
        <v>0</v>
      </c>
      <c r="D961" s="1">
        <f>IF(B961="", "", "metagenome")</f>
        <v>0</v>
      </c>
      <c r="E961" s="1">
        <f>IF(B961="", "", "256318")</f>
        <v>0</v>
      </c>
    </row>
    <row r="962" spans="1:5">
      <c r="A962">
        <f>IF(COUNTBLANK(B962:E962)&lt;&gt;COLUMNS(B962:E962),961,"")</f>
        <v>0</v>
      </c>
      <c r="C962" s="1">
        <f>IF(B962="", "", "other")</f>
        <v>0</v>
      </c>
      <c r="D962" s="1">
        <f>IF(B962="", "", "metagenome")</f>
        <v>0</v>
      </c>
      <c r="E962" s="1">
        <f>IF(B962="", "", "256318")</f>
        <v>0</v>
      </c>
    </row>
    <row r="963" spans="1:5">
      <c r="A963">
        <f>IF(COUNTBLANK(B963:E963)&lt;&gt;COLUMNS(B963:E963),962,"")</f>
        <v>0</v>
      </c>
      <c r="C963" s="1">
        <f>IF(B963="", "", "other")</f>
        <v>0</v>
      </c>
      <c r="D963" s="1">
        <f>IF(B963="", "", "metagenome")</f>
        <v>0</v>
      </c>
      <c r="E963" s="1">
        <f>IF(B963="", "", "256318")</f>
        <v>0</v>
      </c>
    </row>
    <row r="964" spans="1:5">
      <c r="A964">
        <f>IF(COUNTBLANK(B964:E964)&lt;&gt;COLUMNS(B964:E964),963,"")</f>
        <v>0</v>
      </c>
      <c r="C964" s="1">
        <f>IF(B964="", "", "other")</f>
        <v>0</v>
      </c>
      <c r="D964" s="1">
        <f>IF(B964="", "", "metagenome")</f>
        <v>0</v>
      </c>
      <c r="E964" s="1">
        <f>IF(B964="", "", "256318")</f>
        <v>0</v>
      </c>
    </row>
    <row r="965" spans="1:5">
      <c r="A965">
        <f>IF(COUNTBLANK(B965:E965)&lt;&gt;COLUMNS(B965:E965),964,"")</f>
        <v>0</v>
      </c>
      <c r="C965" s="1">
        <f>IF(B965="", "", "other")</f>
        <v>0</v>
      </c>
      <c r="D965" s="1">
        <f>IF(B965="", "", "metagenome")</f>
        <v>0</v>
      </c>
      <c r="E965" s="1">
        <f>IF(B965="", "", "256318")</f>
        <v>0</v>
      </c>
    </row>
    <row r="966" spans="1:5">
      <c r="A966">
        <f>IF(COUNTBLANK(B966:E966)&lt;&gt;COLUMNS(B966:E966),965,"")</f>
        <v>0</v>
      </c>
      <c r="C966" s="1">
        <f>IF(B966="", "", "other")</f>
        <v>0</v>
      </c>
      <c r="D966" s="1">
        <f>IF(B966="", "", "metagenome")</f>
        <v>0</v>
      </c>
      <c r="E966" s="1">
        <f>IF(B966="", "", "256318")</f>
        <v>0</v>
      </c>
    </row>
    <row r="967" spans="1:5">
      <c r="A967">
        <f>IF(COUNTBLANK(B967:E967)&lt;&gt;COLUMNS(B967:E967),966,"")</f>
        <v>0</v>
      </c>
      <c r="C967" s="1">
        <f>IF(B967="", "", "other")</f>
        <v>0</v>
      </c>
      <c r="D967" s="1">
        <f>IF(B967="", "", "metagenome")</f>
        <v>0</v>
      </c>
      <c r="E967" s="1">
        <f>IF(B967="", "", "256318")</f>
        <v>0</v>
      </c>
    </row>
    <row r="968" spans="1:5">
      <c r="A968">
        <f>IF(COUNTBLANK(B968:E968)&lt;&gt;COLUMNS(B968:E968),967,"")</f>
        <v>0</v>
      </c>
      <c r="C968" s="1">
        <f>IF(B968="", "", "other")</f>
        <v>0</v>
      </c>
      <c r="D968" s="1">
        <f>IF(B968="", "", "metagenome")</f>
        <v>0</v>
      </c>
      <c r="E968" s="1">
        <f>IF(B968="", "", "256318")</f>
        <v>0</v>
      </c>
    </row>
    <row r="969" spans="1:5">
      <c r="A969">
        <f>IF(COUNTBLANK(B969:E969)&lt;&gt;COLUMNS(B969:E969),968,"")</f>
        <v>0</v>
      </c>
      <c r="C969" s="1">
        <f>IF(B969="", "", "other")</f>
        <v>0</v>
      </c>
      <c r="D969" s="1">
        <f>IF(B969="", "", "metagenome")</f>
        <v>0</v>
      </c>
      <c r="E969" s="1">
        <f>IF(B969="", "", "256318")</f>
        <v>0</v>
      </c>
    </row>
    <row r="970" spans="1:5">
      <c r="A970">
        <f>IF(COUNTBLANK(B970:E970)&lt;&gt;COLUMNS(B970:E970),969,"")</f>
        <v>0</v>
      </c>
      <c r="C970" s="1">
        <f>IF(B970="", "", "other")</f>
        <v>0</v>
      </c>
      <c r="D970" s="1">
        <f>IF(B970="", "", "metagenome")</f>
        <v>0</v>
      </c>
      <c r="E970" s="1">
        <f>IF(B970="", "", "256318")</f>
        <v>0</v>
      </c>
    </row>
    <row r="971" spans="1:5">
      <c r="A971">
        <f>IF(COUNTBLANK(B971:E971)&lt;&gt;COLUMNS(B971:E971),970,"")</f>
        <v>0</v>
      </c>
      <c r="C971" s="1">
        <f>IF(B971="", "", "other")</f>
        <v>0</v>
      </c>
      <c r="D971" s="1">
        <f>IF(B971="", "", "metagenome")</f>
        <v>0</v>
      </c>
      <c r="E971" s="1">
        <f>IF(B971="", "", "256318")</f>
        <v>0</v>
      </c>
    </row>
    <row r="972" spans="1:5">
      <c r="A972">
        <f>IF(COUNTBLANK(B972:E972)&lt;&gt;COLUMNS(B972:E972),971,"")</f>
        <v>0</v>
      </c>
      <c r="C972" s="1">
        <f>IF(B972="", "", "other")</f>
        <v>0</v>
      </c>
      <c r="D972" s="1">
        <f>IF(B972="", "", "metagenome")</f>
        <v>0</v>
      </c>
      <c r="E972" s="1">
        <f>IF(B972="", "", "256318")</f>
        <v>0</v>
      </c>
    </row>
    <row r="973" spans="1:5">
      <c r="A973">
        <f>IF(COUNTBLANK(B973:E973)&lt;&gt;COLUMNS(B973:E973),972,"")</f>
        <v>0</v>
      </c>
      <c r="C973" s="1">
        <f>IF(B973="", "", "other")</f>
        <v>0</v>
      </c>
      <c r="D973" s="1">
        <f>IF(B973="", "", "metagenome")</f>
        <v>0</v>
      </c>
      <c r="E973" s="1">
        <f>IF(B973="", "", "256318")</f>
        <v>0</v>
      </c>
    </row>
    <row r="974" spans="1:5">
      <c r="A974">
        <f>IF(COUNTBLANK(B974:E974)&lt;&gt;COLUMNS(B974:E974),973,"")</f>
        <v>0</v>
      </c>
      <c r="C974" s="1">
        <f>IF(B974="", "", "other")</f>
        <v>0</v>
      </c>
      <c r="D974" s="1">
        <f>IF(B974="", "", "metagenome")</f>
        <v>0</v>
      </c>
      <c r="E974" s="1">
        <f>IF(B974="", "", "256318")</f>
        <v>0</v>
      </c>
    </row>
    <row r="975" spans="1:5">
      <c r="A975">
        <f>IF(COUNTBLANK(B975:E975)&lt;&gt;COLUMNS(B975:E975),974,"")</f>
        <v>0</v>
      </c>
      <c r="C975" s="1">
        <f>IF(B975="", "", "other")</f>
        <v>0</v>
      </c>
      <c r="D975" s="1">
        <f>IF(B975="", "", "metagenome")</f>
        <v>0</v>
      </c>
      <c r="E975" s="1">
        <f>IF(B975="", "", "256318")</f>
        <v>0</v>
      </c>
    </row>
    <row r="976" spans="1:5">
      <c r="A976">
        <f>IF(COUNTBLANK(B976:E976)&lt;&gt;COLUMNS(B976:E976),975,"")</f>
        <v>0</v>
      </c>
      <c r="C976" s="1">
        <f>IF(B976="", "", "other")</f>
        <v>0</v>
      </c>
      <c r="D976" s="1">
        <f>IF(B976="", "", "metagenome")</f>
        <v>0</v>
      </c>
      <c r="E976" s="1">
        <f>IF(B976="", "", "256318")</f>
        <v>0</v>
      </c>
    </row>
    <row r="977" spans="1:5">
      <c r="A977">
        <f>IF(COUNTBLANK(B977:E977)&lt;&gt;COLUMNS(B977:E977),976,"")</f>
        <v>0</v>
      </c>
      <c r="C977" s="1">
        <f>IF(B977="", "", "other")</f>
        <v>0</v>
      </c>
      <c r="D977" s="1">
        <f>IF(B977="", "", "metagenome")</f>
        <v>0</v>
      </c>
      <c r="E977" s="1">
        <f>IF(B977="", "", "256318")</f>
        <v>0</v>
      </c>
    </row>
    <row r="978" spans="1:5">
      <c r="A978">
        <f>IF(COUNTBLANK(B978:E978)&lt;&gt;COLUMNS(B978:E978),977,"")</f>
        <v>0</v>
      </c>
      <c r="C978" s="1">
        <f>IF(B978="", "", "other")</f>
        <v>0</v>
      </c>
      <c r="D978" s="1">
        <f>IF(B978="", "", "metagenome")</f>
        <v>0</v>
      </c>
      <c r="E978" s="1">
        <f>IF(B978="", "", "256318")</f>
        <v>0</v>
      </c>
    </row>
    <row r="979" spans="1:5">
      <c r="A979">
        <f>IF(COUNTBLANK(B979:E979)&lt;&gt;COLUMNS(B979:E979),978,"")</f>
        <v>0</v>
      </c>
      <c r="C979" s="1">
        <f>IF(B979="", "", "other")</f>
        <v>0</v>
      </c>
      <c r="D979" s="1">
        <f>IF(B979="", "", "metagenome")</f>
        <v>0</v>
      </c>
      <c r="E979" s="1">
        <f>IF(B979="", "", "256318")</f>
        <v>0</v>
      </c>
    </row>
    <row r="980" spans="1:5">
      <c r="A980">
        <f>IF(COUNTBLANK(B980:E980)&lt;&gt;COLUMNS(B980:E980),979,"")</f>
        <v>0</v>
      </c>
      <c r="C980" s="1">
        <f>IF(B980="", "", "other")</f>
        <v>0</v>
      </c>
      <c r="D980" s="1">
        <f>IF(B980="", "", "metagenome")</f>
        <v>0</v>
      </c>
      <c r="E980" s="1">
        <f>IF(B980="", "", "256318")</f>
        <v>0</v>
      </c>
    </row>
    <row r="981" spans="1:5">
      <c r="A981">
        <f>IF(COUNTBLANK(B981:E981)&lt;&gt;COLUMNS(B981:E981),980,"")</f>
        <v>0</v>
      </c>
      <c r="C981" s="1">
        <f>IF(B981="", "", "other")</f>
        <v>0</v>
      </c>
      <c r="D981" s="1">
        <f>IF(B981="", "", "metagenome")</f>
        <v>0</v>
      </c>
      <c r="E981" s="1">
        <f>IF(B981="", "", "256318")</f>
        <v>0</v>
      </c>
    </row>
    <row r="982" spans="1:5">
      <c r="A982">
        <f>IF(COUNTBLANK(B982:E982)&lt;&gt;COLUMNS(B982:E982),981,"")</f>
        <v>0</v>
      </c>
      <c r="C982" s="1">
        <f>IF(B982="", "", "other")</f>
        <v>0</v>
      </c>
      <c r="D982" s="1">
        <f>IF(B982="", "", "metagenome")</f>
        <v>0</v>
      </c>
      <c r="E982" s="1">
        <f>IF(B982="", "", "256318")</f>
        <v>0</v>
      </c>
    </row>
    <row r="983" spans="1:5">
      <c r="A983">
        <f>IF(COUNTBLANK(B983:E983)&lt;&gt;COLUMNS(B983:E983),982,"")</f>
        <v>0</v>
      </c>
      <c r="C983" s="1">
        <f>IF(B983="", "", "other")</f>
        <v>0</v>
      </c>
      <c r="D983" s="1">
        <f>IF(B983="", "", "metagenome")</f>
        <v>0</v>
      </c>
      <c r="E983" s="1">
        <f>IF(B983="", "", "256318")</f>
        <v>0</v>
      </c>
    </row>
    <row r="984" spans="1:5">
      <c r="A984">
        <f>IF(COUNTBLANK(B984:E984)&lt;&gt;COLUMNS(B984:E984),983,"")</f>
        <v>0</v>
      </c>
      <c r="C984" s="1">
        <f>IF(B984="", "", "other")</f>
        <v>0</v>
      </c>
      <c r="D984" s="1">
        <f>IF(B984="", "", "metagenome")</f>
        <v>0</v>
      </c>
      <c r="E984" s="1">
        <f>IF(B984="", "", "256318")</f>
        <v>0</v>
      </c>
    </row>
    <row r="985" spans="1:5">
      <c r="A985">
        <f>IF(COUNTBLANK(B985:E985)&lt;&gt;COLUMNS(B985:E985),984,"")</f>
        <v>0</v>
      </c>
      <c r="C985" s="1">
        <f>IF(B985="", "", "other")</f>
        <v>0</v>
      </c>
      <c r="D985" s="1">
        <f>IF(B985="", "", "metagenome")</f>
        <v>0</v>
      </c>
      <c r="E985" s="1">
        <f>IF(B985="", "", "256318")</f>
        <v>0</v>
      </c>
    </row>
    <row r="986" spans="1:5">
      <c r="A986">
        <f>IF(COUNTBLANK(B986:E986)&lt;&gt;COLUMNS(B986:E986),985,"")</f>
        <v>0</v>
      </c>
      <c r="C986" s="1">
        <f>IF(B986="", "", "other")</f>
        <v>0</v>
      </c>
      <c r="D986" s="1">
        <f>IF(B986="", "", "metagenome")</f>
        <v>0</v>
      </c>
      <c r="E986" s="1">
        <f>IF(B986="", "", "256318")</f>
        <v>0</v>
      </c>
    </row>
    <row r="987" spans="1:5">
      <c r="A987">
        <f>IF(COUNTBLANK(B987:E987)&lt;&gt;COLUMNS(B987:E987),986,"")</f>
        <v>0</v>
      </c>
      <c r="C987" s="1">
        <f>IF(B987="", "", "other")</f>
        <v>0</v>
      </c>
      <c r="D987" s="1">
        <f>IF(B987="", "", "metagenome")</f>
        <v>0</v>
      </c>
      <c r="E987" s="1">
        <f>IF(B987="", "", "256318")</f>
        <v>0</v>
      </c>
    </row>
    <row r="988" spans="1:5">
      <c r="A988">
        <f>IF(COUNTBLANK(B988:E988)&lt;&gt;COLUMNS(B988:E988),987,"")</f>
        <v>0</v>
      </c>
      <c r="C988" s="1">
        <f>IF(B988="", "", "other")</f>
        <v>0</v>
      </c>
      <c r="D988" s="1">
        <f>IF(B988="", "", "metagenome")</f>
        <v>0</v>
      </c>
      <c r="E988" s="1">
        <f>IF(B988="", "", "256318")</f>
        <v>0</v>
      </c>
    </row>
    <row r="989" spans="1:5">
      <c r="A989">
        <f>IF(COUNTBLANK(B989:E989)&lt;&gt;COLUMNS(B989:E989),988,"")</f>
        <v>0</v>
      </c>
      <c r="C989" s="1">
        <f>IF(B989="", "", "other")</f>
        <v>0</v>
      </c>
      <c r="D989" s="1">
        <f>IF(B989="", "", "metagenome")</f>
        <v>0</v>
      </c>
      <c r="E989" s="1">
        <f>IF(B989="", "", "256318")</f>
        <v>0</v>
      </c>
    </row>
    <row r="990" spans="1:5">
      <c r="A990">
        <f>IF(COUNTBLANK(B990:E990)&lt;&gt;COLUMNS(B990:E990),989,"")</f>
        <v>0</v>
      </c>
      <c r="C990" s="1">
        <f>IF(B990="", "", "other")</f>
        <v>0</v>
      </c>
      <c r="D990" s="1">
        <f>IF(B990="", "", "metagenome")</f>
        <v>0</v>
      </c>
      <c r="E990" s="1">
        <f>IF(B990="", "", "256318")</f>
        <v>0</v>
      </c>
    </row>
    <row r="991" spans="1:5">
      <c r="A991">
        <f>IF(COUNTBLANK(B991:E991)&lt;&gt;COLUMNS(B991:E991),990,"")</f>
        <v>0</v>
      </c>
      <c r="C991" s="1">
        <f>IF(B991="", "", "other")</f>
        <v>0</v>
      </c>
      <c r="D991" s="1">
        <f>IF(B991="", "", "metagenome")</f>
        <v>0</v>
      </c>
      <c r="E991" s="1">
        <f>IF(B991="", "", "256318")</f>
        <v>0</v>
      </c>
    </row>
    <row r="992" spans="1:5">
      <c r="A992">
        <f>IF(COUNTBLANK(B992:E992)&lt;&gt;COLUMNS(B992:E992),991,"")</f>
        <v>0</v>
      </c>
      <c r="C992" s="1">
        <f>IF(B992="", "", "other")</f>
        <v>0</v>
      </c>
      <c r="D992" s="1">
        <f>IF(B992="", "", "metagenome")</f>
        <v>0</v>
      </c>
      <c r="E992" s="1">
        <f>IF(B992="", "", "256318")</f>
        <v>0</v>
      </c>
    </row>
    <row r="993" spans="1:5">
      <c r="A993">
        <f>IF(COUNTBLANK(B993:E993)&lt;&gt;COLUMNS(B993:E993),992,"")</f>
        <v>0</v>
      </c>
      <c r="C993" s="1">
        <f>IF(B993="", "", "other")</f>
        <v>0</v>
      </c>
      <c r="D993" s="1">
        <f>IF(B993="", "", "metagenome")</f>
        <v>0</v>
      </c>
      <c r="E993" s="1">
        <f>IF(B993="", "", "256318")</f>
        <v>0</v>
      </c>
    </row>
    <row r="994" spans="1:5">
      <c r="A994">
        <f>IF(COUNTBLANK(B994:E994)&lt;&gt;COLUMNS(B994:E994),993,"")</f>
        <v>0</v>
      </c>
      <c r="C994" s="1">
        <f>IF(B994="", "", "other")</f>
        <v>0</v>
      </c>
      <c r="D994" s="1">
        <f>IF(B994="", "", "metagenome")</f>
        <v>0</v>
      </c>
      <c r="E994" s="1">
        <f>IF(B994="", "", "256318")</f>
        <v>0</v>
      </c>
    </row>
    <row r="995" spans="1:5">
      <c r="A995">
        <f>IF(COUNTBLANK(B995:E995)&lt;&gt;COLUMNS(B995:E995),994,"")</f>
        <v>0</v>
      </c>
      <c r="C995" s="1">
        <f>IF(B995="", "", "other")</f>
        <v>0</v>
      </c>
      <c r="D995" s="1">
        <f>IF(B995="", "", "metagenome")</f>
        <v>0</v>
      </c>
      <c r="E995" s="1">
        <f>IF(B995="", "", "256318")</f>
        <v>0</v>
      </c>
    </row>
    <row r="996" spans="1:5">
      <c r="A996">
        <f>IF(COUNTBLANK(B996:E996)&lt;&gt;COLUMNS(B996:E996),995,"")</f>
        <v>0</v>
      </c>
      <c r="C996" s="1">
        <f>IF(B996="", "", "other")</f>
        <v>0</v>
      </c>
      <c r="D996" s="1">
        <f>IF(B996="", "", "metagenome")</f>
        <v>0</v>
      </c>
      <c r="E996" s="1">
        <f>IF(B996="", "", "256318")</f>
        <v>0</v>
      </c>
    </row>
    <row r="997" spans="1:5">
      <c r="A997">
        <f>IF(COUNTBLANK(B997:E997)&lt;&gt;COLUMNS(B997:E997),996,"")</f>
        <v>0</v>
      </c>
      <c r="C997" s="1">
        <f>IF(B997="", "", "other")</f>
        <v>0</v>
      </c>
      <c r="D997" s="1">
        <f>IF(B997="", "", "metagenome")</f>
        <v>0</v>
      </c>
      <c r="E997" s="1">
        <f>IF(B997="", "", "256318")</f>
        <v>0</v>
      </c>
    </row>
    <row r="998" spans="1:5">
      <c r="A998">
        <f>IF(COUNTBLANK(B998:E998)&lt;&gt;COLUMNS(B998:E998),997,"")</f>
        <v>0</v>
      </c>
      <c r="C998" s="1">
        <f>IF(B998="", "", "other")</f>
        <v>0</v>
      </c>
      <c r="D998" s="1">
        <f>IF(B998="", "", "metagenome")</f>
        <v>0</v>
      </c>
      <c r="E998" s="1">
        <f>IF(B998="", "", "256318")</f>
        <v>0</v>
      </c>
    </row>
    <row r="999" spans="1:5">
      <c r="A999">
        <f>IF(COUNTBLANK(B999:E999)&lt;&gt;COLUMNS(B999:E999),998,"")</f>
        <v>0</v>
      </c>
      <c r="C999" s="1">
        <f>IF(B999="", "", "other")</f>
        <v>0</v>
      </c>
      <c r="D999" s="1">
        <f>IF(B999="", "", "metagenome")</f>
        <v>0</v>
      </c>
      <c r="E999" s="1">
        <f>IF(B999="", "", "256318")</f>
        <v>0</v>
      </c>
    </row>
    <row r="1000" spans="1:5">
      <c r="A1000">
        <f>IF(COUNTBLANK(B1000:E1000)&lt;&gt;COLUMNS(B1000:E1000),999,"")</f>
        <v>0</v>
      </c>
      <c r="C1000" s="1">
        <f>IF(B1000="", "", "other")</f>
        <v>0</v>
      </c>
      <c r="D1000" s="1">
        <f>IF(B1000="", "", "metagenome")</f>
        <v>0</v>
      </c>
      <c r="E1000" s="1">
        <f>IF(B1000="", "", "256318")</f>
        <v>0</v>
      </c>
    </row>
    <row r="1001" spans="1:5">
      <c r="A1001">
        <f>IF(COUNTBLANK(B1001:E1001)&lt;&gt;COLUMNS(B1001:E1001),1000,"")</f>
        <v>0</v>
      </c>
      <c r="C1001" s="1">
        <f>IF(B1001="", "", "other")</f>
        <v>0</v>
      </c>
      <c r="D1001" s="1">
        <f>IF(B1001="", "", "metagenome")</f>
        <v>0</v>
      </c>
      <c r="E1001" s="1">
        <f>IF(B1001="", "", "256318")</f>
        <v>0</v>
      </c>
    </row>
    <row r="1002" spans="1:5">
      <c r="B1002" s="2" t="s">
        <v>2</v>
      </c>
    </row>
  </sheetData>
  <sheetProtection sheet="1" objects="1" scenarios="1" formatCells="0" formatColumns="0" formatRows="0"/>
  <dataValidations count="4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sample_type" error="The sample_type value entered is not valid. The value must be a string and must equal &quot;other&quot;. The default value is other." promptTitle="Enter sample_type" prompt="The value must be a string and must equal &quot;other&quot;. The default value is other." sqref="C2:C1001">
      <formula1>"other"</formula1>
    </dataValidation>
    <dataValidation type="list" allowBlank="1" showInputMessage="1" showErrorMessage="1" errorTitle="Invalid scientific_name" error="The scientific_name value entered is not valid. The value must be a string and must equal &quot;metagenome&quot;. The default value is metagenome." promptTitle="Enter scientific_name" prompt="The value must be a string and must equal &quot;metagenome&quot;. The default value is metagenome." sqref="D2:D1001">
      <formula1>"metagenome"</formula1>
    </dataValidation>
    <dataValidation type="list" allowBlank="1" showInputMessage="1" showErrorMessage="1" errorTitle="Invalid taxon_id" error="The taxon_id value entered is not valid. The value must be a string and must equal &quot;256318&quot;. The default value is 256318." promptTitle="Enter taxon_id" prompt="The value must be a string and must equal &quot;256318&quot;. The default value is 256318." sqref="E2:E1001">
      <formula1>"256318"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9" max="15" width="0" hidden="1" customWidth="1"/>
    <col min="16" max="19" width="0" hidden="1" customWidth="1"/>
  </cols>
  <sheetData>
    <row r="1" spans="1:19">
      <c r="A1" s="2" t="s">
        <v>1</v>
      </c>
      <c r="B1" s="2">
        <f>IF(B2=" ", " ", INDEX($P$1:$S$1, 1, MATCH(COLUMNS($P$1006:P1006),$P$1006:$S$1006,0)))</f>
        <v>0</v>
      </c>
      <c r="C1" s="2">
        <f>IF(C2=" ", " ", INDEX($P$1:$S$1, 1, MATCH(COLUMNS($P$1006:Q1006),$P$1006:$S$1006,0)))</f>
        <v>0</v>
      </c>
      <c r="D1" s="2">
        <f>IF(D2=" ", " ", INDEX($P$1:$S$1, 1, MATCH(COLUMNS($P$1006:R1006),$P$1006:$S$1006,0)))</f>
        <v>0</v>
      </c>
      <c r="E1" s="2">
        <f>IF(E2=" ", " ", INDEX($P$1:$S$1, 1, MATCH(COLUMNS($P$1006:S1006),$P$1006:$S$1006,0)))</f>
        <v>0</v>
      </c>
      <c r="I1" s="2" t="s">
        <v>10</v>
      </c>
      <c r="J1" s="2" t="s">
        <v>9</v>
      </c>
      <c r="K1" s="2" t="s">
        <v>8</v>
      </c>
      <c r="L1" s="2" t="s">
        <v>7</v>
      </c>
      <c r="M1" s="2" t="s">
        <v>6</v>
      </c>
      <c r="N1" s="2" t="s">
        <v>1</v>
      </c>
      <c r="P1" s="2" t="s">
        <v>1</v>
      </c>
      <c r="Q1" s="2" t="s">
        <v>3</v>
      </c>
      <c r="R1" s="2" t="s">
        <v>4</v>
      </c>
      <c r="S1" s="2" t="s">
        <v>5</v>
      </c>
    </row>
    <row r="2" spans="1:19">
      <c r="A2" s="4">
        <f>IF(B2=" "," ",HYPERLINK(CONCATENATE("#metadata!",ADDRESS(INDEX($K$2:$K$1001,MATCH(ROWS($I$2:I2),$I$2:$I$1001,0),0),1)),INDEX($N$2:$N$1001,MATCH(ROWS($I$2:I2),$I$2:$I$1001,0),0)))</f>
        <v>0</v>
      </c>
      <c r="B2" s="3">
        <f>IF(OR(INDEX($J$2:$J$1001,MATCH(ROWS($I$2:I2),$I$2:$I$1001,0),1)&gt;=100000,INDEX($P$1005:$S$1005,1,MATCH(COLUMNS($P$1006:P1006),$P$1006:$S$1006,0))&gt;=100000), " ",IF(INDEX($P$2:$S$1001,MATCH(ROWS($I$2:I2),$I$2:$I$1001,0),MATCH(COLUMNS($P$1006:P1006),$P$1006:$S$1006,0)), HYPERLINK("#",""), HYPERLINK(CONCATENATE("#metadata!", ADDRESS(INDEX($K$2:$K$1001,MATCH(ROWS($I$2:I2),$I$2:$I$1001,0),0), INDEX($P$1004:$S$1004,1,MATCH(COLUMNS($P$1006:P1006),$P$1006:$S$1006,0)))),"Fix")))</f>
        <v>0</v>
      </c>
      <c r="C2" s="3">
        <f>IF(OR(INDEX($J$2:$J$1001,MATCH(ROWS($I$2:I2),$I$2:$I$1001,0),1)&gt;=100000,INDEX($P$1005:$S$1005,1,MATCH(COLUMNS($P$1006:Q1006),$P$1006:$S$1006,0))&gt;=100000), " ",IF(INDEX($P$2:$S$1001,MATCH(ROWS($I$2:I2),$I$2:$I$1001,0),MATCH(COLUMNS($P$1006:Q1006),$P$1006:$S$1006,0)), HYPERLINK("#",""), HYPERLINK(CONCATENATE("#metadata!", ADDRESS(INDEX($K$2:$K$1001,MATCH(ROWS($I$2:I2),$I$2:$I$1001,0),0), INDEX($P$1004:$S$1004,1,MATCH(COLUMNS($P$1006:Q1006),$P$1006:$S$1006,0)))),"Fix")))</f>
        <v>0</v>
      </c>
      <c r="D2" s="3">
        <f>IF(OR(INDEX($J$2:$J$1001,MATCH(ROWS($I$2:I2),$I$2:$I$1001,0),1)&gt;=100000,INDEX($P$1005:$S$1005,1,MATCH(COLUMNS($P$1006:R1006),$P$1006:$S$1006,0))&gt;=100000), " ",IF(INDEX($P$2:$S$1001,MATCH(ROWS($I$2:I2),$I$2:$I$1001,0),MATCH(COLUMNS($P$1006:R1006),$P$1006:$S$1006,0)), HYPERLINK("#",""), HYPERLINK(CONCATENATE("#metadata!", ADDRESS(INDEX($K$2:$K$1001,MATCH(ROWS($I$2:I2),$I$2:$I$1001,0),0), INDEX($P$1004:$S$1004,1,MATCH(COLUMNS($P$1006:R1006),$P$1006:$S$1006,0)))),"Fix")))</f>
        <v>0</v>
      </c>
      <c r="E2" s="3">
        <f>IF(OR(INDEX($J$2:$J$1001,MATCH(ROWS($I$2:I2),$I$2:$I$1001,0),1)&gt;=100000,INDEX($P$1005:$S$1005,1,MATCH(COLUMNS($P$1006:S1006),$P$1006:$S$1006,0))&gt;=100000), " ",IF(INDEX($P$2:$S$1001,MATCH(ROWS($I$2:I2),$I$2:$I$1001,0),MATCH(COLUMNS($P$1006:S1006),$P$1006:$S$1006,0)), HYPERLINK("#",""), HYPERLINK(CONCATENATE("#metadata!", ADDRESS(INDEX($K$2:$K$1001,MATCH(ROWS($I$2:I2),$I$2:$I$1001,0),0), INDEX($P$1004:$S$1004,1,MATCH(COLUMNS($P$1006:S1006),$P$1006:$S$1006,0)))),"Fix")))</f>
        <v>0</v>
      </c>
      <c r="I2">
        <f t="array" ref="I2:I1001">COUNTIF(J$2:J$1001,"&lt;="&amp;$J2:$J1001)</f>
        <v>0</v>
      </c>
      <c r="J2">
        <f t="array" ref="J2:J1001">INT(L2:L1001)*100000+$K$2:$K$1001</f>
        <v>0</v>
      </c>
      <c r="K2">
        <f t="array" ref="K2:K1001">ROW(metadata!B2:B1001)</f>
        <v>0</v>
      </c>
      <c r="L2">
        <f>IF(M2,TRUE,AND(P2:S2))</f>
        <v>0</v>
      </c>
      <c r="M2">
        <f>COUNTBLANK(metadata!B2:E2)=COLUMNS(metadata!B2:E2)</f>
        <v>0</v>
      </c>
      <c r="N2">
        <f t="array" ref="N2:N1001">IF(metadata!B2:B1001="","",metadata!B2:B1001)</f>
        <v>0</v>
      </c>
      <c r="P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Q2">
        <f>AND(IF(metadata!C2="",FALSE,TRUE),exact(metadata!C2,"other"))</f>
        <v>0</v>
      </c>
      <c r="R2">
        <f>AND(IF(metadata!D2="",FALSE,TRUE),exact(metadata!D2,"metagenome"))</f>
        <v>0</v>
      </c>
      <c r="S2">
        <f>AND(IF(metadata!E2="",FALSE,TRUE),exact(metadata!E2,"256318"))</f>
        <v>0</v>
      </c>
    </row>
    <row r="3" spans="1:19">
      <c r="A3" s="4">
        <f>IF(B3=" "," ",HYPERLINK(CONCATENATE("#metadata!",ADDRESS(INDEX($K$2:$K$1001,MATCH(ROWS($I$2:I3),$I$2:$I$1001,0),0),1)),INDEX($N$2:$N$1001,MATCH(ROWS($I$2:I3),$I$2:$I$1001,0),0)))</f>
        <v>0</v>
      </c>
      <c r="B3" s="3">
        <f>IF(OR(INDEX($J$2:$J$1001,MATCH(ROWS($I$2:I3),$I$2:$I$1001,0),1)&gt;=100000,INDEX($P$1005:$S$1005,1,MATCH(COLUMNS($P$1006:P1006),$P$1006:$S$1006,0))&gt;=100000), " ",IF(INDEX($P$2:$S$1001,MATCH(ROWS($I$2:I3),$I$2:$I$1001,0),MATCH(COLUMNS($P$1006:P1006),$P$1006:$S$1006,0)), HYPERLINK("#",""), HYPERLINK(CONCATENATE("#metadata!", ADDRESS(INDEX($K$2:$K$1001,MATCH(ROWS($I$2:I3),$I$2:$I$1001,0),0), INDEX($P$1004:$S$1004,1,MATCH(COLUMNS($P$1006:P1006),$P$1006:$S$1006,0)))),"Fix")))</f>
        <v>0</v>
      </c>
      <c r="C3" s="3">
        <f>IF(OR(INDEX($J$2:$J$1001,MATCH(ROWS($I$2:I3),$I$2:$I$1001,0),1)&gt;=100000,INDEX($P$1005:$S$1005,1,MATCH(COLUMNS($P$1006:Q1006),$P$1006:$S$1006,0))&gt;=100000), " ",IF(INDEX($P$2:$S$1001,MATCH(ROWS($I$2:I3),$I$2:$I$1001,0),MATCH(COLUMNS($P$1006:Q1006),$P$1006:$S$1006,0)), HYPERLINK("#",""), HYPERLINK(CONCATENATE("#metadata!", ADDRESS(INDEX($K$2:$K$1001,MATCH(ROWS($I$2:I3),$I$2:$I$1001,0),0), INDEX($P$1004:$S$1004,1,MATCH(COLUMNS($P$1006:Q1006),$P$1006:$S$1006,0)))),"Fix")))</f>
        <v>0</v>
      </c>
      <c r="D3" s="3">
        <f>IF(OR(INDEX($J$2:$J$1001,MATCH(ROWS($I$2:I3),$I$2:$I$1001,0),1)&gt;=100000,INDEX($P$1005:$S$1005,1,MATCH(COLUMNS($P$1006:R1006),$P$1006:$S$1006,0))&gt;=100000), " ",IF(INDEX($P$2:$S$1001,MATCH(ROWS($I$2:I3),$I$2:$I$1001,0),MATCH(COLUMNS($P$1006:R1006),$P$1006:$S$1006,0)), HYPERLINK("#",""), HYPERLINK(CONCATENATE("#metadata!", ADDRESS(INDEX($K$2:$K$1001,MATCH(ROWS($I$2:I3),$I$2:$I$1001,0),0), INDEX($P$1004:$S$1004,1,MATCH(COLUMNS($P$1006:R1006),$P$1006:$S$1006,0)))),"Fix")))</f>
        <v>0</v>
      </c>
      <c r="E3" s="3">
        <f>IF(OR(INDEX($J$2:$J$1001,MATCH(ROWS($I$2:I3),$I$2:$I$1001,0),1)&gt;=100000,INDEX($P$1005:$S$1005,1,MATCH(COLUMNS($P$1006:S1006),$P$1006:$S$1006,0))&gt;=100000), " ",IF(INDEX($P$2:$S$1001,MATCH(ROWS($I$2:I3),$I$2:$I$1001,0),MATCH(COLUMNS($P$1006:S1006),$P$1006:$S$1006,0)), HYPERLINK("#",""), HYPERLINK(CONCATENATE("#metadata!", ADDRESS(INDEX($K$2:$K$1001,MATCH(ROWS($I$2:I3),$I$2:$I$1001,0),0), INDEX($P$1004:$S$1004,1,MATCH(COLUMNS($P$1006:S1006),$P$1006:$S$1006,0)))),"Fix")))</f>
        <v>0</v>
      </c>
      <c r="I3">
        <v>0</v>
      </c>
      <c r="J3">
        <v>0</v>
      </c>
      <c r="K3">
        <v>0</v>
      </c>
      <c r="L3">
        <f>IF(M3,TRUE,AND(P3:S3))</f>
        <v>0</v>
      </c>
      <c r="M3">
        <f>COUNTBLANK(metadata!B3:E3)=COLUMNS(metadata!B3:E3)</f>
        <v>0</v>
      </c>
      <c r="N3">
        <v>0</v>
      </c>
      <c r="P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Q3">
        <f>AND(IF(metadata!C3="",FALSE,TRUE),exact(metadata!C3,"other"))</f>
        <v>0</v>
      </c>
      <c r="R3">
        <f>AND(IF(metadata!D3="",FALSE,TRUE),exact(metadata!D3,"metagenome"))</f>
        <v>0</v>
      </c>
      <c r="S3">
        <f>AND(IF(metadata!E3="",FALSE,TRUE),exact(metadata!E3,"256318"))</f>
        <v>0</v>
      </c>
    </row>
    <row r="4" spans="1:19">
      <c r="A4" s="4">
        <f>IF(B4=" "," ",HYPERLINK(CONCATENATE("#metadata!",ADDRESS(INDEX($K$2:$K$1001,MATCH(ROWS($I$2:I4),$I$2:$I$1001,0),0),1)),INDEX($N$2:$N$1001,MATCH(ROWS($I$2:I4),$I$2:$I$1001,0),0)))</f>
        <v>0</v>
      </c>
      <c r="B4" s="3">
        <f>IF(OR(INDEX($J$2:$J$1001,MATCH(ROWS($I$2:I4),$I$2:$I$1001,0),1)&gt;=100000,INDEX($P$1005:$S$1005,1,MATCH(COLUMNS($P$1006:P1006),$P$1006:$S$1006,0))&gt;=100000), " ",IF(INDEX($P$2:$S$1001,MATCH(ROWS($I$2:I4),$I$2:$I$1001,0),MATCH(COLUMNS($P$1006:P1006),$P$1006:$S$1006,0)), HYPERLINK("#",""), HYPERLINK(CONCATENATE("#metadata!", ADDRESS(INDEX($K$2:$K$1001,MATCH(ROWS($I$2:I4),$I$2:$I$1001,0),0), INDEX($P$1004:$S$1004,1,MATCH(COLUMNS($P$1006:P1006),$P$1006:$S$1006,0)))),"Fix")))</f>
        <v>0</v>
      </c>
      <c r="C4" s="3">
        <f>IF(OR(INDEX($J$2:$J$1001,MATCH(ROWS($I$2:I4),$I$2:$I$1001,0),1)&gt;=100000,INDEX($P$1005:$S$1005,1,MATCH(COLUMNS($P$1006:Q1006),$P$1006:$S$1006,0))&gt;=100000), " ",IF(INDEX($P$2:$S$1001,MATCH(ROWS($I$2:I4),$I$2:$I$1001,0),MATCH(COLUMNS($P$1006:Q1006),$P$1006:$S$1006,0)), HYPERLINK("#",""), HYPERLINK(CONCATENATE("#metadata!", ADDRESS(INDEX($K$2:$K$1001,MATCH(ROWS($I$2:I4),$I$2:$I$1001,0),0), INDEX($P$1004:$S$1004,1,MATCH(COLUMNS($P$1006:Q1006),$P$1006:$S$1006,0)))),"Fix")))</f>
        <v>0</v>
      </c>
      <c r="D4" s="3">
        <f>IF(OR(INDEX($J$2:$J$1001,MATCH(ROWS($I$2:I4),$I$2:$I$1001,0),1)&gt;=100000,INDEX($P$1005:$S$1005,1,MATCH(COLUMNS($P$1006:R1006),$P$1006:$S$1006,0))&gt;=100000), " ",IF(INDEX($P$2:$S$1001,MATCH(ROWS($I$2:I4),$I$2:$I$1001,0),MATCH(COLUMNS($P$1006:R1006),$P$1006:$S$1006,0)), HYPERLINK("#",""), HYPERLINK(CONCATENATE("#metadata!", ADDRESS(INDEX($K$2:$K$1001,MATCH(ROWS($I$2:I4),$I$2:$I$1001,0),0), INDEX($P$1004:$S$1004,1,MATCH(COLUMNS($P$1006:R1006),$P$1006:$S$1006,0)))),"Fix")))</f>
        <v>0</v>
      </c>
      <c r="E4" s="3">
        <f>IF(OR(INDEX($J$2:$J$1001,MATCH(ROWS($I$2:I4),$I$2:$I$1001,0),1)&gt;=100000,INDEX($P$1005:$S$1005,1,MATCH(COLUMNS($P$1006:S1006),$P$1006:$S$1006,0))&gt;=100000), " ",IF(INDEX($P$2:$S$1001,MATCH(ROWS($I$2:I4),$I$2:$I$1001,0),MATCH(COLUMNS($P$1006:S1006),$P$1006:$S$1006,0)), HYPERLINK("#",""), HYPERLINK(CONCATENATE("#metadata!", ADDRESS(INDEX($K$2:$K$1001,MATCH(ROWS($I$2:I4),$I$2:$I$1001,0),0), INDEX($P$1004:$S$1004,1,MATCH(COLUMNS($P$1006:S1006),$P$1006:$S$1006,0)))),"Fix")))</f>
        <v>0</v>
      </c>
      <c r="I4">
        <v>0</v>
      </c>
      <c r="J4">
        <v>0</v>
      </c>
      <c r="K4">
        <v>0</v>
      </c>
      <c r="L4">
        <f>IF(M4,TRUE,AND(P4:S4))</f>
        <v>0</v>
      </c>
      <c r="M4">
        <f>COUNTBLANK(metadata!B4:E4)=COLUMNS(metadata!B4:E4)</f>
        <v>0</v>
      </c>
      <c r="N4">
        <v>0</v>
      </c>
      <c r="P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Q4">
        <f>AND(IF(metadata!C4="",FALSE,TRUE),exact(metadata!C4,"other"))</f>
        <v>0</v>
      </c>
      <c r="R4">
        <f>AND(IF(metadata!D4="",FALSE,TRUE),exact(metadata!D4,"metagenome"))</f>
        <v>0</v>
      </c>
      <c r="S4">
        <f>AND(IF(metadata!E4="",FALSE,TRUE),exact(metadata!E4,"256318"))</f>
        <v>0</v>
      </c>
    </row>
    <row r="5" spans="1:19">
      <c r="A5" s="4">
        <f>IF(B5=" "," ",HYPERLINK(CONCATENATE("#metadata!",ADDRESS(INDEX($K$2:$K$1001,MATCH(ROWS($I$2:I5),$I$2:$I$1001,0),0),1)),INDEX($N$2:$N$1001,MATCH(ROWS($I$2:I5),$I$2:$I$1001,0),0)))</f>
        <v>0</v>
      </c>
      <c r="B5" s="3">
        <f>IF(OR(INDEX($J$2:$J$1001,MATCH(ROWS($I$2:I5),$I$2:$I$1001,0),1)&gt;=100000,INDEX($P$1005:$S$1005,1,MATCH(COLUMNS($P$1006:P1006),$P$1006:$S$1006,0))&gt;=100000), " ",IF(INDEX($P$2:$S$1001,MATCH(ROWS($I$2:I5),$I$2:$I$1001,0),MATCH(COLUMNS($P$1006:P1006),$P$1006:$S$1006,0)), HYPERLINK("#",""), HYPERLINK(CONCATENATE("#metadata!", ADDRESS(INDEX($K$2:$K$1001,MATCH(ROWS($I$2:I5),$I$2:$I$1001,0),0), INDEX($P$1004:$S$1004,1,MATCH(COLUMNS($P$1006:P1006),$P$1006:$S$1006,0)))),"Fix")))</f>
        <v>0</v>
      </c>
      <c r="C5" s="3">
        <f>IF(OR(INDEX($J$2:$J$1001,MATCH(ROWS($I$2:I5),$I$2:$I$1001,0),1)&gt;=100000,INDEX($P$1005:$S$1005,1,MATCH(COLUMNS($P$1006:Q1006),$P$1006:$S$1006,0))&gt;=100000), " ",IF(INDEX($P$2:$S$1001,MATCH(ROWS($I$2:I5),$I$2:$I$1001,0),MATCH(COLUMNS($P$1006:Q1006),$P$1006:$S$1006,0)), HYPERLINK("#",""), HYPERLINK(CONCATENATE("#metadata!", ADDRESS(INDEX($K$2:$K$1001,MATCH(ROWS($I$2:I5),$I$2:$I$1001,0),0), INDEX($P$1004:$S$1004,1,MATCH(COLUMNS($P$1006:Q1006),$P$1006:$S$1006,0)))),"Fix")))</f>
        <v>0</v>
      </c>
      <c r="D5" s="3">
        <f>IF(OR(INDEX($J$2:$J$1001,MATCH(ROWS($I$2:I5),$I$2:$I$1001,0),1)&gt;=100000,INDEX($P$1005:$S$1005,1,MATCH(COLUMNS($P$1006:R1006),$P$1006:$S$1006,0))&gt;=100000), " ",IF(INDEX($P$2:$S$1001,MATCH(ROWS($I$2:I5),$I$2:$I$1001,0),MATCH(COLUMNS($P$1006:R1006),$P$1006:$S$1006,0)), HYPERLINK("#",""), HYPERLINK(CONCATENATE("#metadata!", ADDRESS(INDEX($K$2:$K$1001,MATCH(ROWS($I$2:I5),$I$2:$I$1001,0),0), INDEX($P$1004:$S$1004,1,MATCH(COLUMNS($P$1006:R1006),$P$1006:$S$1006,0)))),"Fix")))</f>
        <v>0</v>
      </c>
      <c r="E5" s="3">
        <f>IF(OR(INDEX($J$2:$J$1001,MATCH(ROWS($I$2:I5),$I$2:$I$1001,0),1)&gt;=100000,INDEX($P$1005:$S$1005,1,MATCH(COLUMNS($P$1006:S1006),$P$1006:$S$1006,0))&gt;=100000), " ",IF(INDEX($P$2:$S$1001,MATCH(ROWS($I$2:I5),$I$2:$I$1001,0),MATCH(COLUMNS($P$1006:S1006),$P$1006:$S$1006,0)), HYPERLINK("#",""), HYPERLINK(CONCATENATE("#metadata!", ADDRESS(INDEX($K$2:$K$1001,MATCH(ROWS($I$2:I5),$I$2:$I$1001,0),0), INDEX($P$1004:$S$1004,1,MATCH(COLUMNS($P$1006:S1006),$P$1006:$S$1006,0)))),"Fix")))</f>
        <v>0</v>
      </c>
      <c r="I5">
        <v>0</v>
      </c>
      <c r="J5">
        <v>0</v>
      </c>
      <c r="K5">
        <v>0</v>
      </c>
      <c r="L5">
        <f>IF(M5,TRUE,AND(P5:S5))</f>
        <v>0</v>
      </c>
      <c r="M5">
        <f>COUNTBLANK(metadata!B5:E5)=COLUMNS(metadata!B5:E5)</f>
        <v>0</v>
      </c>
      <c r="N5">
        <v>0</v>
      </c>
      <c r="P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Q5">
        <f>AND(IF(metadata!C5="",FALSE,TRUE),exact(metadata!C5,"other"))</f>
        <v>0</v>
      </c>
      <c r="R5">
        <f>AND(IF(metadata!D5="",FALSE,TRUE),exact(metadata!D5,"metagenome"))</f>
        <v>0</v>
      </c>
      <c r="S5">
        <f>AND(IF(metadata!E5="",FALSE,TRUE),exact(metadata!E5,"256318"))</f>
        <v>0</v>
      </c>
    </row>
    <row r="6" spans="1:19">
      <c r="A6" s="4">
        <f>IF(B6=" "," ",HYPERLINK(CONCATENATE("#metadata!",ADDRESS(INDEX($K$2:$K$1001,MATCH(ROWS($I$2:I6),$I$2:$I$1001,0),0),1)),INDEX($N$2:$N$1001,MATCH(ROWS($I$2:I6),$I$2:$I$1001,0),0)))</f>
        <v>0</v>
      </c>
      <c r="B6" s="3">
        <f>IF(OR(INDEX($J$2:$J$1001,MATCH(ROWS($I$2:I6),$I$2:$I$1001,0),1)&gt;=100000,INDEX($P$1005:$S$1005,1,MATCH(COLUMNS($P$1006:P1006),$P$1006:$S$1006,0))&gt;=100000), " ",IF(INDEX($P$2:$S$1001,MATCH(ROWS($I$2:I6),$I$2:$I$1001,0),MATCH(COLUMNS($P$1006:P1006),$P$1006:$S$1006,0)), HYPERLINK("#",""), HYPERLINK(CONCATENATE("#metadata!", ADDRESS(INDEX($K$2:$K$1001,MATCH(ROWS($I$2:I6),$I$2:$I$1001,0),0), INDEX($P$1004:$S$1004,1,MATCH(COLUMNS($P$1006:P1006),$P$1006:$S$1006,0)))),"Fix")))</f>
        <v>0</v>
      </c>
      <c r="C6" s="3">
        <f>IF(OR(INDEX($J$2:$J$1001,MATCH(ROWS($I$2:I6),$I$2:$I$1001,0),1)&gt;=100000,INDEX($P$1005:$S$1005,1,MATCH(COLUMNS($P$1006:Q1006),$P$1006:$S$1006,0))&gt;=100000), " ",IF(INDEX($P$2:$S$1001,MATCH(ROWS($I$2:I6),$I$2:$I$1001,0),MATCH(COLUMNS($P$1006:Q1006),$P$1006:$S$1006,0)), HYPERLINK("#",""), HYPERLINK(CONCATENATE("#metadata!", ADDRESS(INDEX($K$2:$K$1001,MATCH(ROWS($I$2:I6),$I$2:$I$1001,0),0), INDEX($P$1004:$S$1004,1,MATCH(COLUMNS($P$1006:Q1006),$P$1006:$S$1006,0)))),"Fix")))</f>
        <v>0</v>
      </c>
      <c r="D6" s="3">
        <f>IF(OR(INDEX($J$2:$J$1001,MATCH(ROWS($I$2:I6),$I$2:$I$1001,0),1)&gt;=100000,INDEX($P$1005:$S$1005,1,MATCH(COLUMNS($P$1006:R1006),$P$1006:$S$1006,0))&gt;=100000), " ",IF(INDEX($P$2:$S$1001,MATCH(ROWS($I$2:I6),$I$2:$I$1001,0),MATCH(COLUMNS($P$1006:R1006),$P$1006:$S$1006,0)), HYPERLINK("#",""), HYPERLINK(CONCATENATE("#metadata!", ADDRESS(INDEX($K$2:$K$1001,MATCH(ROWS($I$2:I6),$I$2:$I$1001,0),0), INDEX($P$1004:$S$1004,1,MATCH(COLUMNS($P$1006:R1006),$P$1006:$S$1006,0)))),"Fix")))</f>
        <v>0</v>
      </c>
      <c r="E6" s="3">
        <f>IF(OR(INDEX($J$2:$J$1001,MATCH(ROWS($I$2:I6),$I$2:$I$1001,0),1)&gt;=100000,INDEX($P$1005:$S$1005,1,MATCH(COLUMNS($P$1006:S1006),$P$1006:$S$1006,0))&gt;=100000), " ",IF(INDEX($P$2:$S$1001,MATCH(ROWS($I$2:I6),$I$2:$I$1001,0),MATCH(COLUMNS($P$1006:S1006),$P$1006:$S$1006,0)), HYPERLINK("#",""), HYPERLINK(CONCATENATE("#metadata!", ADDRESS(INDEX($K$2:$K$1001,MATCH(ROWS($I$2:I6),$I$2:$I$1001,0),0), INDEX($P$1004:$S$1004,1,MATCH(COLUMNS($P$1006:S1006),$P$1006:$S$1006,0)))),"Fix")))</f>
        <v>0</v>
      </c>
      <c r="I6">
        <v>0</v>
      </c>
      <c r="J6">
        <v>0</v>
      </c>
      <c r="K6">
        <v>0</v>
      </c>
      <c r="L6">
        <f>IF(M6,TRUE,AND(P6:S6))</f>
        <v>0</v>
      </c>
      <c r="M6">
        <f>COUNTBLANK(metadata!B6:E6)=COLUMNS(metadata!B6:E6)</f>
        <v>0</v>
      </c>
      <c r="N6">
        <v>0</v>
      </c>
      <c r="P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Q6">
        <f>AND(IF(metadata!C6="",FALSE,TRUE),exact(metadata!C6,"other"))</f>
        <v>0</v>
      </c>
      <c r="R6">
        <f>AND(IF(metadata!D6="",FALSE,TRUE),exact(metadata!D6,"metagenome"))</f>
        <v>0</v>
      </c>
      <c r="S6">
        <f>AND(IF(metadata!E6="",FALSE,TRUE),exact(metadata!E6,"256318"))</f>
        <v>0</v>
      </c>
    </row>
    <row r="7" spans="1:19">
      <c r="A7" s="4">
        <f>IF(B7=" "," ",HYPERLINK(CONCATENATE("#metadata!",ADDRESS(INDEX($K$2:$K$1001,MATCH(ROWS($I$2:I7),$I$2:$I$1001,0),0),1)),INDEX($N$2:$N$1001,MATCH(ROWS($I$2:I7),$I$2:$I$1001,0),0)))</f>
        <v>0</v>
      </c>
      <c r="B7" s="3">
        <f>IF(OR(INDEX($J$2:$J$1001,MATCH(ROWS($I$2:I7),$I$2:$I$1001,0),1)&gt;=100000,INDEX($P$1005:$S$1005,1,MATCH(COLUMNS($P$1006:P1006),$P$1006:$S$1006,0))&gt;=100000), " ",IF(INDEX($P$2:$S$1001,MATCH(ROWS($I$2:I7),$I$2:$I$1001,0),MATCH(COLUMNS($P$1006:P1006),$P$1006:$S$1006,0)), HYPERLINK("#",""), HYPERLINK(CONCATENATE("#metadata!", ADDRESS(INDEX($K$2:$K$1001,MATCH(ROWS($I$2:I7),$I$2:$I$1001,0),0), INDEX($P$1004:$S$1004,1,MATCH(COLUMNS($P$1006:P1006),$P$1006:$S$1006,0)))),"Fix")))</f>
        <v>0</v>
      </c>
      <c r="C7" s="3">
        <f>IF(OR(INDEX($J$2:$J$1001,MATCH(ROWS($I$2:I7),$I$2:$I$1001,0),1)&gt;=100000,INDEX($P$1005:$S$1005,1,MATCH(COLUMNS($P$1006:Q1006),$P$1006:$S$1006,0))&gt;=100000), " ",IF(INDEX($P$2:$S$1001,MATCH(ROWS($I$2:I7),$I$2:$I$1001,0),MATCH(COLUMNS($P$1006:Q1006),$P$1006:$S$1006,0)), HYPERLINK("#",""), HYPERLINK(CONCATENATE("#metadata!", ADDRESS(INDEX($K$2:$K$1001,MATCH(ROWS($I$2:I7),$I$2:$I$1001,0),0), INDEX($P$1004:$S$1004,1,MATCH(COLUMNS($P$1006:Q1006),$P$1006:$S$1006,0)))),"Fix")))</f>
        <v>0</v>
      </c>
      <c r="D7" s="3">
        <f>IF(OR(INDEX($J$2:$J$1001,MATCH(ROWS($I$2:I7),$I$2:$I$1001,0),1)&gt;=100000,INDEX($P$1005:$S$1005,1,MATCH(COLUMNS($P$1006:R1006),$P$1006:$S$1006,0))&gt;=100000), " ",IF(INDEX($P$2:$S$1001,MATCH(ROWS($I$2:I7),$I$2:$I$1001,0),MATCH(COLUMNS($P$1006:R1006),$P$1006:$S$1006,0)), HYPERLINK("#",""), HYPERLINK(CONCATENATE("#metadata!", ADDRESS(INDEX($K$2:$K$1001,MATCH(ROWS($I$2:I7),$I$2:$I$1001,0),0), INDEX($P$1004:$S$1004,1,MATCH(COLUMNS($P$1006:R1006),$P$1006:$S$1006,0)))),"Fix")))</f>
        <v>0</v>
      </c>
      <c r="E7" s="3">
        <f>IF(OR(INDEX($J$2:$J$1001,MATCH(ROWS($I$2:I7),$I$2:$I$1001,0),1)&gt;=100000,INDEX($P$1005:$S$1005,1,MATCH(COLUMNS($P$1006:S1006),$P$1006:$S$1006,0))&gt;=100000), " ",IF(INDEX($P$2:$S$1001,MATCH(ROWS($I$2:I7),$I$2:$I$1001,0),MATCH(COLUMNS($P$1006:S1006),$P$1006:$S$1006,0)), HYPERLINK("#",""), HYPERLINK(CONCATENATE("#metadata!", ADDRESS(INDEX($K$2:$K$1001,MATCH(ROWS($I$2:I7),$I$2:$I$1001,0),0), INDEX($P$1004:$S$1004,1,MATCH(COLUMNS($P$1006:S1006),$P$1006:$S$1006,0)))),"Fix")))</f>
        <v>0</v>
      </c>
      <c r="I7">
        <v>0</v>
      </c>
      <c r="J7">
        <v>0</v>
      </c>
      <c r="K7">
        <v>0</v>
      </c>
      <c r="L7">
        <f>IF(M7,TRUE,AND(P7:S7))</f>
        <v>0</v>
      </c>
      <c r="M7">
        <f>COUNTBLANK(metadata!B7:E7)=COLUMNS(metadata!B7:E7)</f>
        <v>0</v>
      </c>
      <c r="N7">
        <v>0</v>
      </c>
      <c r="P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Q7">
        <f>AND(IF(metadata!C7="",FALSE,TRUE),exact(metadata!C7,"other"))</f>
        <v>0</v>
      </c>
      <c r="R7">
        <f>AND(IF(metadata!D7="",FALSE,TRUE),exact(metadata!D7,"metagenome"))</f>
        <v>0</v>
      </c>
      <c r="S7">
        <f>AND(IF(metadata!E7="",FALSE,TRUE),exact(metadata!E7,"256318"))</f>
        <v>0</v>
      </c>
    </row>
    <row r="8" spans="1:19">
      <c r="A8" s="4">
        <f>IF(B8=" "," ",HYPERLINK(CONCATENATE("#metadata!",ADDRESS(INDEX($K$2:$K$1001,MATCH(ROWS($I$2:I8),$I$2:$I$1001,0),0),1)),INDEX($N$2:$N$1001,MATCH(ROWS($I$2:I8),$I$2:$I$1001,0),0)))</f>
        <v>0</v>
      </c>
      <c r="B8" s="3">
        <f>IF(OR(INDEX($J$2:$J$1001,MATCH(ROWS($I$2:I8),$I$2:$I$1001,0),1)&gt;=100000,INDEX($P$1005:$S$1005,1,MATCH(COLUMNS($P$1006:P1006),$P$1006:$S$1006,0))&gt;=100000), " ",IF(INDEX($P$2:$S$1001,MATCH(ROWS($I$2:I8),$I$2:$I$1001,0),MATCH(COLUMNS($P$1006:P1006),$P$1006:$S$1006,0)), HYPERLINK("#",""), HYPERLINK(CONCATENATE("#metadata!", ADDRESS(INDEX($K$2:$K$1001,MATCH(ROWS($I$2:I8),$I$2:$I$1001,0),0), INDEX($P$1004:$S$1004,1,MATCH(COLUMNS($P$1006:P1006),$P$1006:$S$1006,0)))),"Fix")))</f>
        <v>0</v>
      </c>
      <c r="C8" s="3">
        <f>IF(OR(INDEX($J$2:$J$1001,MATCH(ROWS($I$2:I8),$I$2:$I$1001,0),1)&gt;=100000,INDEX($P$1005:$S$1005,1,MATCH(COLUMNS($P$1006:Q1006),$P$1006:$S$1006,0))&gt;=100000), " ",IF(INDEX($P$2:$S$1001,MATCH(ROWS($I$2:I8),$I$2:$I$1001,0),MATCH(COLUMNS($P$1006:Q1006),$P$1006:$S$1006,0)), HYPERLINK("#",""), HYPERLINK(CONCATENATE("#metadata!", ADDRESS(INDEX($K$2:$K$1001,MATCH(ROWS($I$2:I8),$I$2:$I$1001,0),0), INDEX($P$1004:$S$1004,1,MATCH(COLUMNS($P$1006:Q1006),$P$1006:$S$1006,0)))),"Fix")))</f>
        <v>0</v>
      </c>
      <c r="D8" s="3">
        <f>IF(OR(INDEX($J$2:$J$1001,MATCH(ROWS($I$2:I8),$I$2:$I$1001,0),1)&gt;=100000,INDEX($P$1005:$S$1005,1,MATCH(COLUMNS($P$1006:R1006),$P$1006:$S$1006,0))&gt;=100000), " ",IF(INDEX($P$2:$S$1001,MATCH(ROWS($I$2:I8),$I$2:$I$1001,0),MATCH(COLUMNS($P$1006:R1006),$P$1006:$S$1006,0)), HYPERLINK("#",""), HYPERLINK(CONCATENATE("#metadata!", ADDRESS(INDEX($K$2:$K$1001,MATCH(ROWS($I$2:I8),$I$2:$I$1001,0),0), INDEX($P$1004:$S$1004,1,MATCH(COLUMNS($P$1006:R1006),$P$1006:$S$1006,0)))),"Fix")))</f>
        <v>0</v>
      </c>
      <c r="E8" s="3">
        <f>IF(OR(INDEX($J$2:$J$1001,MATCH(ROWS($I$2:I8),$I$2:$I$1001,0),1)&gt;=100000,INDEX($P$1005:$S$1005,1,MATCH(COLUMNS($P$1006:S1006),$P$1006:$S$1006,0))&gt;=100000), " ",IF(INDEX($P$2:$S$1001,MATCH(ROWS($I$2:I8),$I$2:$I$1001,0),MATCH(COLUMNS($P$1006:S1006),$P$1006:$S$1006,0)), HYPERLINK("#",""), HYPERLINK(CONCATENATE("#metadata!", ADDRESS(INDEX($K$2:$K$1001,MATCH(ROWS($I$2:I8),$I$2:$I$1001,0),0), INDEX($P$1004:$S$1004,1,MATCH(COLUMNS($P$1006:S1006),$P$1006:$S$1006,0)))),"Fix")))</f>
        <v>0</v>
      </c>
      <c r="I8">
        <v>0</v>
      </c>
      <c r="J8">
        <v>0</v>
      </c>
      <c r="K8">
        <v>0</v>
      </c>
      <c r="L8">
        <f>IF(M8,TRUE,AND(P8:S8))</f>
        <v>0</v>
      </c>
      <c r="M8">
        <f>COUNTBLANK(metadata!B8:E8)=COLUMNS(metadata!B8:E8)</f>
        <v>0</v>
      </c>
      <c r="N8">
        <v>0</v>
      </c>
      <c r="P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Q8">
        <f>AND(IF(metadata!C8="",FALSE,TRUE),exact(metadata!C8,"other"))</f>
        <v>0</v>
      </c>
      <c r="R8">
        <f>AND(IF(metadata!D8="",FALSE,TRUE),exact(metadata!D8,"metagenome"))</f>
        <v>0</v>
      </c>
      <c r="S8">
        <f>AND(IF(metadata!E8="",FALSE,TRUE),exact(metadata!E8,"256318"))</f>
        <v>0</v>
      </c>
    </row>
    <row r="9" spans="1:19">
      <c r="A9" s="4">
        <f>IF(B9=" "," ",HYPERLINK(CONCATENATE("#metadata!",ADDRESS(INDEX($K$2:$K$1001,MATCH(ROWS($I$2:I9),$I$2:$I$1001,0),0),1)),INDEX($N$2:$N$1001,MATCH(ROWS($I$2:I9),$I$2:$I$1001,0),0)))</f>
        <v>0</v>
      </c>
      <c r="B9" s="3">
        <f>IF(OR(INDEX($J$2:$J$1001,MATCH(ROWS($I$2:I9),$I$2:$I$1001,0),1)&gt;=100000,INDEX($P$1005:$S$1005,1,MATCH(COLUMNS($P$1006:P1006),$P$1006:$S$1006,0))&gt;=100000), " ",IF(INDEX($P$2:$S$1001,MATCH(ROWS($I$2:I9),$I$2:$I$1001,0),MATCH(COLUMNS($P$1006:P1006),$P$1006:$S$1006,0)), HYPERLINK("#",""), HYPERLINK(CONCATENATE("#metadata!", ADDRESS(INDEX($K$2:$K$1001,MATCH(ROWS($I$2:I9),$I$2:$I$1001,0),0), INDEX($P$1004:$S$1004,1,MATCH(COLUMNS($P$1006:P1006),$P$1006:$S$1006,0)))),"Fix")))</f>
        <v>0</v>
      </c>
      <c r="C9" s="3">
        <f>IF(OR(INDEX($J$2:$J$1001,MATCH(ROWS($I$2:I9),$I$2:$I$1001,0),1)&gt;=100000,INDEX($P$1005:$S$1005,1,MATCH(COLUMNS($P$1006:Q1006),$P$1006:$S$1006,0))&gt;=100000), " ",IF(INDEX($P$2:$S$1001,MATCH(ROWS($I$2:I9),$I$2:$I$1001,0),MATCH(COLUMNS($P$1006:Q1006),$P$1006:$S$1006,0)), HYPERLINK("#",""), HYPERLINK(CONCATENATE("#metadata!", ADDRESS(INDEX($K$2:$K$1001,MATCH(ROWS($I$2:I9),$I$2:$I$1001,0),0), INDEX($P$1004:$S$1004,1,MATCH(COLUMNS($P$1006:Q1006),$P$1006:$S$1006,0)))),"Fix")))</f>
        <v>0</v>
      </c>
      <c r="D9" s="3">
        <f>IF(OR(INDEX($J$2:$J$1001,MATCH(ROWS($I$2:I9),$I$2:$I$1001,0),1)&gt;=100000,INDEX($P$1005:$S$1005,1,MATCH(COLUMNS($P$1006:R1006),$P$1006:$S$1006,0))&gt;=100000), " ",IF(INDEX($P$2:$S$1001,MATCH(ROWS($I$2:I9),$I$2:$I$1001,0),MATCH(COLUMNS($P$1006:R1006),$P$1006:$S$1006,0)), HYPERLINK("#",""), HYPERLINK(CONCATENATE("#metadata!", ADDRESS(INDEX($K$2:$K$1001,MATCH(ROWS($I$2:I9),$I$2:$I$1001,0),0), INDEX($P$1004:$S$1004,1,MATCH(COLUMNS($P$1006:R1006),$P$1006:$S$1006,0)))),"Fix")))</f>
        <v>0</v>
      </c>
      <c r="E9" s="3">
        <f>IF(OR(INDEX($J$2:$J$1001,MATCH(ROWS($I$2:I9),$I$2:$I$1001,0),1)&gt;=100000,INDEX($P$1005:$S$1005,1,MATCH(COLUMNS($P$1006:S1006),$P$1006:$S$1006,0))&gt;=100000), " ",IF(INDEX($P$2:$S$1001,MATCH(ROWS($I$2:I9),$I$2:$I$1001,0),MATCH(COLUMNS($P$1006:S1006),$P$1006:$S$1006,0)), HYPERLINK("#",""), HYPERLINK(CONCATENATE("#metadata!", ADDRESS(INDEX($K$2:$K$1001,MATCH(ROWS($I$2:I9),$I$2:$I$1001,0),0), INDEX($P$1004:$S$1004,1,MATCH(COLUMNS($P$1006:S1006),$P$1006:$S$1006,0)))),"Fix")))</f>
        <v>0</v>
      </c>
      <c r="I9">
        <v>0</v>
      </c>
      <c r="J9">
        <v>0</v>
      </c>
      <c r="K9">
        <v>0</v>
      </c>
      <c r="L9">
        <f>IF(M9,TRUE,AND(P9:S9))</f>
        <v>0</v>
      </c>
      <c r="M9">
        <f>COUNTBLANK(metadata!B9:E9)=COLUMNS(metadata!B9:E9)</f>
        <v>0</v>
      </c>
      <c r="N9">
        <v>0</v>
      </c>
      <c r="P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Q9">
        <f>AND(IF(metadata!C9="",FALSE,TRUE),exact(metadata!C9,"other"))</f>
        <v>0</v>
      </c>
      <c r="R9">
        <f>AND(IF(metadata!D9="",FALSE,TRUE),exact(metadata!D9,"metagenome"))</f>
        <v>0</v>
      </c>
      <c r="S9">
        <f>AND(IF(metadata!E9="",FALSE,TRUE),exact(metadata!E9,"256318"))</f>
        <v>0</v>
      </c>
    </row>
    <row r="10" spans="1:19">
      <c r="A10" s="4">
        <f>IF(B10=" "," ",HYPERLINK(CONCATENATE("#metadata!",ADDRESS(INDEX($K$2:$K$1001,MATCH(ROWS($I$2:I10),$I$2:$I$1001,0),0),1)),INDEX($N$2:$N$1001,MATCH(ROWS($I$2:I10),$I$2:$I$1001,0),0)))</f>
        <v>0</v>
      </c>
      <c r="B10" s="3">
        <f>IF(OR(INDEX($J$2:$J$1001,MATCH(ROWS($I$2:I10),$I$2:$I$1001,0),1)&gt;=100000,INDEX($P$1005:$S$1005,1,MATCH(COLUMNS($P$1006:P1006),$P$1006:$S$1006,0))&gt;=100000), " ",IF(INDEX($P$2:$S$1001,MATCH(ROWS($I$2:I10),$I$2:$I$1001,0),MATCH(COLUMNS($P$1006:P1006),$P$1006:$S$1006,0)), HYPERLINK("#",""), HYPERLINK(CONCATENATE("#metadata!", ADDRESS(INDEX($K$2:$K$1001,MATCH(ROWS($I$2:I10),$I$2:$I$1001,0),0), INDEX($P$1004:$S$1004,1,MATCH(COLUMNS($P$1006:P1006),$P$1006:$S$1006,0)))),"Fix")))</f>
        <v>0</v>
      </c>
      <c r="C10" s="3">
        <f>IF(OR(INDEX($J$2:$J$1001,MATCH(ROWS($I$2:I10),$I$2:$I$1001,0),1)&gt;=100000,INDEX($P$1005:$S$1005,1,MATCH(COLUMNS($P$1006:Q1006),$P$1006:$S$1006,0))&gt;=100000), " ",IF(INDEX($P$2:$S$1001,MATCH(ROWS($I$2:I10),$I$2:$I$1001,0),MATCH(COLUMNS($P$1006:Q1006),$P$1006:$S$1006,0)), HYPERLINK("#",""), HYPERLINK(CONCATENATE("#metadata!", ADDRESS(INDEX($K$2:$K$1001,MATCH(ROWS($I$2:I10),$I$2:$I$1001,0),0), INDEX($P$1004:$S$1004,1,MATCH(COLUMNS($P$1006:Q1006),$P$1006:$S$1006,0)))),"Fix")))</f>
        <v>0</v>
      </c>
      <c r="D10" s="3">
        <f>IF(OR(INDEX($J$2:$J$1001,MATCH(ROWS($I$2:I10),$I$2:$I$1001,0),1)&gt;=100000,INDEX($P$1005:$S$1005,1,MATCH(COLUMNS($P$1006:R1006),$P$1006:$S$1006,0))&gt;=100000), " ",IF(INDEX($P$2:$S$1001,MATCH(ROWS($I$2:I10),$I$2:$I$1001,0),MATCH(COLUMNS($P$1006:R1006),$P$1006:$S$1006,0)), HYPERLINK("#",""), HYPERLINK(CONCATENATE("#metadata!", ADDRESS(INDEX($K$2:$K$1001,MATCH(ROWS($I$2:I10),$I$2:$I$1001,0),0), INDEX($P$1004:$S$1004,1,MATCH(COLUMNS($P$1006:R1006),$P$1006:$S$1006,0)))),"Fix")))</f>
        <v>0</v>
      </c>
      <c r="E10" s="3">
        <f>IF(OR(INDEX($J$2:$J$1001,MATCH(ROWS($I$2:I10),$I$2:$I$1001,0),1)&gt;=100000,INDEX($P$1005:$S$1005,1,MATCH(COLUMNS($P$1006:S1006),$P$1006:$S$1006,0))&gt;=100000), " ",IF(INDEX($P$2:$S$1001,MATCH(ROWS($I$2:I10),$I$2:$I$1001,0),MATCH(COLUMNS($P$1006:S1006),$P$1006:$S$1006,0)), HYPERLINK("#",""), HYPERLINK(CONCATENATE("#metadata!", ADDRESS(INDEX($K$2:$K$1001,MATCH(ROWS($I$2:I10),$I$2:$I$1001,0),0), INDEX($P$1004:$S$1004,1,MATCH(COLUMNS($P$1006:S1006),$P$1006:$S$1006,0)))),"Fix")))</f>
        <v>0</v>
      </c>
      <c r="I10">
        <v>0</v>
      </c>
      <c r="J10">
        <v>0</v>
      </c>
      <c r="K10">
        <v>0</v>
      </c>
      <c r="L10">
        <f>IF(M10,TRUE,AND(P10:S10))</f>
        <v>0</v>
      </c>
      <c r="M10">
        <f>COUNTBLANK(metadata!B10:E10)=COLUMNS(metadata!B10:E10)</f>
        <v>0</v>
      </c>
      <c r="N10">
        <v>0</v>
      </c>
      <c r="P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Q10">
        <f>AND(IF(metadata!C10="",FALSE,TRUE),exact(metadata!C10,"other"))</f>
        <v>0</v>
      </c>
      <c r="R10">
        <f>AND(IF(metadata!D10="",FALSE,TRUE),exact(metadata!D10,"metagenome"))</f>
        <v>0</v>
      </c>
      <c r="S10">
        <f>AND(IF(metadata!E10="",FALSE,TRUE),exact(metadata!E10,"256318"))</f>
        <v>0</v>
      </c>
    </row>
    <row r="11" spans="1:19">
      <c r="A11" s="4">
        <f>IF(B11=" "," ",HYPERLINK(CONCATENATE("#metadata!",ADDRESS(INDEX($K$2:$K$1001,MATCH(ROWS($I$2:I11),$I$2:$I$1001,0),0),1)),INDEX($N$2:$N$1001,MATCH(ROWS($I$2:I11),$I$2:$I$1001,0),0)))</f>
        <v>0</v>
      </c>
      <c r="B11" s="3">
        <f>IF(OR(INDEX($J$2:$J$1001,MATCH(ROWS($I$2:I11),$I$2:$I$1001,0),1)&gt;=100000,INDEX($P$1005:$S$1005,1,MATCH(COLUMNS($P$1006:P1006),$P$1006:$S$1006,0))&gt;=100000), " ",IF(INDEX($P$2:$S$1001,MATCH(ROWS($I$2:I11),$I$2:$I$1001,0),MATCH(COLUMNS($P$1006:P1006),$P$1006:$S$1006,0)), HYPERLINK("#",""), HYPERLINK(CONCATENATE("#metadata!", ADDRESS(INDEX($K$2:$K$1001,MATCH(ROWS($I$2:I11),$I$2:$I$1001,0),0), INDEX($P$1004:$S$1004,1,MATCH(COLUMNS($P$1006:P1006),$P$1006:$S$1006,0)))),"Fix")))</f>
        <v>0</v>
      </c>
      <c r="C11" s="3">
        <f>IF(OR(INDEX($J$2:$J$1001,MATCH(ROWS($I$2:I11),$I$2:$I$1001,0),1)&gt;=100000,INDEX($P$1005:$S$1005,1,MATCH(COLUMNS($P$1006:Q1006),$P$1006:$S$1006,0))&gt;=100000), " ",IF(INDEX($P$2:$S$1001,MATCH(ROWS($I$2:I11),$I$2:$I$1001,0),MATCH(COLUMNS($P$1006:Q1006),$P$1006:$S$1006,0)), HYPERLINK("#",""), HYPERLINK(CONCATENATE("#metadata!", ADDRESS(INDEX($K$2:$K$1001,MATCH(ROWS($I$2:I11),$I$2:$I$1001,0),0), INDEX($P$1004:$S$1004,1,MATCH(COLUMNS($P$1006:Q1006),$P$1006:$S$1006,0)))),"Fix")))</f>
        <v>0</v>
      </c>
      <c r="D11" s="3">
        <f>IF(OR(INDEX($J$2:$J$1001,MATCH(ROWS($I$2:I11),$I$2:$I$1001,0),1)&gt;=100000,INDEX($P$1005:$S$1005,1,MATCH(COLUMNS($P$1006:R1006),$P$1006:$S$1006,0))&gt;=100000), " ",IF(INDEX($P$2:$S$1001,MATCH(ROWS($I$2:I11),$I$2:$I$1001,0),MATCH(COLUMNS($P$1006:R1006),$P$1006:$S$1006,0)), HYPERLINK("#",""), HYPERLINK(CONCATENATE("#metadata!", ADDRESS(INDEX($K$2:$K$1001,MATCH(ROWS($I$2:I11),$I$2:$I$1001,0),0), INDEX($P$1004:$S$1004,1,MATCH(COLUMNS($P$1006:R1006),$P$1006:$S$1006,0)))),"Fix")))</f>
        <v>0</v>
      </c>
      <c r="E11" s="3">
        <f>IF(OR(INDEX($J$2:$J$1001,MATCH(ROWS($I$2:I11),$I$2:$I$1001,0),1)&gt;=100000,INDEX($P$1005:$S$1005,1,MATCH(COLUMNS($P$1006:S1006),$P$1006:$S$1006,0))&gt;=100000), " ",IF(INDEX($P$2:$S$1001,MATCH(ROWS($I$2:I11),$I$2:$I$1001,0),MATCH(COLUMNS($P$1006:S1006),$P$1006:$S$1006,0)), HYPERLINK("#",""), HYPERLINK(CONCATENATE("#metadata!", ADDRESS(INDEX($K$2:$K$1001,MATCH(ROWS($I$2:I11),$I$2:$I$1001,0),0), INDEX($P$1004:$S$1004,1,MATCH(COLUMNS($P$1006:S1006),$P$1006:$S$1006,0)))),"Fix")))</f>
        <v>0</v>
      </c>
      <c r="I11">
        <v>0</v>
      </c>
      <c r="J11">
        <v>0</v>
      </c>
      <c r="K11">
        <v>0</v>
      </c>
      <c r="L11">
        <f>IF(M11,TRUE,AND(P11:S11))</f>
        <v>0</v>
      </c>
      <c r="M11">
        <f>COUNTBLANK(metadata!B11:E11)=COLUMNS(metadata!B11:E11)</f>
        <v>0</v>
      </c>
      <c r="N11">
        <v>0</v>
      </c>
      <c r="P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Q11">
        <f>AND(IF(metadata!C11="",FALSE,TRUE),exact(metadata!C11,"other"))</f>
        <v>0</v>
      </c>
      <c r="R11">
        <f>AND(IF(metadata!D11="",FALSE,TRUE),exact(metadata!D11,"metagenome"))</f>
        <v>0</v>
      </c>
      <c r="S11">
        <f>AND(IF(metadata!E11="",FALSE,TRUE),exact(metadata!E11,"256318"))</f>
        <v>0</v>
      </c>
    </row>
    <row r="12" spans="1:19">
      <c r="A12" s="4">
        <f>IF(B12=" "," ",HYPERLINK(CONCATENATE("#metadata!",ADDRESS(INDEX($K$2:$K$1001,MATCH(ROWS($I$2:I12),$I$2:$I$1001,0),0),1)),INDEX($N$2:$N$1001,MATCH(ROWS($I$2:I12),$I$2:$I$1001,0),0)))</f>
        <v>0</v>
      </c>
      <c r="B12" s="3">
        <f>IF(OR(INDEX($J$2:$J$1001,MATCH(ROWS($I$2:I12),$I$2:$I$1001,0),1)&gt;=100000,INDEX($P$1005:$S$1005,1,MATCH(COLUMNS($P$1006:P1006),$P$1006:$S$1006,0))&gt;=100000), " ",IF(INDEX($P$2:$S$1001,MATCH(ROWS($I$2:I12),$I$2:$I$1001,0),MATCH(COLUMNS($P$1006:P1006),$P$1006:$S$1006,0)), HYPERLINK("#",""), HYPERLINK(CONCATENATE("#metadata!", ADDRESS(INDEX($K$2:$K$1001,MATCH(ROWS($I$2:I12),$I$2:$I$1001,0),0), INDEX($P$1004:$S$1004,1,MATCH(COLUMNS($P$1006:P1006),$P$1006:$S$1006,0)))),"Fix")))</f>
        <v>0</v>
      </c>
      <c r="C12" s="3">
        <f>IF(OR(INDEX($J$2:$J$1001,MATCH(ROWS($I$2:I12),$I$2:$I$1001,0),1)&gt;=100000,INDEX($P$1005:$S$1005,1,MATCH(COLUMNS($P$1006:Q1006),$P$1006:$S$1006,0))&gt;=100000), " ",IF(INDEX($P$2:$S$1001,MATCH(ROWS($I$2:I12),$I$2:$I$1001,0),MATCH(COLUMNS($P$1006:Q1006),$P$1006:$S$1006,0)), HYPERLINK("#",""), HYPERLINK(CONCATENATE("#metadata!", ADDRESS(INDEX($K$2:$K$1001,MATCH(ROWS($I$2:I12),$I$2:$I$1001,0),0), INDEX($P$1004:$S$1004,1,MATCH(COLUMNS($P$1006:Q1006),$P$1006:$S$1006,0)))),"Fix")))</f>
        <v>0</v>
      </c>
      <c r="D12" s="3">
        <f>IF(OR(INDEX($J$2:$J$1001,MATCH(ROWS($I$2:I12),$I$2:$I$1001,0),1)&gt;=100000,INDEX($P$1005:$S$1005,1,MATCH(COLUMNS($P$1006:R1006),$P$1006:$S$1006,0))&gt;=100000), " ",IF(INDEX($P$2:$S$1001,MATCH(ROWS($I$2:I12),$I$2:$I$1001,0),MATCH(COLUMNS($P$1006:R1006),$P$1006:$S$1006,0)), HYPERLINK("#",""), HYPERLINK(CONCATENATE("#metadata!", ADDRESS(INDEX($K$2:$K$1001,MATCH(ROWS($I$2:I12),$I$2:$I$1001,0),0), INDEX($P$1004:$S$1004,1,MATCH(COLUMNS($P$1006:R1006),$P$1006:$S$1006,0)))),"Fix")))</f>
        <v>0</v>
      </c>
      <c r="E12" s="3">
        <f>IF(OR(INDEX($J$2:$J$1001,MATCH(ROWS($I$2:I12),$I$2:$I$1001,0),1)&gt;=100000,INDEX($P$1005:$S$1005,1,MATCH(COLUMNS($P$1006:S1006),$P$1006:$S$1006,0))&gt;=100000), " ",IF(INDEX($P$2:$S$1001,MATCH(ROWS($I$2:I12),$I$2:$I$1001,0),MATCH(COLUMNS($P$1006:S1006),$P$1006:$S$1006,0)), HYPERLINK("#",""), HYPERLINK(CONCATENATE("#metadata!", ADDRESS(INDEX($K$2:$K$1001,MATCH(ROWS($I$2:I12),$I$2:$I$1001,0),0), INDEX($P$1004:$S$1004,1,MATCH(COLUMNS($P$1006:S1006),$P$1006:$S$1006,0)))),"Fix")))</f>
        <v>0</v>
      </c>
      <c r="I12">
        <v>0</v>
      </c>
      <c r="J12">
        <v>0</v>
      </c>
      <c r="K12">
        <v>0</v>
      </c>
      <c r="L12">
        <f>IF(M12,TRUE,AND(P12:S12))</f>
        <v>0</v>
      </c>
      <c r="M12">
        <f>COUNTBLANK(metadata!B12:E12)=COLUMNS(metadata!B12:E12)</f>
        <v>0</v>
      </c>
      <c r="N12">
        <v>0</v>
      </c>
      <c r="P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Q12">
        <f>AND(IF(metadata!C12="",FALSE,TRUE),exact(metadata!C12,"other"))</f>
        <v>0</v>
      </c>
      <c r="R12">
        <f>AND(IF(metadata!D12="",FALSE,TRUE),exact(metadata!D12,"metagenome"))</f>
        <v>0</v>
      </c>
      <c r="S12">
        <f>AND(IF(metadata!E12="",FALSE,TRUE),exact(metadata!E12,"256318"))</f>
        <v>0</v>
      </c>
    </row>
    <row r="13" spans="1:19">
      <c r="A13" s="4">
        <f>IF(B13=" "," ",HYPERLINK(CONCATENATE("#metadata!",ADDRESS(INDEX($K$2:$K$1001,MATCH(ROWS($I$2:I13),$I$2:$I$1001,0),0),1)),INDEX($N$2:$N$1001,MATCH(ROWS($I$2:I13),$I$2:$I$1001,0),0)))</f>
        <v>0</v>
      </c>
      <c r="B13" s="3">
        <f>IF(OR(INDEX($J$2:$J$1001,MATCH(ROWS($I$2:I13),$I$2:$I$1001,0),1)&gt;=100000,INDEX($P$1005:$S$1005,1,MATCH(COLUMNS($P$1006:P1006),$P$1006:$S$1006,0))&gt;=100000), " ",IF(INDEX($P$2:$S$1001,MATCH(ROWS($I$2:I13),$I$2:$I$1001,0),MATCH(COLUMNS($P$1006:P1006),$P$1006:$S$1006,0)), HYPERLINK("#",""), HYPERLINK(CONCATENATE("#metadata!", ADDRESS(INDEX($K$2:$K$1001,MATCH(ROWS($I$2:I13),$I$2:$I$1001,0),0), INDEX($P$1004:$S$1004,1,MATCH(COLUMNS($P$1006:P1006),$P$1006:$S$1006,0)))),"Fix")))</f>
        <v>0</v>
      </c>
      <c r="C13" s="3">
        <f>IF(OR(INDEX($J$2:$J$1001,MATCH(ROWS($I$2:I13),$I$2:$I$1001,0),1)&gt;=100000,INDEX($P$1005:$S$1005,1,MATCH(COLUMNS($P$1006:Q1006),$P$1006:$S$1006,0))&gt;=100000), " ",IF(INDEX($P$2:$S$1001,MATCH(ROWS($I$2:I13),$I$2:$I$1001,0),MATCH(COLUMNS($P$1006:Q1006),$P$1006:$S$1006,0)), HYPERLINK("#",""), HYPERLINK(CONCATENATE("#metadata!", ADDRESS(INDEX($K$2:$K$1001,MATCH(ROWS($I$2:I13),$I$2:$I$1001,0),0), INDEX($P$1004:$S$1004,1,MATCH(COLUMNS($P$1006:Q1006),$P$1006:$S$1006,0)))),"Fix")))</f>
        <v>0</v>
      </c>
      <c r="D13" s="3">
        <f>IF(OR(INDEX($J$2:$J$1001,MATCH(ROWS($I$2:I13),$I$2:$I$1001,0),1)&gt;=100000,INDEX($P$1005:$S$1005,1,MATCH(COLUMNS($P$1006:R1006),$P$1006:$S$1006,0))&gt;=100000), " ",IF(INDEX($P$2:$S$1001,MATCH(ROWS($I$2:I13),$I$2:$I$1001,0),MATCH(COLUMNS($P$1006:R1006),$P$1006:$S$1006,0)), HYPERLINK("#",""), HYPERLINK(CONCATENATE("#metadata!", ADDRESS(INDEX($K$2:$K$1001,MATCH(ROWS($I$2:I13),$I$2:$I$1001,0),0), INDEX($P$1004:$S$1004,1,MATCH(COLUMNS($P$1006:R1006),$P$1006:$S$1006,0)))),"Fix")))</f>
        <v>0</v>
      </c>
      <c r="E13" s="3">
        <f>IF(OR(INDEX($J$2:$J$1001,MATCH(ROWS($I$2:I13),$I$2:$I$1001,0),1)&gt;=100000,INDEX($P$1005:$S$1005,1,MATCH(COLUMNS($P$1006:S1006),$P$1006:$S$1006,0))&gt;=100000), " ",IF(INDEX($P$2:$S$1001,MATCH(ROWS($I$2:I13),$I$2:$I$1001,0),MATCH(COLUMNS($P$1006:S1006),$P$1006:$S$1006,0)), HYPERLINK("#",""), HYPERLINK(CONCATENATE("#metadata!", ADDRESS(INDEX($K$2:$K$1001,MATCH(ROWS($I$2:I13),$I$2:$I$1001,0),0), INDEX($P$1004:$S$1004,1,MATCH(COLUMNS($P$1006:S1006),$P$1006:$S$1006,0)))),"Fix")))</f>
        <v>0</v>
      </c>
      <c r="I13">
        <v>0</v>
      </c>
      <c r="J13">
        <v>0</v>
      </c>
      <c r="K13">
        <v>0</v>
      </c>
      <c r="L13">
        <f>IF(M13,TRUE,AND(P13:S13))</f>
        <v>0</v>
      </c>
      <c r="M13">
        <f>COUNTBLANK(metadata!B13:E13)=COLUMNS(metadata!B13:E13)</f>
        <v>0</v>
      </c>
      <c r="N13">
        <v>0</v>
      </c>
      <c r="P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Q13">
        <f>AND(IF(metadata!C13="",FALSE,TRUE),exact(metadata!C13,"other"))</f>
        <v>0</v>
      </c>
      <c r="R13">
        <f>AND(IF(metadata!D13="",FALSE,TRUE),exact(metadata!D13,"metagenome"))</f>
        <v>0</v>
      </c>
      <c r="S13">
        <f>AND(IF(metadata!E13="",FALSE,TRUE),exact(metadata!E13,"256318"))</f>
        <v>0</v>
      </c>
    </row>
    <row r="14" spans="1:19">
      <c r="A14" s="4">
        <f>IF(B14=" "," ",HYPERLINK(CONCATENATE("#metadata!",ADDRESS(INDEX($K$2:$K$1001,MATCH(ROWS($I$2:I14),$I$2:$I$1001,0),0),1)),INDEX($N$2:$N$1001,MATCH(ROWS($I$2:I14),$I$2:$I$1001,0),0)))</f>
        <v>0</v>
      </c>
      <c r="B14" s="3">
        <f>IF(OR(INDEX($J$2:$J$1001,MATCH(ROWS($I$2:I14),$I$2:$I$1001,0),1)&gt;=100000,INDEX($P$1005:$S$1005,1,MATCH(COLUMNS($P$1006:P1006),$P$1006:$S$1006,0))&gt;=100000), " ",IF(INDEX($P$2:$S$1001,MATCH(ROWS($I$2:I14),$I$2:$I$1001,0),MATCH(COLUMNS($P$1006:P1006),$P$1006:$S$1006,0)), HYPERLINK("#",""), HYPERLINK(CONCATENATE("#metadata!", ADDRESS(INDEX($K$2:$K$1001,MATCH(ROWS($I$2:I14),$I$2:$I$1001,0),0), INDEX($P$1004:$S$1004,1,MATCH(COLUMNS($P$1006:P1006),$P$1006:$S$1006,0)))),"Fix")))</f>
        <v>0</v>
      </c>
      <c r="C14" s="3">
        <f>IF(OR(INDEX($J$2:$J$1001,MATCH(ROWS($I$2:I14),$I$2:$I$1001,0),1)&gt;=100000,INDEX($P$1005:$S$1005,1,MATCH(COLUMNS($P$1006:Q1006),$P$1006:$S$1006,0))&gt;=100000), " ",IF(INDEX($P$2:$S$1001,MATCH(ROWS($I$2:I14),$I$2:$I$1001,0),MATCH(COLUMNS($P$1006:Q1006),$P$1006:$S$1006,0)), HYPERLINK("#",""), HYPERLINK(CONCATENATE("#metadata!", ADDRESS(INDEX($K$2:$K$1001,MATCH(ROWS($I$2:I14),$I$2:$I$1001,0),0), INDEX($P$1004:$S$1004,1,MATCH(COLUMNS($P$1006:Q1006),$P$1006:$S$1006,0)))),"Fix")))</f>
        <v>0</v>
      </c>
      <c r="D14" s="3">
        <f>IF(OR(INDEX($J$2:$J$1001,MATCH(ROWS($I$2:I14),$I$2:$I$1001,0),1)&gt;=100000,INDEX($P$1005:$S$1005,1,MATCH(COLUMNS($P$1006:R1006),$P$1006:$S$1006,0))&gt;=100000), " ",IF(INDEX($P$2:$S$1001,MATCH(ROWS($I$2:I14),$I$2:$I$1001,0),MATCH(COLUMNS($P$1006:R1006),$P$1006:$S$1006,0)), HYPERLINK("#",""), HYPERLINK(CONCATENATE("#metadata!", ADDRESS(INDEX($K$2:$K$1001,MATCH(ROWS($I$2:I14),$I$2:$I$1001,0),0), INDEX($P$1004:$S$1004,1,MATCH(COLUMNS($P$1006:R1006),$P$1006:$S$1006,0)))),"Fix")))</f>
        <v>0</v>
      </c>
      <c r="E14" s="3">
        <f>IF(OR(INDEX($J$2:$J$1001,MATCH(ROWS($I$2:I14),$I$2:$I$1001,0),1)&gt;=100000,INDEX($P$1005:$S$1005,1,MATCH(COLUMNS($P$1006:S1006),$P$1006:$S$1006,0))&gt;=100000), " ",IF(INDEX($P$2:$S$1001,MATCH(ROWS($I$2:I14),$I$2:$I$1001,0),MATCH(COLUMNS($P$1006:S1006),$P$1006:$S$1006,0)), HYPERLINK("#",""), HYPERLINK(CONCATENATE("#metadata!", ADDRESS(INDEX($K$2:$K$1001,MATCH(ROWS($I$2:I14),$I$2:$I$1001,0),0), INDEX($P$1004:$S$1004,1,MATCH(COLUMNS($P$1006:S1006),$P$1006:$S$1006,0)))),"Fix")))</f>
        <v>0</v>
      </c>
      <c r="I14">
        <v>0</v>
      </c>
      <c r="J14">
        <v>0</v>
      </c>
      <c r="K14">
        <v>0</v>
      </c>
      <c r="L14">
        <f>IF(M14,TRUE,AND(P14:S14))</f>
        <v>0</v>
      </c>
      <c r="M14">
        <f>COUNTBLANK(metadata!B14:E14)=COLUMNS(metadata!B14:E14)</f>
        <v>0</v>
      </c>
      <c r="N14">
        <v>0</v>
      </c>
      <c r="P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Q14">
        <f>AND(IF(metadata!C14="",FALSE,TRUE),exact(metadata!C14,"other"))</f>
        <v>0</v>
      </c>
      <c r="R14">
        <f>AND(IF(metadata!D14="",FALSE,TRUE),exact(metadata!D14,"metagenome"))</f>
        <v>0</v>
      </c>
      <c r="S14">
        <f>AND(IF(metadata!E14="",FALSE,TRUE),exact(metadata!E14,"256318"))</f>
        <v>0</v>
      </c>
    </row>
    <row r="15" spans="1:19">
      <c r="A15" s="4">
        <f>IF(B15=" "," ",HYPERLINK(CONCATENATE("#metadata!",ADDRESS(INDEX($K$2:$K$1001,MATCH(ROWS($I$2:I15),$I$2:$I$1001,0),0),1)),INDEX($N$2:$N$1001,MATCH(ROWS($I$2:I15),$I$2:$I$1001,0),0)))</f>
        <v>0</v>
      </c>
      <c r="B15" s="3">
        <f>IF(OR(INDEX($J$2:$J$1001,MATCH(ROWS($I$2:I15),$I$2:$I$1001,0),1)&gt;=100000,INDEX($P$1005:$S$1005,1,MATCH(COLUMNS($P$1006:P1006),$P$1006:$S$1006,0))&gt;=100000), " ",IF(INDEX($P$2:$S$1001,MATCH(ROWS($I$2:I15),$I$2:$I$1001,0),MATCH(COLUMNS($P$1006:P1006),$P$1006:$S$1006,0)), HYPERLINK("#",""), HYPERLINK(CONCATENATE("#metadata!", ADDRESS(INDEX($K$2:$K$1001,MATCH(ROWS($I$2:I15),$I$2:$I$1001,0),0), INDEX($P$1004:$S$1004,1,MATCH(COLUMNS($P$1006:P1006),$P$1006:$S$1006,0)))),"Fix")))</f>
        <v>0</v>
      </c>
      <c r="C15" s="3">
        <f>IF(OR(INDEX($J$2:$J$1001,MATCH(ROWS($I$2:I15),$I$2:$I$1001,0),1)&gt;=100000,INDEX($P$1005:$S$1005,1,MATCH(COLUMNS($P$1006:Q1006),$P$1006:$S$1006,0))&gt;=100000), " ",IF(INDEX($P$2:$S$1001,MATCH(ROWS($I$2:I15),$I$2:$I$1001,0),MATCH(COLUMNS($P$1006:Q1006),$P$1006:$S$1006,0)), HYPERLINK("#",""), HYPERLINK(CONCATENATE("#metadata!", ADDRESS(INDEX($K$2:$K$1001,MATCH(ROWS($I$2:I15),$I$2:$I$1001,0),0), INDEX($P$1004:$S$1004,1,MATCH(COLUMNS($P$1006:Q1006),$P$1006:$S$1006,0)))),"Fix")))</f>
        <v>0</v>
      </c>
      <c r="D15" s="3">
        <f>IF(OR(INDEX($J$2:$J$1001,MATCH(ROWS($I$2:I15),$I$2:$I$1001,0),1)&gt;=100000,INDEX($P$1005:$S$1005,1,MATCH(COLUMNS($P$1006:R1006),$P$1006:$S$1006,0))&gt;=100000), " ",IF(INDEX($P$2:$S$1001,MATCH(ROWS($I$2:I15),$I$2:$I$1001,0),MATCH(COLUMNS($P$1006:R1006),$P$1006:$S$1006,0)), HYPERLINK("#",""), HYPERLINK(CONCATENATE("#metadata!", ADDRESS(INDEX($K$2:$K$1001,MATCH(ROWS($I$2:I15),$I$2:$I$1001,0),0), INDEX($P$1004:$S$1004,1,MATCH(COLUMNS($P$1006:R1006),$P$1006:$S$1006,0)))),"Fix")))</f>
        <v>0</v>
      </c>
      <c r="E15" s="3">
        <f>IF(OR(INDEX($J$2:$J$1001,MATCH(ROWS($I$2:I15),$I$2:$I$1001,0),1)&gt;=100000,INDEX($P$1005:$S$1005,1,MATCH(COLUMNS($P$1006:S1006),$P$1006:$S$1006,0))&gt;=100000), " ",IF(INDEX($P$2:$S$1001,MATCH(ROWS($I$2:I15),$I$2:$I$1001,0),MATCH(COLUMNS($P$1006:S1006),$P$1006:$S$1006,0)), HYPERLINK("#",""), HYPERLINK(CONCATENATE("#metadata!", ADDRESS(INDEX($K$2:$K$1001,MATCH(ROWS($I$2:I15),$I$2:$I$1001,0),0), INDEX($P$1004:$S$1004,1,MATCH(COLUMNS($P$1006:S1006),$P$1006:$S$1006,0)))),"Fix")))</f>
        <v>0</v>
      </c>
      <c r="I15">
        <v>0</v>
      </c>
      <c r="J15">
        <v>0</v>
      </c>
      <c r="K15">
        <v>0</v>
      </c>
      <c r="L15">
        <f>IF(M15,TRUE,AND(P15:S15))</f>
        <v>0</v>
      </c>
      <c r="M15">
        <f>COUNTBLANK(metadata!B15:E15)=COLUMNS(metadata!B15:E15)</f>
        <v>0</v>
      </c>
      <c r="N15">
        <v>0</v>
      </c>
      <c r="P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Q15">
        <f>AND(IF(metadata!C15="",FALSE,TRUE),exact(metadata!C15,"other"))</f>
        <v>0</v>
      </c>
      <c r="R15">
        <f>AND(IF(metadata!D15="",FALSE,TRUE),exact(metadata!D15,"metagenome"))</f>
        <v>0</v>
      </c>
      <c r="S15">
        <f>AND(IF(metadata!E15="",FALSE,TRUE),exact(metadata!E15,"256318"))</f>
        <v>0</v>
      </c>
    </row>
    <row r="16" spans="1:19">
      <c r="A16" s="4">
        <f>IF(B16=" "," ",HYPERLINK(CONCATENATE("#metadata!",ADDRESS(INDEX($K$2:$K$1001,MATCH(ROWS($I$2:I16),$I$2:$I$1001,0),0),1)),INDEX($N$2:$N$1001,MATCH(ROWS($I$2:I16),$I$2:$I$1001,0),0)))</f>
        <v>0</v>
      </c>
      <c r="B16" s="3">
        <f>IF(OR(INDEX($J$2:$J$1001,MATCH(ROWS($I$2:I16),$I$2:$I$1001,0),1)&gt;=100000,INDEX($P$1005:$S$1005,1,MATCH(COLUMNS($P$1006:P1006),$P$1006:$S$1006,0))&gt;=100000), " ",IF(INDEX($P$2:$S$1001,MATCH(ROWS($I$2:I16),$I$2:$I$1001,0),MATCH(COLUMNS($P$1006:P1006),$P$1006:$S$1006,0)), HYPERLINK("#",""), HYPERLINK(CONCATENATE("#metadata!", ADDRESS(INDEX($K$2:$K$1001,MATCH(ROWS($I$2:I16),$I$2:$I$1001,0),0), INDEX($P$1004:$S$1004,1,MATCH(COLUMNS($P$1006:P1006),$P$1006:$S$1006,0)))),"Fix")))</f>
        <v>0</v>
      </c>
      <c r="C16" s="3">
        <f>IF(OR(INDEX($J$2:$J$1001,MATCH(ROWS($I$2:I16),$I$2:$I$1001,0),1)&gt;=100000,INDEX($P$1005:$S$1005,1,MATCH(COLUMNS($P$1006:Q1006),$P$1006:$S$1006,0))&gt;=100000), " ",IF(INDEX($P$2:$S$1001,MATCH(ROWS($I$2:I16),$I$2:$I$1001,0),MATCH(COLUMNS($P$1006:Q1006),$P$1006:$S$1006,0)), HYPERLINK("#",""), HYPERLINK(CONCATENATE("#metadata!", ADDRESS(INDEX($K$2:$K$1001,MATCH(ROWS($I$2:I16),$I$2:$I$1001,0),0), INDEX($P$1004:$S$1004,1,MATCH(COLUMNS($P$1006:Q1006),$P$1006:$S$1006,0)))),"Fix")))</f>
        <v>0</v>
      </c>
      <c r="D16" s="3">
        <f>IF(OR(INDEX($J$2:$J$1001,MATCH(ROWS($I$2:I16),$I$2:$I$1001,0),1)&gt;=100000,INDEX($P$1005:$S$1005,1,MATCH(COLUMNS($P$1006:R1006),$P$1006:$S$1006,0))&gt;=100000), " ",IF(INDEX($P$2:$S$1001,MATCH(ROWS($I$2:I16),$I$2:$I$1001,0),MATCH(COLUMNS($P$1006:R1006),$P$1006:$S$1006,0)), HYPERLINK("#",""), HYPERLINK(CONCATENATE("#metadata!", ADDRESS(INDEX($K$2:$K$1001,MATCH(ROWS($I$2:I16),$I$2:$I$1001,0),0), INDEX($P$1004:$S$1004,1,MATCH(COLUMNS($P$1006:R1006),$P$1006:$S$1006,0)))),"Fix")))</f>
        <v>0</v>
      </c>
      <c r="E16" s="3">
        <f>IF(OR(INDEX($J$2:$J$1001,MATCH(ROWS($I$2:I16),$I$2:$I$1001,0),1)&gt;=100000,INDEX($P$1005:$S$1005,1,MATCH(COLUMNS($P$1006:S1006),$P$1006:$S$1006,0))&gt;=100000), " ",IF(INDEX($P$2:$S$1001,MATCH(ROWS($I$2:I16),$I$2:$I$1001,0),MATCH(COLUMNS($P$1006:S1006),$P$1006:$S$1006,0)), HYPERLINK("#",""), HYPERLINK(CONCATENATE("#metadata!", ADDRESS(INDEX($K$2:$K$1001,MATCH(ROWS($I$2:I16),$I$2:$I$1001,0),0), INDEX($P$1004:$S$1004,1,MATCH(COLUMNS($P$1006:S1006),$P$1006:$S$1006,0)))),"Fix")))</f>
        <v>0</v>
      </c>
      <c r="I16">
        <v>0</v>
      </c>
      <c r="J16">
        <v>0</v>
      </c>
      <c r="K16">
        <v>0</v>
      </c>
      <c r="L16">
        <f>IF(M16,TRUE,AND(P16:S16))</f>
        <v>0</v>
      </c>
      <c r="M16">
        <f>COUNTBLANK(metadata!B16:E16)=COLUMNS(metadata!B16:E16)</f>
        <v>0</v>
      </c>
      <c r="N16">
        <v>0</v>
      </c>
      <c r="P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Q16">
        <f>AND(IF(metadata!C16="",FALSE,TRUE),exact(metadata!C16,"other"))</f>
        <v>0</v>
      </c>
      <c r="R16">
        <f>AND(IF(metadata!D16="",FALSE,TRUE),exact(metadata!D16,"metagenome"))</f>
        <v>0</v>
      </c>
      <c r="S16">
        <f>AND(IF(metadata!E16="",FALSE,TRUE),exact(metadata!E16,"256318"))</f>
        <v>0</v>
      </c>
    </row>
    <row r="17" spans="1:19">
      <c r="A17" s="4">
        <f>IF(B17=" "," ",HYPERLINK(CONCATENATE("#metadata!",ADDRESS(INDEX($K$2:$K$1001,MATCH(ROWS($I$2:I17),$I$2:$I$1001,0),0),1)),INDEX($N$2:$N$1001,MATCH(ROWS($I$2:I17),$I$2:$I$1001,0),0)))</f>
        <v>0</v>
      </c>
      <c r="B17" s="3">
        <f>IF(OR(INDEX($J$2:$J$1001,MATCH(ROWS($I$2:I17),$I$2:$I$1001,0),1)&gt;=100000,INDEX($P$1005:$S$1005,1,MATCH(COLUMNS($P$1006:P1006),$P$1006:$S$1006,0))&gt;=100000), " ",IF(INDEX($P$2:$S$1001,MATCH(ROWS($I$2:I17),$I$2:$I$1001,0),MATCH(COLUMNS($P$1006:P1006),$P$1006:$S$1006,0)), HYPERLINK("#",""), HYPERLINK(CONCATENATE("#metadata!", ADDRESS(INDEX($K$2:$K$1001,MATCH(ROWS($I$2:I17),$I$2:$I$1001,0),0), INDEX($P$1004:$S$1004,1,MATCH(COLUMNS($P$1006:P1006),$P$1006:$S$1006,0)))),"Fix")))</f>
        <v>0</v>
      </c>
      <c r="C17" s="3">
        <f>IF(OR(INDEX($J$2:$J$1001,MATCH(ROWS($I$2:I17),$I$2:$I$1001,0),1)&gt;=100000,INDEX($P$1005:$S$1005,1,MATCH(COLUMNS($P$1006:Q1006),$P$1006:$S$1006,0))&gt;=100000), " ",IF(INDEX($P$2:$S$1001,MATCH(ROWS($I$2:I17),$I$2:$I$1001,0),MATCH(COLUMNS($P$1006:Q1006),$P$1006:$S$1006,0)), HYPERLINK("#",""), HYPERLINK(CONCATENATE("#metadata!", ADDRESS(INDEX($K$2:$K$1001,MATCH(ROWS($I$2:I17),$I$2:$I$1001,0),0), INDEX($P$1004:$S$1004,1,MATCH(COLUMNS($P$1006:Q1006),$P$1006:$S$1006,0)))),"Fix")))</f>
        <v>0</v>
      </c>
      <c r="D17" s="3">
        <f>IF(OR(INDEX($J$2:$J$1001,MATCH(ROWS($I$2:I17),$I$2:$I$1001,0),1)&gt;=100000,INDEX($P$1005:$S$1005,1,MATCH(COLUMNS($P$1006:R1006),$P$1006:$S$1006,0))&gt;=100000), " ",IF(INDEX($P$2:$S$1001,MATCH(ROWS($I$2:I17),$I$2:$I$1001,0),MATCH(COLUMNS($P$1006:R1006),$P$1006:$S$1006,0)), HYPERLINK("#",""), HYPERLINK(CONCATENATE("#metadata!", ADDRESS(INDEX($K$2:$K$1001,MATCH(ROWS($I$2:I17),$I$2:$I$1001,0),0), INDEX($P$1004:$S$1004,1,MATCH(COLUMNS($P$1006:R1006),$P$1006:$S$1006,0)))),"Fix")))</f>
        <v>0</v>
      </c>
      <c r="E17" s="3">
        <f>IF(OR(INDEX($J$2:$J$1001,MATCH(ROWS($I$2:I17),$I$2:$I$1001,0),1)&gt;=100000,INDEX($P$1005:$S$1005,1,MATCH(COLUMNS($P$1006:S1006),$P$1006:$S$1006,0))&gt;=100000), " ",IF(INDEX($P$2:$S$1001,MATCH(ROWS($I$2:I17),$I$2:$I$1001,0),MATCH(COLUMNS($P$1006:S1006),$P$1006:$S$1006,0)), HYPERLINK("#",""), HYPERLINK(CONCATENATE("#metadata!", ADDRESS(INDEX($K$2:$K$1001,MATCH(ROWS($I$2:I17),$I$2:$I$1001,0),0), INDEX($P$1004:$S$1004,1,MATCH(COLUMNS($P$1006:S1006),$P$1006:$S$1006,0)))),"Fix")))</f>
        <v>0</v>
      </c>
      <c r="I17">
        <v>0</v>
      </c>
      <c r="J17">
        <v>0</v>
      </c>
      <c r="K17">
        <v>0</v>
      </c>
      <c r="L17">
        <f>IF(M17,TRUE,AND(P17:S17))</f>
        <v>0</v>
      </c>
      <c r="M17">
        <f>COUNTBLANK(metadata!B17:E17)=COLUMNS(metadata!B17:E17)</f>
        <v>0</v>
      </c>
      <c r="N17">
        <v>0</v>
      </c>
      <c r="P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Q17">
        <f>AND(IF(metadata!C17="",FALSE,TRUE),exact(metadata!C17,"other"))</f>
        <v>0</v>
      </c>
      <c r="R17">
        <f>AND(IF(metadata!D17="",FALSE,TRUE),exact(metadata!D17,"metagenome"))</f>
        <v>0</v>
      </c>
      <c r="S17">
        <f>AND(IF(metadata!E17="",FALSE,TRUE),exact(metadata!E17,"256318"))</f>
        <v>0</v>
      </c>
    </row>
    <row r="18" spans="1:19">
      <c r="A18" s="4">
        <f>IF(B18=" "," ",HYPERLINK(CONCATENATE("#metadata!",ADDRESS(INDEX($K$2:$K$1001,MATCH(ROWS($I$2:I18),$I$2:$I$1001,0),0),1)),INDEX($N$2:$N$1001,MATCH(ROWS($I$2:I18),$I$2:$I$1001,0),0)))</f>
        <v>0</v>
      </c>
      <c r="B18" s="3">
        <f>IF(OR(INDEX($J$2:$J$1001,MATCH(ROWS($I$2:I18),$I$2:$I$1001,0),1)&gt;=100000,INDEX($P$1005:$S$1005,1,MATCH(COLUMNS($P$1006:P1006),$P$1006:$S$1006,0))&gt;=100000), " ",IF(INDEX($P$2:$S$1001,MATCH(ROWS($I$2:I18),$I$2:$I$1001,0),MATCH(COLUMNS($P$1006:P1006),$P$1006:$S$1006,0)), HYPERLINK("#",""), HYPERLINK(CONCATENATE("#metadata!", ADDRESS(INDEX($K$2:$K$1001,MATCH(ROWS($I$2:I18),$I$2:$I$1001,0),0), INDEX($P$1004:$S$1004,1,MATCH(COLUMNS($P$1006:P1006),$P$1006:$S$1006,0)))),"Fix")))</f>
        <v>0</v>
      </c>
      <c r="C18" s="3">
        <f>IF(OR(INDEX($J$2:$J$1001,MATCH(ROWS($I$2:I18),$I$2:$I$1001,0),1)&gt;=100000,INDEX($P$1005:$S$1005,1,MATCH(COLUMNS($P$1006:Q1006),$P$1006:$S$1006,0))&gt;=100000), " ",IF(INDEX($P$2:$S$1001,MATCH(ROWS($I$2:I18),$I$2:$I$1001,0),MATCH(COLUMNS($P$1006:Q1006),$P$1006:$S$1006,0)), HYPERLINK("#",""), HYPERLINK(CONCATENATE("#metadata!", ADDRESS(INDEX($K$2:$K$1001,MATCH(ROWS($I$2:I18),$I$2:$I$1001,0),0), INDEX($P$1004:$S$1004,1,MATCH(COLUMNS($P$1006:Q1006),$P$1006:$S$1006,0)))),"Fix")))</f>
        <v>0</v>
      </c>
      <c r="D18" s="3">
        <f>IF(OR(INDEX($J$2:$J$1001,MATCH(ROWS($I$2:I18),$I$2:$I$1001,0),1)&gt;=100000,INDEX($P$1005:$S$1005,1,MATCH(COLUMNS($P$1006:R1006),$P$1006:$S$1006,0))&gt;=100000), " ",IF(INDEX($P$2:$S$1001,MATCH(ROWS($I$2:I18),$I$2:$I$1001,0),MATCH(COLUMNS($P$1006:R1006),$P$1006:$S$1006,0)), HYPERLINK("#",""), HYPERLINK(CONCATENATE("#metadata!", ADDRESS(INDEX($K$2:$K$1001,MATCH(ROWS($I$2:I18),$I$2:$I$1001,0),0), INDEX($P$1004:$S$1004,1,MATCH(COLUMNS($P$1006:R1006),$P$1006:$S$1006,0)))),"Fix")))</f>
        <v>0</v>
      </c>
      <c r="E18" s="3">
        <f>IF(OR(INDEX($J$2:$J$1001,MATCH(ROWS($I$2:I18),$I$2:$I$1001,0),1)&gt;=100000,INDEX($P$1005:$S$1005,1,MATCH(COLUMNS($P$1006:S1006),$P$1006:$S$1006,0))&gt;=100000), " ",IF(INDEX($P$2:$S$1001,MATCH(ROWS($I$2:I18),$I$2:$I$1001,0),MATCH(COLUMNS($P$1006:S1006),$P$1006:$S$1006,0)), HYPERLINK("#",""), HYPERLINK(CONCATENATE("#metadata!", ADDRESS(INDEX($K$2:$K$1001,MATCH(ROWS($I$2:I18),$I$2:$I$1001,0),0), INDEX($P$1004:$S$1004,1,MATCH(COLUMNS($P$1006:S1006),$P$1006:$S$1006,0)))),"Fix")))</f>
        <v>0</v>
      </c>
      <c r="I18">
        <v>0</v>
      </c>
      <c r="J18">
        <v>0</v>
      </c>
      <c r="K18">
        <v>0</v>
      </c>
      <c r="L18">
        <f>IF(M18,TRUE,AND(P18:S18))</f>
        <v>0</v>
      </c>
      <c r="M18">
        <f>COUNTBLANK(metadata!B18:E18)=COLUMNS(metadata!B18:E18)</f>
        <v>0</v>
      </c>
      <c r="N18">
        <v>0</v>
      </c>
      <c r="P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Q18">
        <f>AND(IF(metadata!C18="",FALSE,TRUE),exact(metadata!C18,"other"))</f>
        <v>0</v>
      </c>
      <c r="R18">
        <f>AND(IF(metadata!D18="",FALSE,TRUE),exact(metadata!D18,"metagenome"))</f>
        <v>0</v>
      </c>
      <c r="S18">
        <f>AND(IF(metadata!E18="",FALSE,TRUE),exact(metadata!E18,"256318"))</f>
        <v>0</v>
      </c>
    </row>
    <row r="19" spans="1:19">
      <c r="A19" s="4">
        <f>IF(B19=" "," ",HYPERLINK(CONCATENATE("#metadata!",ADDRESS(INDEX($K$2:$K$1001,MATCH(ROWS($I$2:I19),$I$2:$I$1001,0),0),1)),INDEX($N$2:$N$1001,MATCH(ROWS($I$2:I19),$I$2:$I$1001,0),0)))</f>
        <v>0</v>
      </c>
      <c r="B19" s="3">
        <f>IF(OR(INDEX($J$2:$J$1001,MATCH(ROWS($I$2:I19),$I$2:$I$1001,0),1)&gt;=100000,INDEX($P$1005:$S$1005,1,MATCH(COLUMNS($P$1006:P1006),$P$1006:$S$1006,0))&gt;=100000), " ",IF(INDEX($P$2:$S$1001,MATCH(ROWS($I$2:I19),$I$2:$I$1001,0),MATCH(COLUMNS($P$1006:P1006),$P$1006:$S$1006,0)), HYPERLINK("#",""), HYPERLINK(CONCATENATE("#metadata!", ADDRESS(INDEX($K$2:$K$1001,MATCH(ROWS($I$2:I19),$I$2:$I$1001,0),0), INDEX($P$1004:$S$1004,1,MATCH(COLUMNS($P$1006:P1006),$P$1006:$S$1006,0)))),"Fix")))</f>
        <v>0</v>
      </c>
      <c r="C19" s="3">
        <f>IF(OR(INDEX($J$2:$J$1001,MATCH(ROWS($I$2:I19),$I$2:$I$1001,0),1)&gt;=100000,INDEX($P$1005:$S$1005,1,MATCH(COLUMNS($P$1006:Q1006),$P$1006:$S$1006,0))&gt;=100000), " ",IF(INDEX($P$2:$S$1001,MATCH(ROWS($I$2:I19),$I$2:$I$1001,0),MATCH(COLUMNS($P$1006:Q1006),$P$1006:$S$1006,0)), HYPERLINK("#",""), HYPERLINK(CONCATENATE("#metadata!", ADDRESS(INDEX($K$2:$K$1001,MATCH(ROWS($I$2:I19),$I$2:$I$1001,0),0), INDEX($P$1004:$S$1004,1,MATCH(COLUMNS($P$1006:Q1006),$P$1006:$S$1006,0)))),"Fix")))</f>
        <v>0</v>
      </c>
      <c r="D19" s="3">
        <f>IF(OR(INDEX($J$2:$J$1001,MATCH(ROWS($I$2:I19),$I$2:$I$1001,0),1)&gt;=100000,INDEX($P$1005:$S$1005,1,MATCH(COLUMNS($P$1006:R1006),$P$1006:$S$1006,0))&gt;=100000), " ",IF(INDEX($P$2:$S$1001,MATCH(ROWS($I$2:I19),$I$2:$I$1001,0),MATCH(COLUMNS($P$1006:R1006),$P$1006:$S$1006,0)), HYPERLINK("#",""), HYPERLINK(CONCATENATE("#metadata!", ADDRESS(INDEX($K$2:$K$1001,MATCH(ROWS($I$2:I19),$I$2:$I$1001,0),0), INDEX($P$1004:$S$1004,1,MATCH(COLUMNS($P$1006:R1006),$P$1006:$S$1006,0)))),"Fix")))</f>
        <v>0</v>
      </c>
      <c r="E19" s="3">
        <f>IF(OR(INDEX($J$2:$J$1001,MATCH(ROWS($I$2:I19),$I$2:$I$1001,0),1)&gt;=100000,INDEX($P$1005:$S$1005,1,MATCH(COLUMNS($P$1006:S1006),$P$1006:$S$1006,0))&gt;=100000), " ",IF(INDEX($P$2:$S$1001,MATCH(ROWS($I$2:I19),$I$2:$I$1001,0),MATCH(COLUMNS($P$1006:S1006),$P$1006:$S$1006,0)), HYPERLINK("#",""), HYPERLINK(CONCATENATE("#metadata!", ADDRESS(INDEX($K$2:$K$1001,MATCH(ROWS($I$2:I19),$I$2:$I$1001,0),0), INDEX($P$1004:$S$1004,1,MATCH(COLUMNS($P$1006:S1006),$P$1006:$S$1006,0)))),"Fix")))</f>
        <v>0</v>
      </c>
      <c r="I19">
        <v>0</v>
      </c>
      <c r="J19">
        <v>0</v>
      </c>
      <c r="K19">
        <v>0</v>
      </c>
      <c r="L19">
        <f>IF(M19,TRUE,AND(P19:S19))</f>
        <v>0</v>
      </c>
      <c r="M19">
        <f>COUNTBLANK(metadata!B19:E19)=COLUMNS(metadata!B19:E19)</f>
        <v>0</v>
      </c>
      <c r="N19">
        <v>0</v>
      </c>
      <c r="P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Q19">
        <f>AND(IF(metadata!C19="",FALSE,TRUE),exact(metadata!C19,"other"))</f>
        <v>0</v>
      </c>
      <c r="R19">
        <f>AND(IF(metadata!D19="",FALSE,TRUE),exact(metadata!D19,"metagenome"))</f>
        <v>0</v>
      </c>
      <c r="S19">
        <f>AND(IF(metadata!E19="",FALSE,TRUE),exact(metadata!E19,"256318"))</f>
        <v>0</v>
      </c>
    </row>
    <row r="20" spans="1:19">
      <c r="A20" s="4">
        <f>IF(B20=" "," ",HYPERLINK(CONCATENATE("#metadata!",ADDRESS(INDEX($K$2:$K$1001,MATCH(ROWS($I$2:I20),$I$2:$I$1001,0),0),1)),INDEX($N$2:$N$1001,MATCH(ROWS($I$2:I20),$I$2:$I$1001,0),0)))</f>
        <v>0</v>
      </c>
      <c r="B20" s="3">
        <f>IF(OR(INDEX($J$2:$J$1001,MATCH(ROWS($I$2:I20),$I$2:$I$1001,0),1)&gt;=100000,INDEX($P$1005:$S$1005,1,MATCH(COLUMNS($P$1006:P1006),$P$1006:$S$1006,0))&gt;=100000), " ",IF(INDEX($P$2:$S$1001,MATCH(ROWS($I$2:I20),$I$2:$I$1001,0),MATCH(COLUMNS($P$1006:P1006),$P$1006:$S$1006,0)), HYPERLINK("#",""), HYPERLINK(CONCATENATE("#metadata!", ADDRESS(INDEX($K$2:$K$1001,MATCH(ROWS($I$2:I20),$I$2:$I$1001,0),0), INDEX($P$1004:$S$1004,1,MATCH(COLUMNS($P$1006:P1006),$P$1006:$S$1006,0)))),"Fix")))</f>
        <v>0</v>
      </c>
      <c r="C20" s="3">
        <f>IF(OR(INDEX($J$2:$J$1001,MATCH(ROWS($I$2:I20),$I$2:$I$1001,0),1)&gt;=100000,INDEX($P$1005:$S$1005,1,MATCH(COLUMNS($P$1006:Q1006),$P$1006:$S$1006,0))&gt;=100000), " ",IF(INDEX($P$2:$S$1001,MATCH(ROWS($I$2:I20),$I$2:$I$1001,0),MATCH(COLUMNS($P$1006:Q1006),$P$1006:$S$1006,0)), HYPERLINK("#",""), HYPERLINK(CONCATENATE("#metadata!", ADDRESS(INDEX($K$2:$K$1001,MATCH(ROWS($I$2:I20),$I$2:$I$1001,0),0), INDEX($P$1004:$S$1004,1,MATCH(COLUMNS($P$1006:Q1006),$P$1006:$S$1006,0)))),"Fix")))</f>
        <v>0</v>
      </c>
      <c r="D20" s="3">
        <f>IF(OR(INDEX($J$2:$J$1001,MATCH(ROWS($I$2:I20),$I$2:$I$1001,0),1)&gt;=100000,INDEX($P$1005:$S$1005,1,MATCH(COLUMNS($P$1006:R1006),$P$1006:$S$1006,0))&gt;=100000), " ",IF(INDEX($P$2:$S$1001,MATCH(ROWS($I$2:I20),$I$2:$I$1001,0),MATCH(COLUMNS($P$1006:R1006),$P$1006:$S$1006,0)), HYPERLINK("#",""), HYPERLINK(CONCATENATE("#metadata!", ADDRESS(INDEX($K$2:$K$1001,MATCH(ROWS($I$2:I20),$I$2:$I$1001,0),0), INDEX($P$1004:$S$1004,1,MATCH(COLUMNS($P$1006:R1006),$P$1006:$S$1006,0)))),"Fix")))</f>
        <v>0</v>
      </c>
      <c r="E20" s="3">
        <f>IF(OR(INDEX($J$2:$J$1001,MATCH(ROWS($I$2:I20),$I$2:$I$1001,0),1)&gt;=100000,INDEX($P$1005:$S$1005,1,MATCH(COLUMNS($P$1006:S1006),$P$1006:$S$1006,0))&gt;=100000), " ",IF(INDEX($P$2:$S$1001,MATCH(ROWS($I$2:I20),$I$2:$I$1001,0),MATCH(COLUMNS($P$1006:S1006),$P$1006:$S$1006,0)), HYPERLINK("#",""), HYPERLINK(CONCATENATE("#metadata!", ADDRESS(INDEX($K$2:$K$1001,MATCH(ROWS($I$2:I20),$I$2:$I$1001,0),0), INDEX($P$1004:$S$1004,1,MATCH(COLUMNS($P$1006:S1006),$P$1006:$S$1006,0)))),"Fix")))</f>
        <v>0</v>
      </c>
      <c r="I20">
        <v>0</v>
      </c>
      <c r="J20">
        <v>0</v>
      </c>
      <c r="K20">
        <v>0</v>
      </c>
      <c r="L20">
        <f>IF(M20,TRUE,AND(P20:S20))</f>
        <v>0</v>
      </c>
      <c r="M20">
        <f>COUNTBLANK(metadata!B20:E20)=COLUMNS(metadata!B20:E20)</f>
        <v>0</v>
      </c>
      <c r="N20">
        <v>0</v>
      </c>
      <c r="P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Q20">
        <f>AND(IF(metadata!C20="",FALSE,TRUE),exact(metadata!C20,"other"))</f>
        <v>0</v>
      </c>
      <c r="R20">
        <f>AND(IF(metadata!D20="",FALSE,TRUE),exact(metadata!D20,"metagenome"))</f>
        <v>0</v>
      </c>
      <c r="S20">
        <f>AND(IF(metadata!E20="",FALSE,TRUE),exact(metadata!E20,"256318"))</f>
        <v>0</v>
      </c>
    </row>
    <row r="21" spans="1:19">
      <c r="A21" s="4">
        <f>IF(B21=" "," ",HYPERLINK(CONCATENATE("#metadata!",ADDRESS(INDEX($K$2:$K$1001,MATCH(ROWS($I$2:I21),$I$2:$I$1001,0),0),1)),INDEX($N$2:$N$1001,MATCH(ROWS($I$2:I21),$I$2:$I$1001,0),0)))</f>
        <v>0</v>
      </c>
      <c r="B21" s="3">
        <f>IF(OR(INDEX($J$2:$J$1001,MATCH(ROWS($I$2:I21),$I$2:$I$1001,0),1)&gt;=100000,INDEX($P$1005:$S$1005,1,MATCH(COLUMNS($P$1006:P1006),$P$1006:$S$1006,0))&gt;=100000), " ",IF(INDEX($P$2:$S$1001,MATCH(ROWS($I$2:I21),$I$2:$I$1001,0),MATCH(COLUMNS($P$1006:P1006),$P$1006:$S$1006,0)), HYPERLINK("#",""), HYPERLINK(CONCATENATE("#metadata!", ADDRESS(INDEX($K$2:$K$1001,MATCH(ROWS($I$2:I21),$I$2:$I$1001,0),0), INDEX($P$1004:$S$1004,1,MATCH(COLUMNS($P$1006:P1006),$P$1006:$S$1006,0)))),"Fix")))</f>
        <v>0</v>
      </c>
      <c r="C21" s="3">
        <f>IF(OR(INDEX($J$2:$J$1001,MATCH(ROWS($I$2:I21),$I$2:$I$1001,0),1)&gt;=100000,INDEX($P$1005:$S$1005,1,MATCH(COLUMNS($P$1006:Q1006),$P$1006:$S$1006,0))&gt;=100000), " ",IF(INDEX($P$2:$S$1001,MATCH(ROWS($I$2:I21),$I$2:$I$1001,0),MATCH(COLUMNS($P$1006:Q1006),$P$1006:$S$1006,0)), HYPERLINK("#",""), HYPERLINK(CONCATENATE("#metadata!", ADDRESS(INDEX($K$2:$K$1001,MATCH(ROWS($I$2:I21),$I$2:$I$1001,0),0), INDEX($P$1004:$S$1004,1,MATCH(COLUMNS($P$1006:Q1006),$P$1006:$S$1006,0)))),"Fix")))</f>
        <v>0</v>
      </c>
      <c r="D21" s="3">
        <f>IF(OR(INDEX($J$2:$J$1001,MATCH(ROWS($I$2:I21),$I$2:$I$1001,0),1)&gt;=100000,INDEX($P$1005:$S$1005,1,MATCH(COLUMNS($P$1006:R1006),$P$1006:$S$1006,0))&gt;=100000), " ",IF(INDEX($P$2:$S$1001,MATCH(ROWS($I$2:I21),$I$2:$I$1001,0),MATCH(COLUMNS($P$1006:R1006),$P$1006:$S$1006,0)), HYPERLINK("#",""), HYPERLINK(CONCATENATE("#metadata!", ADDRESS(INDEX($K$2:$K$1001,MATCH(ROWS($I$2:I21),$I$2:$I$1001,0),0), INDEX($P$1004:$S$1004,1,MATCH(COLUMNS($P$1006:R1006),$P$1006:$S$1006,0)))),"Fix")))</f>
        <v>0</v>
      </c>
      <c r="E21" s="3">
        <f>IF(OR(INDEX($J$2:$J$1001,MATCH(ROWS($I$2:I21),$I$2:$I$1001,0),1)&gt;=100000,INDEX($P$1005:$S$1005,1,MATCH(COLUMNS($P$1006:S1006),$P$1006:$S$1006,0))&gt;=100000), " ",IF(INDEX($P$2:$S$1001,MATCH(ROWS($I$2:I21),$I$2:$I$1001,0),MATCH(COLUMNS($P$1006:S1006),$P$1006:$S$1006,0)), HYPERLINK("#",""), HYPERLINK(CONCATENATE("#metadata!", ADDRESS(INDEX($K$2:$K$1001,MATCH(ROWS($I$2:I21),$I$2:$I$1001,0),0), INDEX($P$1004:$S$1004,1,MATCH(COLUMNS($P$1006:S1006),$P$1006:$S$1006,0)))),"Fix")))</f>
        <v>0</v>
      </c>
      <c r="I21">
        <v>0</v>
      </c>
      <c r="J21">
        <v>0</v>
      </c>
      <c r="K21">
        <v>0</v>
      </c>
      <c r="L21">
        <f>IF(M21,TRUE,AND(P21:S21))</f>
        <v>0</v>
      </c>
      <c r="M21">
        <f>COUNTBLANK(metadata!B21:E21)=COLUMNS(metadata!B21:E21)</f>
        <v>0</v>
      </c>
      <c r="N21">
        <v>0</v>
      </c>
      <c r="P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Q21">
        <f>AND(IF(metadata!C21="",FALSE,TRUE),exact(metadata!C21,"other"))</f>
        <v>0</v>
      </c>
      <c r="R21">
        <f>AND(IF(metadata!D21="",FALSE,TRUE),exact(metadata!D21,"metagenome"))</f>
        <v>0</v>
      </c>
      <c r="S21">
        <f>AND(IF(metadata!E21="",FALSE,TRUE),exact(metadata!E21,"256318"))</f>
        <v>0</v>
      </c>
    </row>
    <row r="22" spans="1:19">
      <c r="A22" s="4">
        <f>IF(B22=" "," ",HYPERLINK(CONCATENATE("#metadata!",ADDRESS(INDEX($K$2:$K$1001,MATCH(ROWS($I$2:I22),$I$2:$I$1001,0),0),1)),INDEX($N$2:$N$1001,MATCH(ROWS($I$2:I22),$I$2:$I$1001,0),0)))</f>
        <v>0</v>
      </c>
      <c r="B22" s="3">
        <f>IF(OR(INDEX($J$2:$J$1001,MATCH(ROWS($I$2:I22),$I$2:$I$1001,0),1)&gt;=100000,INDEX($P$1005:$S$1005,1,MATCH(COLUMNS($P$1006:P1006),$P$1006:$S$1006,0))&gt;=100000), " ",IF(INDEX($P$2:$S$1001,MATCH(ROWS($I$2:I22),$I$2:$I$1001,0),MATCH(COLUMNS($P$1006:P1006),$P$1006:$S$1006,0)), HYPERLINK("#",""), HYPERLINK(CONCATENATE("#metadata!", ADDRESS(INDEX($K$2:$K$1001,MATCH(ROWS($I$2:I22),$I$2:$I$1001,0),0), INDEX($P$1004:$S$1004,1,MATCH(COLUMNS($P$1006:P1006),$P$1006:$S$1006,0)))),"Fix")))</f>
        <v>0</v>
      </c>
      <c r="C22" s="3">
        <f>IF(OR(INDEX($J$2:$J$1001,MATCH(ROWS($I$2:I22),$I$2:$I$1001,0),1)&gt;=100000,INDEX($P$1005:$S$1005,1,MATCH(COLUMNS($P$1006:Q1006),$P$1006:$S$1006,0))&gt;=100000), " ",IF(INDEX($P$2:$S$1001,MATCH(ROWS($I$2:I22),$I$2:$I$1001,0),MATCH(COLUMNS($P$1006:Q1006),$P$1006:$S$1006,0)), HYPERLINK("#",""), HYPERLINK(CONCATENATE("#metadata!", ADDRESS(INDEX($K$2:$K$1001,MATCH(ROWS($I$2:I22),$I$2:$I$1001,0),0), INDEX($P$1004:$S$1004,1,MATCH(COLUMNS($P$1006:Q1006),$P$1006:$S$1006,0)))),"Fix")))</f>
        <v>0</v>
      </c>
      <c r="D22" s="3">
        <f>IF(OR(INDEX($J$2:$J$1001,MATCH(ROWS($I$2:I22),$I$2:$I$1001,0),1)&gt;=100000,INDEX($P$1005:$S$1005,1,MATCH(COLUMNS($P$1006:R1006),$P$1006:$S$1006,0))&gt;=100000), " ",IF(INDEX($P$2:$S$1001,MATCH(ROWS($I$2:I22),$I$2:$I$1001,0),MATCH(COLUMNS($P$1006:R1006),$P$1006:$S$1006,0)), HYPERLINK("#",""), HYPERLINK(CONCATENATE("#metadata!", ADDRESS(INDEX($K$2:$K$1001,MATCH(ROWS($I$2:I22),$I$2:$I$1001,0),0), INDEX($P$1004:$S$1004,1,MATCH(COLUMNS($P$1006:R1006),$P$1006:$S$1006,0)))),"Fix")))</f>
        <v>0</v>
      </c>
      <c r="E22" s="3">
        <f>IF(OR(INDEX($J$2:$J$1001,MATCH(ROWS($I$2:I22),$I$2:$I$1001,0),1)&gt;=100000,INDEX($P$1005:$S$1005,1,MATCH(COLUMNS($P$1006:S1006),$P$1006:$S$1006,0))&gt;=100000), " ",IF(INDEX($P$2:$S$1001,MATCH(ROWS($I$2:I22),$I$2:$I$1001,0),MATCH(COLUMNS($P$1006:S1006),$P$1006:$S$1006,0)), HYPERLINK("#",""), HYPERLINK(CONCATENATE("#metadata!", ADDRESS(INDEX($K$2:$K$1001,MATCH(ROWS($I$2:I22),$I$2:$I$1001,0),0), INDEX($P$1004:$S$1004,1,MATCH(COLUMNS($P$1006:S1006),$P$1006:$S$1006,0)))),"Fix")))</f>
        <v>0</v>
      </c>
      <c r="I22">
        <v>0</v>
      </c>
      <c r="J22">
        <v>0</v>
      </c>
      <c r="K22">
        <v>0</v>
      </c>
      <c r="L22">
        <f>IF(M22,TRUE,AND(P22:S22))</f>
        <v>0</v>
      </c>
      <c r="M22">
        <f>COUNTBLANK(metadata!B22:E22)=COLUMNS(metadata!B22:E22)</f>
        <v>0</v>
      </c>
      <c r="N22">
        <v>0</v>
      </c>
      <c r="P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Q22">
        <f>AND(IF(metadata!C22="",FALSE,TRUE),exact(metadata!C22,"other"))</f>
        <v>0</v>
      </c>
      <c r="R22">
        <f>AND(IF(metadata!D22="",FALSE,TRUE),exact(metadata!D22,"metagenome"))</f>
        <v>0</v>
      </c>
      <c r="S22">
        <f>AND(IF(metadata!E22="",FALSE,TRUE),exact(metadata!E22,"256318"))</f>
        <v>0</v>
      </c>
    </row>
    <row r="23" spans="1:19">
      <c r="A23" s="4">
        <f>IF(B23=" "," ",HYPERLINK(CONCATENATE("#metadata!",ADDRESS(INDEX($K$2:$K$1001,MATCH(ROWS($I$2:I23),$I$2:$I$1001,0),0),1)),INDEX($N$2:$N$1001,MATCH(ROWS($I$2:I23),$I$2:$I$1001,0),0)))</f>
        <v>0</v>
      </c>
      <c r="B23" s="3">
        <f>IF(OR(INDEX($J$2:$J$1001,MATCH(ROWS($I$2:I23),$I$2:$I$1001,0),1)&gt;=100000,INDEX($P$1005:$S$1005,1,MATCH(COLUMNS($P$1006:P1006),$P$1006:$S$1006,0))&gt;=100000), " ",IF(INDEX($P$2:$S$1001,MATCH(ROWS($I$2:I23),$I$2:$I$1001,0),MATCH(COLUMNS($P$1006:P1006),$P$1006:$S$1006,0)), HYPERLINK("#",""), HYPERLINK(CONCATENATE("#metadata!", ADDRESS(INDEX($K$2:$K$1001,MATCH(ROWS($I$2:I23),$I$2:$I$1001,0),0), INDEX($P$1004:$S$1004,1,MATCH(COLUMNS($P$1006:P1006),$P$1006:$S$1006,0)))),"Fix")))</f>
        <v>0</v>
      </c>
      <c r="C23" s="3">
        <f>IF(OR(INDEX($J$2:$J$1001,MATCH(ROWS($I$2:I23),$I$2:$I$1001,0),1)&gt;=100000,INDEX($P$1005:$S$1005,1,MATCH(COLUMNS($P$1006:Q1006),$P$1006:$S$1006,0))&gt;=100000), " ",IF(INDEX($P$2:$S$1001,MATCH(ROWS($I$2:I23),$I$2:$I$1001,0),MATCH(COLUMNS($P$1006:Q1006),$P$1006:$S$1006,0)), HYPERLINK("#",""), HYPERLINK(CONCATENATE("#metadata!", ADDRESS(INDEX($K$2:$K$1001,MATCH(ROWS($I$2:I23),$I$2:$I$1001,0),0), INDEX($P$1004:$S$1004,1,MATCH(COLUMNS($P$1006:Q1006),$P$1006:$S$1006,0)))),"Fix")))</f>
        <v>0</v>
      </c>
      <c r="D23" s="3">
        <f>IF(OR(INDEX($J$2:$J$1001,MATCH(ROWS($I$2:I23),$I$2:$I$1001,0),1)&gt;=100000,INDEX($P$1005:$S$1005,1,MATCH(COLUMNS($P$1006:R1006),$P$1006:$S$1006,0))&gt;=100000), " ",IF(INDEX($P$2:$S$1001,MATCH(ROWS($I$2:I23),$I$2:$I$1001,0),MATCH(COLUMNS($P$1006:R1006),$P$1006:$S$1006,0)), HYPERLINK("#",""), HYPERLINK(CONCATENATE("#metadata!", ADDRESS(INDEX($K$2:$K$1001,MATCH(ROWS($I$2:I23),$I$2:$I$1001,0),0), INDEX($P$1004:$S$1004,1,MATCH(COLUMNS($P$1006:R1006),$P$1006:$S$1006,0)))),"Fix")))</f>
        <v>0</v>
      </c>
      <c r="E23" s="3">
        <f>IF(OR(INDEX($J$2:$J$1001,MATCH(ROWS($I$2:I23),$I$2:$I$1001,0),1)&gt;=100000,INDEX($P$1005:$S$1005,1,MATCH(COLUMNS($P$1006:S1006),$P$1006:$S$1006,0))&gt;=100000), " ",IF(INDEX($P$2:$S$1001,MATCH(ROWS($I$2:I23),$I$2:$I$1001,0),MATCH(COLUMNS($P$1006:S1006),$P$1006:$S$1006,0)), HYPERLINK("#",""), HYPERLINK(CONCATENATE("#metadata!", ADDRESS(INDEX($K$2:$K$1001,MATCH(ROWS($I$2:I23),$I$2:$I$1001,0),0), INDEX($P$1004:$S$1004,1,MATCH(COLUMNS($P$1006:S1006),$P$1006:$S$1006,0)))),"Fix")))</f>
        <v>0</v>
      </c>
      <c r="I23">
        <v>0</v>
      </c>
      <c r="J23">
        <v>0</v>
      </c>
      <c r="K23">
        <v>0</v>
      </c>
      <c r="L23">
        <f>IF(M23,TRUE,AND(P23:S23))</f>
        <v>0</v>
      </c>
      <c r="M23">
        <f>COUNTBLANK(metadata!B23:E23)=COLUMNS(metadata!B23:E23)</f>
        <v>0</v>
      </c>
      <c r="N23">
        <v>0</v>
      </c>
      <c r="P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Q23">
        <f>AND(IF(metadata!C23="",FALSE,TRUE),exact(metadata!C23,"other"))</f>
        <v>0</v>
      </c>
      <c r="R23">
        <f>AND(IF(metadata!D23="",FALSE,TRUE),exact(metadata!D23,"metagenome"))</f>
        <v>0</v>
      </c>
      <c r="S23">
        <f>AND(IF(metadata!E23="",FALSE,TRUE),exact(metadata!E23,"256318"))</f>
        <v>0</v>
      </c>
    </row>
    <row r="24" spans="1:19">
      <c r="A24" s="4">
        <f>IF(B24=" "," ",HYPERLINK(CONCATENATE("#metadata!",ADDRESS(INDEX($K$2:$K$1001,MATCH(ROWS($I$2:I24),$I$2:$I$1001,0),0),1)),INDEX($N$2:$N$1001,MATCH(ROWS($I$2:I24),$I$2:$I$1001,0),0)))</f>
        <v>0</v>
      </c>
      <c r="B24" s="3">
        <f>IF(OR(INDEX($J$2:$J$1001,MATCH(ROWS($I$2:I24),$I$2:$I$1001,0),1)&gt;=100000,INDEX($P$1005:$S$1005,1,MATCH(COLUMNS($P$1006:P1006),$P$1006:$S$1006,0))&gt;=100000), " ",IF(INDEX($P$2:$S$1001,MATCH(ROWS($I$2:I24),$I$2:$I$1001,0),MATCH(COLUMNS($P$1006:P1006),$P$1006:$S$1006,0)), HYPERLINK("#",""), HYPERLINK(CONCATENATE("#metadata!", ADDRESS(INDEX($K$2:$K$1001,MATCH(ROWS($I$2:I24),$I$2:$I$1001,0),0), INDEX($P$1004:$S$1004,1,MATCH(COLUMNS($P$1006:P1006),$P$1006:$S$1006,0)))),"Fix")))</f>
        <v>0</v>
      </c>
      <c r="C24" s="3">
        <f>IF(OR(INDEX($J$2:$J$1001,MATCH(ROWS($I$2:I24),$I$2:$I$1001,0),1)&gt;=100000,INDEX($P$1005:$S$1005,1,MATCH(COLUMNS($P$1006:Q1006),$P$1006:$S$1006,0))&gt;=100000), " ",IF(INDEX($P$2:$S$1001,MATCH(ROWS($I$2:I24),$I$2:$I$1001,0),MATCH(COLUMNS($P$1006:Q1006),$P$1006:$S$1006,0)), HYPERLINK("#",""), HYPERLINK(CONCATENATE("#metadata!", ADDRESS(INDEX($K$2:$K$1001,MATCH(ROWS($I$2:I24),$I$2:$I$1001,0),0), INDEX($P$1004:$S$1004,1,MATCH(COLUMNS($P$1006:Q1006),$P$1006:$S$1006,0)))),"Fix")))</f>
        <v>0</v>
      </c>
      <c r="D24" s="3">
        <f>IF(OR(INDEX($J$2:$J$1001,MATCH(ROWS($I$2:I24),$I$2:$I$1001,0),1)&gt;=100000,INDEX($P$1005:$S$1005,1,MATCH(COLUMNS($P$1006:R1006),$P$1006:$S$1006,0))&gt;=100000), " ",IF(INDEX($P$2:$S$1001,MATCH(ROWS($I$2:I24),$I$2:$I$1001,0),MATCH(COLUMNS($P$1006:R1006),$P$1006:$S$1006,0)), HYPERLINK("#",""), HYPERLINK(CONCATENATE("#metadata!", ADDRESS(INDEX($K$2:$K$1001,MATCH(ROWS($I$2:I24),$I$2:$I$1001,0),0), INDEX($P$1004:$S$1004,1,MATCH(COLUMNS($P$1006:R1006),$P$1006:$S$1006,0)))),"Fix")))</f>
        <v>0</v>
      </c>
      <c r="E24" s="3">
        <f>IF(OR(INDEX($J$2:$J$1001,MATCH(ROWS($I$2:I24),$I$2:$I$1001,0),1)&gt;=100000,INDEX($P$1005:$S$1005,1,MATCH(COLUMNS($P$1006:S1006),$P$1006:$S$1006,0))&gt;=100000), " ",IF(INDEX($P$2:$S$1001,MATCH(ROWS($I$2:I24),$I$2:$I$1001,0),MATCH(COLUMNS($P$1006:S1006),$P$1006:$S$1006,0)), HYPERLINK("#",""), HYPERLINK(CONCATENATE("#metadata!", ADDRESS(INDEX($K$2:$K$1001,MATCH(ROWS($I$2:I24),$I$2:$I$1001,0),0), INDEX($P$1004:$S$1004,1,MATCH(COLUMNS($P$1006:S1006),$P$1006:$S$1006,0)))),"Fix")))</f>
        <v>0</v>
      </c>
      <c r="I24">
        <v>0</v>
      </c>
      <c r="J24">
        <v>0</v>
      </c>
      <c r="K24">
        <v>0</v>
      </c>
      <c r="L24">
        <f>IF(M24,TRUE,AND(P24:S24))</f>
        <v>0</v>
      </c>
      <c r="M24">
        <f>COUNTBLANK(metadata!B24:E24)=COLUMNS(metadata!B24:E24)</f>
        <v>0</v>
      </c>
      <c r="N24">
        <v>0</v>
      </c>
      <c r="P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Q24">
        <f>AND(IF(metadata!C24="",FALSE,TRUE),exact(metadata!C24,"other"))</f>
        <v>0</v>
      </c>
      <c r="R24">
        <f>AND(IF(metadata!D24="",FALSE,TRUE),exact(metadata!D24,"metagenome"))</f>
        <v>0</v>
      </c>
      <c r="S24">
        <f>AND(IF(metadata!E24="",FALSE,TRUE),exact(metadata!E24,"256318"))</f>
        <v>0</v>
      </c>
    </row>
    <row r="25" spans="1:19">
      <c r="A25" s="4">
        <f>IF(B25=" "," ",HYPERLINK(CONCATENATE("#metadata!",ADDRESS(INDEX($K$2:$K$1001,MATCH(ROWS($I$2:I25),$I$2:$I$1001,0),0),1)),INDEX($N$2:$N$1001,MATCH(ROWS($I$2:I25),$I$2:$I$1001,0),0)))</f>
        <v>0</v>
      </c>
      <c r="B25" s="3">
        <f>IF(OR(INDEX($J$2:$J$1001,MATCH(ROWS($I$2:I25),$I$2:$I$1001,0),1)&gt;=100000,INDEX($P$1005:$S$1005,1,MATCH(COLUMNS($P$1006:P1006),$P$1006:$S$1006,0))&gt;=100000), " ",IF(INDEX($P$2:$S$1001,MATCH(ROWS($I$2:I25),$I$2:$I$1001,0),MATCH(COLUMNS($P$1006:P1006),$P$1006:$S$1006,0)), HYPERLINK("#",""), HYPERLINK(CONCATENATE("#metadata!", ADDRESS(INDEX($K$2:$K$1001,MATCH(ROWS($I$2:I25),$I$2:$I$1001,0),0), INDEX($P$1004:$S$1004,1,MATCH(COLUMNS($P$1006:P1006),$P$1006:$S$1006,0)))),"Fix")))</f>
        <v>0</v>
      </c>
      <c r="C25" s="3">
        <f>IF(OR(INDEX($J$2:$J$1001,MATCH(ROWS($I$2:I25),$I$2:$I$1001,0),1)&gt;=100000,INDEX($P$1005:$S$1005,1,MATCH(COLUMNS($P$1006:Q1006),$P$1006:$S$1006,0))&gt;=100000), " ",IF(INDEX($P$2:$S$1001,MATCH(ROWS($I$2:I25),$I$2:$I$1001,0),MATCH(COLUMNS($P$1006:Q1006),$P$1006:$S$1006,0)), HYPERLINK("#",""), HYPERLINK(CONCATENATE("#metadata!", ADDRESS(INDEX($K$2:$K$1001,MATCH(ROWS($I$2:I25),$I$2:$I$1001,0),0), INDEX($P$1004:$S$1004,1,MATCH(COLUMNS($P$1006:Q1006),$P$1006:$S$1006,0)))),"Fix")))</f>
        <v>0</v>
      </c>
      <c r="D25" s="3">
        <f>IF(OR(INDEX($J$2:$J$1001,MATCH(ROWS($I$2:I25),$I$2:$I$1001,0),1)&gt;=100000,INDEX($P$1005:$S$1005,1,MATCH(COLUMNS($P$1006:R1006),$P$1006:$S$1006,0))&gt;=100000), " ",IF(INDEX($P$2:$S$1001,MATCH(ROWS($I$2:I25),$I$2:$I$1001,0),MATCH(COLUMNS($P$1006:R1006),$P$1006:$S$1006,0)), HYPERLINK("#",""), HYPERLINK(CONCATENATE("#metadata!", ADDRESS(INDEX($K$2:$K$1001,MATCH(ROWS($I$2:I25),$I$2:$I$1001,0),0), INDEX($P$1004:$S$1004,1,MATCH(COLUMNS($P$1006:R1006),$P$1006:$S$1006,0)))),"Fix")))</f>
        <v>0</v>
      </c>
      <c r="E25" s="3">
        <f>IF(OR(INDEX($J$2:$J$1001,MATCH(ROWS($I$2:I25),$I$2:$I$1001,0),1)&gt;=100000,INDEX($P$1005:$S$1005,1,MATCH(COLUMNS($P$1006:S1006),$P$1006:$S$1006,0))&gt;=100000), " ",IF(INDEX($P$2:$S$1001,MATCH(ROWS($I$2:I25),$I$2:$I$1001,0),MATCH(COLUMNS($P$1006:S1006),$P$1006:$S$1006,0)), HYPERLINK("#",""), HYPERLINK(CONCATENATE("#metadata!", ADDRESS(INDEX($K$2:$K$1001,MATCH(ROWS($I$2:I25),$I$2:$I$1001,0),0), INDEX($P$1004:$S$1004,1,MATCH(COLUMNS($P$1006:S1006),$P$1006:$S$1006,0)))),"Fix")))</f>
        <v>0</v>
      </c>
      <c r="I25">
        <v>0</v>
      </c>
      <c r="J25">
        <v>0</v>
      </c>
      <c r="K25">
        <v>0</v>
      </c>
      <c r="L25">
        <f>IF(M25,TRUE,AND(P25:S25))</f>
        <v>0</v>
      </c>
      <c r="M25">
        <f>COUNTBLANK(metadata!B25:E25)=COLUMNS(metadata!B25:E25)</f>
        <v>0</v>
      </c>
      <c r="N25">
        <v>0</v>
      </c>
      <c r="P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Q25">
        <f>AND(IF(metadata!C25="",FALSE,TRUE),exact(metadata!C25,"other"))</f>
        <v>0</v>
      </c>
      <c r="R25">
        <f>AND(IF(metadata!D25="",FALSE,TRUE),exact(metadata!D25,"metagenome"))</f>
        <v>0</v>
      </c>
      <c r="S25">
        <f>AND(IF(metadata!E25="",FALSE,TRUE),exact(metadata!E25,"256318"))</f>
        <v>0</v>
      </c>
    </row>
    <row r="26" spans="1:19">
      <c r="A26" s="4">
        <f>IF(B26=" "," ",HYPERLINK(CONCATENATE("#metadata!",ADDRESS(INDEX($K$2:$K$1001,MATCH(ROWS($I$2:I26),$I$2:$I$1001,0),0),1)),INDEX($N$2:$N$1001,MATCH(ROWS($I$2:I26),$I$2:$I$1001,0),0)))</f>
        <v>0</v>
      </c>
      <c r="B26" s="3">
        <f>IF(OR(INDEX($J$2:$J$1001,MATCH(ROWS($I$2:I26),$I$2:$I$1001,0),1)&gt;=100000,INDEX($P$1005:$S$1005,1,MATCH(COLUMNS($P$1006:P1006),$P$1006:$S$1006,0))&gt;=100000), " ",IF(INDEX($P$2:$S$1001,MATCH(ROWS($I$2:I26),$I$2:$I$1001,0),MATCH(COLUMNS($P$1006:P1006),$P$1006:$S$1006,0)), HYPERLINK("#",""), HYPERLINK(CONCATENATE("#metadata!", ADDRESS(INDEX($K$2:$K$1001,MATCH(ROWS($I$2:I26),$I$2:$I$1001,0),0), INDEX($P$1004:$S$1004,1,MATCH(COLUMNS($P$1006:P1006),$P$1006:$S$1006,0)))),"Fix")))</f>
        <v>0</v>
      </c>
      <c r="C26" s="3">
        <f>IF(OR(INDEX($J$2:$J$1001,MATCH(ROWS($I$2:I26),$I$2:$I$1001,0),1)&gt;=100000,INDEX($P$1005:$S$1005,1,MATCH(COLUMNS($P$1006:Q1006),$P$1006:$S$1006,0))&gt;=100000), " ",IF(INDEX($P$2:$S$1001,MATCH(ROWS($I$2:I26),$I$2:$I$1001,0),MATCH(COLUMNS($P$1006:Q1006),$P$1006:$S$1006,0)), HYPERLINK("#",""), HYPERLINK(CONCATENATE("#metadata!", ADDRESS(INDEX($K$2:$K$1001,MATCH(ROWS($I$2:I26),$I$2:$I$1001,0),0), INDEX($P$1004:$S$1004,1,MATCH(COLUMNS($P$1006:Q1006),$P$1006:$S$1006,0)))),"Fix")))</f>
        <v>0</v>
      </c>
      <c r="D26" s="3">
        <f>IF(OR(INDEX($J$2:$J$1001,MATCH(ROWS($I$2:I26),$I$2:$I$1001,0),1)&gt;=100000,INDEX($P$1005:$S$1005,1,MATCH(COLUMNS($P$1006:R1006),$P$1006:$S$1006,0))&gt;=100000), " ",IF(INDEX($P$2:$S$1001,MATCH(ROWS($I$2:I26),$I$2:$I$1001,0),MATCH(COLUMNS($P$1006:R1006),$P$1006:$S$1006,0)), HYPERLINK("#",""), HYPERLINK(CONCATENATE("#metadata!", ADDRESS(INDEX($K$2:$K$1001,MATCH(ROWS($I$2:I26),$I$2:$I$1001,0),0), INDEX($P$1004:$S$1004,1,MATCH(COLUMNS($P$1006:R1006),$P$1006:$S$1006,0)))),"Fix")))</f>
        <v>0</v>
      </c>
      <c r="E26" s="3">
        <f>IF(OR(INDEX($J$2:$J$1001,MATCH(ROWS($I$2:I26),$I$2:$I$1001,0),1)&gt;=100000,INDEX($P$1005:$S$1005,1,MATCH(COLUMNS($P$1006:S1006),$P$1006:$S$1006,0))&gt;=100000), " ",IF(INDEX($P$2:$S$1001,MATCH(ROWS($I$2:I26),$I$2:$I$1001,0),MATCH(COLUMNS($P$1006:S1006),$P$1006:$S$1006,0)), HYPERLINK("#",""), HYPERLINK(CONCATENATE("#metadata!", ADDRESS(INDEX($K$2:$K$1001,MATCH(ROWS($I$2:I26),$I$2:$I$1001,0),0), INDEX($P$1004:$S$1004,1,MATCH(COLUMNS($P$1006:S1006),$P$1006:$S$1006,0)))),"Fix")))</f>
        <v>0</v>
      </c>
      <c r="I26">
        <v>0</v>
      </c>
      <c r="J26">
        <v>0</v>
      </c>
      <c r="K26">
        <v>0</v>
      </c>
      <c r="L26">
        <f>IF(M26,TRUE,AND(P26:S26))</f>
        <v>0</v>
      </c>
      <c r="M26">
        <f>COUNTBLANK(metadata!B26:E26)=COLUMNS(metadata!B26:E26)</f>
        <v>0</v>
      </c>
      <c r="N26">
        <v>0</v>
      </c>
      <c r="P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Q26">
        <f>AND(IF(metadata!C26="",FALSE,TRUE),exact(metadata!C26,"other"))</f>
        <v>0</v>
      </c>
      <c r="R26">
        <f>AND(IF(metadata!D26="",FALSE,TRUE),exact(metadata!D26,"metagenome"))</f>
        <v>0</v>
      </c>
      <c r="S26">
        <f>AND(IF(metadata!E26="",FALSE,TRUE),exact(metadata!E26,"256318"))</f>
        <v>0</v>
      </c>
    </row>
    <row r="27" spans="1:19">
      <c r="A27" s="4">
        <f>IF(B27=" "," ",HYPERLINK(CONCATENATE("#metadata!",ADDRESS(INDEX($K$2:$K$1001,MATCH(ROWS($I$2:I27),$I$2:$I$1001,0),0),1)),INDEX($N$2:$N$1001,MATCH(ROWS($I$2:I27),$I$2:$I$1001,0),0)))</f>
        <v>0</v>
      </c>
      <c r="B27" s="3">
        <f>IF(OR(INDEX($J$2:$J$1001,MATCH(ROWS($I$2:I27),$I$2:$I$1001,0),1)&gt;=100000,INDEX($P$1005:$S$1005,1,MATCH(COLUMNS($P$1006:P1006),$P$1006:$S$1006,0))&gt;=100000), " ",IF(INDEX($P$2:$S$1001,MATCH(ROWS($I$2:I27),$I$2:$I$1001,0),MATCH(COLUMNS($P$1006:P1006),$P$1006:$S$1006,0)), HYPERLINK("#",""), HYPERLINK(CONCATENATE("#metadata!", ADDRESS(INDEX($K$2:$K$1001,MATCH(ROWS($I$2:I27),$I$2:$I$1001,0),0), INDEX($P$1004:$S$1004,1,MATCH(COLUMNS($P$1006:P1006),$P$1006:$S$1006,0)))),"Fix")))</f>
        <v>0</v>
      </c>
      <c r="C27" s="3">
        <f>IF(OR(INDEX($J$2:$J$1001,MATCH(ROWS($I$2:I27),$I$2:$I$1001,0),1)&gt;=100000,INDEX($P$1005:$S$1005,1,MATCH(COLUMNS($P$1006:Q1006),$P$1006:$S$1006,0))&gt;=100000), " ",IF(INDEX($P$2:$S$1001,MATCH(ROWS($I$2:I27),$I$2:$I$1001,0),MATCH(COLUMNS($P$1006:Q1006),$P$1006:$S$1006,0)), HYPERLINK("#",""), HYPERLINK(CONCATENATE("#metadata!", ADDRESS(INDEX($K$2:$K$1001,MATCH(ROWS($I$2:I27),$I$2:$I$1001,0),0), INDEX($P$1004:$S$1004,1,MATCH(COLUMNS($P$1006:Q1006),$P$1006:$S$1006,0)))),"Fix")))</f>
        <v>0</v>
      </c>
      <c r="D27" s="3">
        <f>IF(OR(INDEX($J$2:$J$1001,MATCH(ROWS($I$2:I27),$I$2:$I$1001,0),1)&gt;=100000,INDEX($P$1005:$S$1005,1,MATCH(COLUMNS($P$1006:R1006),$P$1006:$S$1006,0))&gt;=100000), " ",IF(INDEX($P$2:$S$1001,MATCH(ROWS($I$2:I27),$I$2:$I$1001,0),MATCH(COLUMNS($P$1006:R1006),$P$1006:$S$1006,0)), HYPERLINK("#",""), HYPERLINK(CONCATENATE("#metadata!", ADDRESS(INDEX($K$2:$K$1001,MATCH(ROWS($I$2:I27),$I$2:$I$1001,0),0), INDEX($P$1004:$S$1004,1,MATCH(COLUMNS($P$1006:R1006),$P$1006:$S$1006,0)))),"Fix")))</f>
        <v>0</v>
      </c>
      <c r="E27" s="3">
        <f>IF(OR(INDEX($J$2:$J$1001,MATCH(ROWS($I$2:I27),$I$2:$I$1001,0),1)&gt;=100000,INDEX($P$1005:$S$1005,1,MATCH(COLUMNS($P$1006:S1006),$P$1006:$S$1006,0))&gt;=100000), " ",IF(INDEX($P$2:$S$1001,MATCH(ROWS($I$2:I27),$I$2:$I$1001,0),MATCH(COLUMNS($P$1006:S1006),$P$1006:$S$1006,0)), HYPERLINK("#",""), HYPERLINK(CONCATENATE("#metadata!", ADDRESS(INDEX($K$2:$K$1001,MATCH(ROWS($I$2:I27),$I$2:$I$1001,0),0), INDEX($P$1004:$S$1004,1,MATCH(COLUMNS($P$1006:S1006),$P$1006:$S$1006,0)))),"Fix")))</f>
        <v>0</v>
      </c>
      <c r="I27">
        <v>0</v>
      </c>
      <c r="J27">
        <v>0</v>
      </c>
      <c r="K27">
        <v>0</v>
      </c>
      <c r="L27">
        <f>IF(M27,TRUE,AND(P27:S27))</f>
        <v>0</v>
      </c>
      <c r="M27">
        <f>COUNTBLANK(metadata!B27:E27)=COLUMNS(metadata!B27:E27)</f>
        <v>0</v>
      </c>
      <c r="N27">
        <v>0</v>
      </c>
      <c r="P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Q27">
        <f>AND(IF(metadata!C27="",FALSE,TRUE),exact(metadata!C27,"other"))</f>
        <v>0</v>
      </c>
      <c r="R27">
        <f>AND(IF(metadata!D27="",FALSE,TRUE),exact(metadata!D27,"metagenome"))</f>
        <v>0</v>
      </c>
      <c r="S27">
        <f>AND(IF(metadata!E27="",FALSE,TRUE),exact(metadata!E27,"256318"))</f>
        <v>0</v>
      </c>
    </row>
    <row r="28" spans="1:19">
      <c r="A28" s="4">
        <f>IF(B28=" "," ",HYPERLINK(CONCATENATE("#metadata!",ADDRESS(INDEX($K$2:$K$1001,MATCH(ROWS($I$2:I28),$I$2:$I$1001,0),0),1)),INDEX($N$2:$N$1001,MATCH(ROWS($I$2:I28),$I$2:$I$1001,0),0)))</f>
        <v>0</v>
      </c>
      <c r="B28" s="3">
        <f>IF(OR(INDEX($J$2:$J$1001,MATCH(ROWS($I$2:I28),$I$2:$I$1001,0),1)&gt;=100000,INDEX($P$1005:$S$1005,1,MATCH(COLUMNS($P$1006:P1006),$P$1006:$S$1006,0))&gt;=100000), " ",IF(INDEX($P$2:$S$1001,MATCH(ROWS($I$2:I28),$I$2:$I$1001,0),MATCH(COLUMNS($P$1006:P1006),$P$1006:$S$1006,0)), HYPERLINK("#",""), HYPERLINK(CONCATENATE("#metadata!", ADDRESS(INDEX($K$2:$K$1001,MATCH(ROWS($I$2:I28),$I$2:$I$1001,0),0), INDEX($P$1004:$S$1004,1,MATCH(COLUMNS($P$1006:P1006),$P$1006:$S$1006,0)))),"Fix")))</f>
        <v>0</v>
      </c>
      <c r="C28" s="3">
        <f>IF(OR(INDEX($J$2:$J$1001,MATCH(ROWS($I$2:I28),$I$2:$I$1001,0),1)&gt;=100000,INDEX($P$1005:$S$1005,1,MATCH(COLUMNS($P$1006:Q1006),$P$1006:$S$1006,0))&gt;=100000), " ",IF(INDEX($P$2:$S$1001,MATCH(ROWS($I$2:I28),$I$2:$I$1001,0),MATCH(COLUMNS($P$1006:Q1006),$P$1006:$S$1006,0)), HYPERLINK("#",""), HYPERLINK(CONCATENATE("#metadata!", ADDRESS(INDEX($K$2:$K$1001,MATCH(ROWS($I$2:I28),$I$2:$I$1001,0),0), INDEX($P$1004:$S$1004,1,MATCH(COLUMNS($P$1006:Q1006),$P$1006:$S$1006,0)))),"Fix")))</f>
        <v>0</v>
      </c>
      <c r="D28" s="3">
        <f>IF(OR(INDEX($J$2:$J$1001,MATCH(ROWS($I$2:I28),$I$2:$I$1001,0),1)&gt;=100000,INDEX($P$1005:$S$1005,1,MATCH(COLUMNS($P$1006:R1006),$P$1006:$S$1006,0))&gt;=100000), " ",IF(INDEX($P$2:$S$1001,MATCH(ROWS($I$2:I28),$I$2:$I$1001,0),MATCH(COLUMNS($P$1006:R1006),$P$1006:$S$1006,0)), HYPERLINK("#",""), HYPERLINK(CONCATENATE("#metadata!", ADDRESS(INDEX($K$2:$K$1001,MATCH(ROWS($I$2:I28),$I$2:$I$1001,0),0), INDEX($P$1004:$S$1004,1,MATCH(COLUMNS($P$1006:R1006),$P$1006:$S$1006,0)))),"Fix")))</f>
        <v>0</v>
      </c>
      <c r="E28" s="3">
        <f>IF(OR(INDEX($J$2:$J$1001,MATCH(ROWS($I$2:I28),$I$2:$I$1001,0),1)&gt;=100000,INDEX($P$1005:$S$1005,1,MATCH(COLUMNS($P$1006:S1006),$P$1006:$S$1006,0))&gt;=100000), " ",IF(INDEX($P$2:$S$1001,MATCH(ROWS($I$2:I28),$I$2:$I$1001,0),MATCH(COLUMNS($P$1006:S1006),$P$1006:$S$1006,0)), HYPERLINK("#",""), HYPERLINK(CONCATENATE("#metadata!", ADDRESS(INDEX($K$2:$K$1001,MATCH(ROWS($I$2:I28),$I$2:$I$1001,0),0), INDEX($P$1004:$S$1004,1,MATCH(COLUMNS($P$1006:S1006),$P$1006:$S$1006,0)))),"Fix")))</f>
        <v>0</v>
      </c>
      <c r="I28">
        <v>0</v>
      </c>
      <c r="J28">
        <v>0</v>
      </c>
      <c r="K28">
        <v>0</v>
      </c>
      <c r="L28">
        <f>IF(M28,TRUE,AND(P28:S28))</f>
        <v>0</v>
      </c>
      <c r="M28">
        <f>COUNTBLANK(metadata!B28:E28)=COLUMNS(metadata!B28:E28)</f>
        <v>0</v>
      </c>
      <c r="N28">
        <v>0</v>
      </c>
      <c r="P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Q28">
        <f>AND(IF(metadata!C28="",FALSE,TRUE),exact(metadata!C28,"other"))</f>
        <v>0</v>
      </c>
      <c r="R28">
        <f>AND(IF(metadata!D28="",FALSE,TRUE),exact(metadata!D28,"metagenome"))</f>
        <v>0</v>
      </c>
      <c r="S28">
        <f>AND(IF(metadata!E28="",FALSE,TRUE),exact(metadata!E28,"256318"))</f>
        <v>0</v>
      </c>
    </row>
    <row r="29" spans="1:19">
      <c r="A29" s="4">
        <f>IF(B29=" "," ",HYPERLINK(CONCATENATE("#metadata!",ADDRESS(INDEX($K$2:$K$1001,MATCH(ROWS($I$2:I29),$I$2:$I$1001,0),0),1)),INDEX($N$2:$N$1001,MATCH(ROWS($I$2:I29),$I$2:$I$1001,0),0)))</f>
        <v>0</v>
      </c>
      <c r="B29" s="3">
        <f>IF(OR(INDEX($J$2:$J$1001,MATCH(ROWS($I$2:I29),$I$2:$I$1001,0),1)&gt;=100000,INDEX($P$1005:$S$1005,1,MATCH(COLUMNS($P$1006:P1006),$P$1006:$S$1006,0))&gt;=100000), " ",IF(INDEX($P$2:$S$1001,MATCH(ROWS($I$2:I29),$I$2:$I$1001,0),MATCH(COLUMNS($P$1006:P1006),$P$1006:$S$1006,0)), HYPERLINK("#",""), HYPERLINK(CONCATENATE("#metadata!", ADDRESS(INDEX($K$2:$K$1001,MATCH(ROWS($I$2:I29),$I$2:$I$1001,0),0), INDEX($P$1004:$S$1004,1,MATCH(COLUMNS($P$1006:P1006),$P$1006:$S$1006,0)))),"Fix")))</f>
        <v>0</v>
      </c>
      <c r="C29" s="3">
        <f>IF(OR(INDEX($J$2:$J$1001,MATCH(ROWS($I$2:I29),$I$2:$I$1001,0),1)&gt;=100000,INDEX($P$1005:$S$1005,1,MATCH(COLUMNS($P$1006:Q1006),$P$1006:$S$1006,0))&gt;=100000), " ",IF(INDEX($P$2:$S$1001,MATCH(ROWS($I$2:I29),$I$2:$I$1001,0),MATCH(COLUMNS($P$1006:Q1006),$P$1006:$S$1006,0)), HYPERLINK("#",""), HYPERLINK(CONCATENATE("#metadata!", ADDRESS(INDEX($K$2:$K$1001,MATCH(ROWS($I$2:I29),$I$2:$I$1001,0),0), INDEX($P$1004:$S$1004,1,MATCH(COLUMNS($P$1006:Q1006),$P$1006:$S$1006,0)))),"Fix")))</f>
        <v>0</v>
      </c>
      <c r="D29" s="3">
        <f>IF(OR(INDEX($J$2:$J$1001,MATCH(ROWS($I$2:I29),$I$2:$I$1001,0),1)&gt;=100000,INDEX($P$1005:$S$1005,1,MATCH(COLUMNS($P$1006:R1006),$P$1006:$S$1006,0))&gt;=100000), " ",IF(INDEX($P$2:$S$1001,MATCH(ROWS($I$2:I29),$I$2:$I$1001,0),MATCH(COLUMNS($P$1006:R1006),$P$1006:$S$1006,0)), HYPERLINK("#",""), HYPERLINK(CONCATENATE("#metadata!", ADDRESS(INDEX($K$2:$K$1001,MATCH(ROWS($I$2:I29),$I$2:$I$1001,0),0), INDEX($P$1004:$S$1004,1,MATCH(COLUMNS($P$1006:R1006),$P$1006:$S$1006,0)))),"Fix")))</f>
        <v>0</v>
      </c>
      <c r="E29" s="3">
        <f>IF(OR(INDEX($J$2:$J$1001,MATCH(ROWS($I$2:I29),$I$2:$I$1001,0),1)&gt;=100000,INDEX($P$1005:$S$1005,1,MATCH(COLUMNS($P$1006:S1006),$P$1006:$S$1006,0))&gt;=100000), " ",IF(INDEX($P$2:$S$1001,MATCH(ROWS($I$2:I29),$I$2:$I$1001,0),MATCH(COLUMNS($P$1006:S1006),$P$1006:$S$1006,0)), HYPERLINK("#",""), HYPERLINK(CONCATENATE("#metadata!", ADDRESS(INDEX($K$2:$K$1001,MATCH(ROWS($I$2:I29),$I$2:$I$1001,0),0), INDEX($P$1004:$S$1004,1,MATCH(COLUMNS($P$1006:S1006),$P$1006:$S$1006,0)))),"Fix")))</f>
        <v>0</v>
      </c>
      <c r="I29">
        <v>0</v>
      </c>
      <c r="J29">
        <v>0</v>
      </c>
      <c r="K29">
        <v>0</v>
      </c>
      <c r="L29">
        <f>IF(M29,TRUE,AND(P29:S29))</f>
        <v>0</v>
      </c>
      <c r="M29">
        <f>COUNTBLANK(metadata!B29:E29)=COLUMNS(metadata!B29:E29)</f>
        <v>0</v>
      </c>
      <c r="N29">
        <v>0</v>
      </c>
      <c r="P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Q29">
        <f>AND(IF(metadata!C29="",FALSE,TRUE),exact(metadata!C29,"other"))</f>
        <v>0</v>
      </c>
      <c r="R29">
        <f>AND(IF(metadata!D29="",FALSE,TRUE),exact(metadata!D29,"metagenome"))</f>
        <v>0</v>
      </c>
      <c r="S29">
        <f>AND(IF(metadata!E29="",FALSE,TRUE),exact(metadata!E29,"256318"))</f>
        <v>0</v>
      </c>
    </row>
    <row r="30" spans="1:19">
      <c r="A30" s="4">
        <f>IF(B30=" "," ",HYPERLINK(CONCATENATE("#metadata!",ADDRESS(INDEX($K$2:$K$1001,MATCH(ROWS($I$2:I30),$I$2:$I$1001,0),0),1)),INDEX($N$2:$N$1001,MATCH(ROWS($I$2:I30),$I$2:$I$1001,0),0)))</f>
        <v>0</v>
      </c>
      <c r="B30" s="3">
        <f>IF(OR(INDEX($J$2:$J$1001,MATCH(ROWS($I$2:I30),$I$2:$I$1001,0),1)&gt;=100000,INDEX($P$1005:$S$1005,1,MATCH(COLUMNS($P$1006:P1006),$P$1006:$S$1006,0))&gt;=100000), " ",IF(INDEX($P$2:$S$1001,MATCH(ROWS($I$2:I30),$I$2:$I$1001,0),MATCH(COLUMNS($P$1006:P1006),$P$1006:$S$1006,0)), HYPERLINK("#",""), HYPERLINK(CONCATENATE("#metadata!", ADDRESS(INDEX($K$2:$K$1001,MATCH(ROWS($I$2:I30),$I$2:$I$1001,0),0), INDEX($P$1004:$S$1004,1,MATCH(COLUMNS($P$1006:P1006),$P$1006:$S$1006,0)))),"Fix")))</f>
        <v>0</v>
      </c>
      <c r="C30" s="3">
        <f>IF(OR(INDEX($J$2:$J$1001,MATCH(ROWS($I$2:I30),$I$2:$I$1001,0),1)&gt;=100000,INDEX($P$1005:$S$1005,1,MATCH(COLUMNS($P$1006:Q1006),$P$1006:$S$1006,0))&gt;=100000), " ",IF(INDEX($P$2:$S$1001,MATCH(ROWS($I$2:I30),$I$2:$I$1001,0),MATCH(COLUMNS($P$1006:Q1006),$P$1006:$S$1006,0)), HYPERLINK("#",""), HYPERLINK(CONCATENATE("#metadata!", ADDRESS(INDEX($K$2:$K$1001,MATCH(ROWS($I$2:I30),$I$2:$I$1001,0),0), INDEX($P$1004:$S$1004,1,MATCH(COLUMNS($P$1006:Q1006),$P$1006:$S$1006,0)))),"Fix")))</f>
        <v>0</v>
      </c>
      <c r="D30" s="3">
        <f>IF(OR(INDEX($J$2:$J$1001,MATCH(ROWS($I$2:I30),$I$2:$I$1001,0),1)&gt;=100000,INDEX($P$1005:$S$1005,1,MATCH(COLUMNS($P$1006:R1006),$P$1006:$S$1006,0))&gt;=100000), " ",IF(INDEX($P$2:$S$1001,MATCH(ROWS($I$2:I30),$I$2:$I$1001,0),MATCH(COLUMNS($P$1006:R1006),$P$1006:$S$1006,0)), HYPERLINK("#",""), HYPERLINK(CONCATENATE("#metadata!", ADDRESS(INDEX($K$2:$K$1001,MATCH(ROWS($I$2:I30),$I$2:$I$1001,0),0), INDEX($P$1004:$S$1004,1,MATCH(COLUMNS($P$1006:R1006),$P$1006:$S$1006,0)))),"Fix")))</f>
        <v>0</v>
      </c>
      <c r="E30" s="3">
        <f>IF(OR(INDEX($J$2:$J$1001,MATCH(ROWS($I$2:I30),$I$2:$I$1001,0),1)&gt;=100000,INDEX($P$1005:$S$1005,1,MATCH(COLUMNS($P$1006:S1006),$P$1006:$S$1006,0))&gt;=100000), " ",IF(INDEX($P$2:$S$1001,MATCH(ROWS($I$2:I30),$I$2:$I$1001,0),MATCH(COLUMNS($P$1006:S1006),$P$1006:$S$1006,0)), HYPERLINK("#",""), HYPERLINK(CONCATENATE("#metadata!", ADDRESS(INDEX($K$2:$K$1001,MATCH(ROWS($I$2:I30),$I$2:$I$1001,0),0), INDEX($P$1004:$S$1004,1,MATCH(COLUMNS($P$1006:S1006),$P$1006:$S$1006,0)))),"Fix")))</f>
        <v>0</v>
      </c>
      <c r="I30">
        <v>0</v>
      </c>
      <c r="J30">
        <v>0</v>
      </c>
      <c r="K30">
        <v>0</v>
      </c>
      <c r="L30">
        <f>IF(M30,TRUE,AND(P30:S30))</f>
        <v>0</v>
      </c>
      <c r="M30">
        <f>COUNTBLANK(metadata!B30:E30)=COLUMNS(metadata!B30:E30)</f>
        <v>0</v>
      </c>
      <c r="N30">
        <v>0</v>
      </c>
      <c r="P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Q30">
        <f>AND(IF(metadata!C30="",FALSE,TRUE),exact(metadata!C30,"other"))</f>
        <v>0</v>
      </c>
      <c r="R30">
        <f>AND(IF(metadata!D30="",FALSE,TRUE),exact(metadata!D30,"metagenome"))</f>
        <v>0</v>
      </c>
      <c r="S30">
        <f>AND(IF(metadata!E30="",FALSE,TRUE),exact(metadata!E30,"256318"))</f>
        <v>0</v>
      </c>
    </row>
    <row r="31" spans="1:19">
      <c r="A31" s="4">
        <f>IF(B31=" "," ",HYPERLINK(CONCATENATE("#metadata!",ADDRESS(INDEX($K$2:$K$1001,MATCH(ROWS($I$2:I31),$I$2:$I$1001,0),0),1)),INDEX($N$2:$N$1001,MATCH(ROWS($I$2:I31),$I$2:$I$1001,0),0)))</f>
        <v>0</v>
      </c>
      <c r="B31" s="3">
        <f>IF(OR(INDEX($J$2:$J$1001,MATCH(ROWS($I$2:I31),$I$2:$I$1001,0),1)&gt;=100000,INDEX($P$1005:$S$1005,1,MATCH(COLUMNS($P$1006:P1006),$P$1006:$S$1006,0))&gt;=100000), " ",IF(INDEX($P$2:$S$1001,MATCH(ROWS($I$2:I31),$I$2:$I$1001,0),MATCH(COLUMNS($P$1006:P1006),$P$1006:$S$1006,0)), HYPERLINK("#",""), HYPERLINK(CONCATENATE("#metadata!", ADDRESS(INDEX($K$2:$K$1001,MATCH(ROWS($I$2:I31),$I$2:$I$1001,0),0), INDEX($P$1004:$S$1004,1,MATCH(COLUMNS($P$1006:P1006),$P$1006:$S$1006,0)))),"Fix")))</f>
        <v>0</v>
      </c>
      <c r="C31" s="3">
        <f>IF(OR(INDEX($J$2:$J$1001,MATCH(ROWS($I$2:I31),$I$2:$I$1001,0),1)&gt;=100000,INDEX($P$1005:$S$1005,1,MATCH(COLUMNS($P$1006:Q1006),$P$1006:$S$1006,0))&gt;=100000), " ",IF(INDEX($P$2:$S$1001,MATCH(ROWS($I$2:I31),$I$2:$I$1001,0),MATCH(COLUMNS($P$1006:Q1006),$P$1006:$S$1006,0)), HYPERLINK("#",""), HYPERLINK(CONCATENATE("#metadata!", ADDRESS(INDEX($K$2:$K$1001,MATCH(ROWS($I$2:I31),$I$2:$I$1001,0),0), INDEX($P$1004:$S$1004,1,MATCH(COLUMNS($P$1006:Q1006),$P$1006:$S$1006,0)))),"Fix")))</f>
        <v>0</v>
      </c>
      <c r="D31" s="3">
        <f>IF(OR(INDEX($J$2:$J$1001,MATCH(ROWS($I$2:I31),$I$2:$I$1001,0),1)&gt;=100000,INDEX($P$1005:$S$1005,1,MATCH(COLUMNS($P$1006:R1006),$P$1006:$S$1006,0))&gt;=100000), " ",IF(INDEX($P$2:$S$1001,MATCH(ROWS($I$2:I31),$I$2:$I$1001,0),MATCH(COLUMNS($P$1006:R1006),$P$1006:$S$1006,0)), HYPERLINK("#",""), HYPERLINK(CONCATENATE("#metadata!", ADDRESS(INDEX($K$2:$K$1001,MATCH(ROWS($I$2:I31),$I$2:$I$1001,0),0), INDEX($P$1004:$S$1004,1,MATCH(COLUMNS($P$1006:R1006),$P$1006:$S$1006,0)))),"Fix")))</f>
        <v>0</v>
      </c>
      <c r="E31" s="3">
        <f>IF(OR(INDEX($J$2:$J$1001,MATCH(ROWS($I$2:I31),$I$2:$I$1001,0),1)&gt;=100000,INDEX($P$1005:$S$1005,1,MATCH(COLUMNS($P$1006:S1006),$P$1006:$S$1006,0))&gt;=100000), " ",IF(INDEX($P$2:$S$1001,MATCH(ROWS($I$2:I31),$I$2:$I$1001,0),MATCH(COLUMNS($P$1006:S1006),$P$1006:$S$1006,0)), HYPERLINK("#",""), HYPERLINK(CONCATENATE("#metadata!", ADDRESS(INDEX($K$2:$K$1001,MATCH(ROWS($I$2:I31),$I$2:$I$1001,0),0), INDEX($P$1004:$S$1004,1,MATCH(COLUMNS($P$1006:S1006),$P$1006:$S$1006,0)))),"Fix")))</f>
        <v>0</v>
      </c>
      <c r="I31">
        <v>0</v>
      </c>
      <c r="J31">
        <v>0</v>
      </c>
      <c r="K31">
        <v>0</v>
      </c>
      <c r="L31">
        <f>IF(M31,TRUE,AND(P31:S31))</f>
        <v>0</v>
      </c>
      <c r="M31">
        <f>COUNTBLANK(metadata!B31:E31)=COLUMNS(metadata!B31:E31)</f>
        <v>0</v>
      </c>
      <c r="N31">
        <v>0</v>
      </c>
      <c r="P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Q31">
        <f>AND(IF(metadata!C31="",FALSE,TRUE),exact(metadata!C31,"other"))</f>
        <v>0</v>
      </c>
      <c r="R31">
        <f>AND(IF(metadata!D31="",FALSE,TRUE),exact(metadata!D31,"metagenome"))</f>
        <v>0</v>
      </c>
      <c r="S31">
        <f>AND(IF(metadata!E31="",FALSE,TRUE),exact(metadata!E31,"256318"))</f>
        <v>0</v>
      </c>
    </row>
    <row r="32" spans="1:19">
      <c r="A32" s="4">
        <f>IF(B32=" "," ",HYPERLINK(CONCATENATE("#metadata!",ADDRESS(INDEX($K$2:$K$1001,MATCH(ROWS($I$2:I32),$I$2:$I$1001,0),0),1)),INDEX($N$2:$N$1001,MATCH(ROWS($I$2:I32),$I$2:$I$1001,0),0)))</f>
        <v>0</v>
      </c>
      <c r="B32" s="3">
        <f>IF(OR(INDEX($J$2:$J$1001,MATCH(ROWS($I$2:I32),$I$2:$I$1001,0),1)&gt;=100000,INDEX($P$1005:$S$1005,1,MATCH(COLUMNS($P$1006:P1006),$P$1006:$S$1006,0))&gt;=100000), " ",IF(INDEX($P$2:$S$1001,MATCH(ROWS($I$2:I32),$I$2:$I$1001,0),MATCH(COLUMNS($P$1006:P1006),$P$1006:$S$1006,0)), HYPERLINK("#",""), HYPERLINK(CONCATENATE("#metadata!", ADDRESS(INDEX($K$2:$K$1001,MATCH(ROWS($I$2:I32),$I$2:$I$1001,0),0), INDEX($P$1004:$S$1004,1,MATCH(COLUMNS($P$1006:P1006),$P$1006:$S$1006,0)))),"Fix")))</f>
        <v>0</v>
      </c>
      <c r="C32" s="3">
        <f>IF(OR(INDEX($J$2:$J$1001,MATCH(ROWS($I$2:I32),$I$2:$I$1001,0),1)&gt;=100000,INDEX($P$1005:$S$1005,1,MATCH(COLUMNS($P$1006:Q1006),$P$1006:$S$1006,0))&gt;=100000), " ",IF(INDEX($P$2:$S$1001,MATCH(ROWS($I$2:I32),$I$2:$I$1001,0),MATCH(COLUMNS($P$1006:Q1006),$P$1006:$S$1006,0)), HYPERLINK("#",""), HYPERLINK(CONCATENATE("#metadata!", ADDRESS(INDEX($K$2:$K$1001,MATCH(ROWS($I$2:I32),$I$2:$I$1001,0),0), INDEX($P$1004:$S$1004,1,MATCH(COLUMNS($P$1006:Q1006),$P$1006:$S$1006,0)))),"Fix")))</f>
        <v>0</v>
      </c>
      <c r="D32" s="3">
        <f>IF(OR(INDEX($J$2:$J$1001,MATCH(ROWS($I$2:I32),$I$2:$I$1001,0),1)&gt;=100000,INDEX($P$1005:$S$1005,1,MATCH(COLUMNS($P$1006:R1006),$P$1006:$S$1006,0))&gt;=100000), " ",IF(INDEX($P$2:$S$1001,MATCH(ROWS($I$2:I32),$I$2:$I$1001,0),MATCH(COLUMNS($P$1006:R1006),$P$1006:$S$1006,0)), HYPERLINK("#",""), HYPERLINK(CONCATENATE("#metadata!", ADDRESS(INDEX($K$2:$K$1001,MATCH(ROWS($I$2:I32),$I$2:$I$1001,0),0), INDEX($P$1004:$S$1004,1,MATCH(COLUMNS($P$1006:R1006),$P$1006:$S$1006,0)))),"Fix")))</f>
        <v>0</v>
      </c>
      <c r="E32" s="3">
        <f>IF(OR(INDEX($J$2:$J$1001,MATCH(ROWS($I$2:I32),$I$2:$I$1001,0),1)&gt;=100000,INDEX($P$1005:$S$1005,1,MATCH(COLUMNS($P$1006:S1006),$P$1006:$S$1006,0))&gt;=100000), " ",IF(INDEX($P$2:$S$1001,MATCH(ROWS($I$2:I32),$I$2:$I$1001,0),MATCH(COLUMNS($P$1006:S1006),$P$1006:$S$1006,0)), HYPERLINK("#",""), HYPERLINK(CONCATENATE("#metadata!", ADDRESS(INDEX($K$2:$K$1001,MATCH(ROWS($I$2:I32),$I$2:$I$1001,0),0), INDEX($P$1004:$S$1004,1,MATCH(COLUMNS($P$1006:S1006),$P$1006:$S$1006,0)))),"Fix")))</f>
        <v>0</v>
      </c>
      <c r="I32">
        <v>0</v>
      </c>
      <c r="J32">
        <v>0</v>
      </c>
      <c r="K32">
        <v>0</v>
      </c>
      <c r="L32">
        <f>IF(M32,TRUE,AND(P32:S32))</f>
        <v>0</v>
      </c>
      <c r="M32">
        <f>COUNTBLANK(metadata!B32:E32)=COLUMNS(metadata!B32:E32)</f>
        <v>0</v>
      </c>
      <c r="N32">
        <v>0</v>
      </c>
      <c r="P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Q32">
        <f>AND(IF(metadata!C32="",FALSE,TRUE),exact(metadata!C32,"other"))</f>
        <v>0</v>
      </c>
      <c r="R32">
        <f>AND(IF(metadata!D32="",FALSE,TRUE),exact(metadata!D32,"metagenome"))</f>
        <v>0</v>
      </c>
      <c r="S32">
        <f>AND(IF(metadata!E32="",FALSE,TRUE),exact(metadata!E32,"256318"))</f>
        <v>0</v>
      </c>
    </row>
    <row r="33" spans="1:19">
      <c r="A33" s="4">
        <f>IF(B33=" "," ",HYPERLINK(CONCATENATE("#metadata!",ADDRESS(INDEX($K$2:$K$1001,MATCH(ROWS($I$2:I33),$I$2:$I$1001,0),0),1)),INDEX($N$2:$N$1001,MATCH(ROWS($I$2:I33),$I$2:$I$1001,0),0)))</f>
        <v>0</v>
      </c>
      <c r="B33" s="3">
        <f>IF(OR(INDEX($J$2:$J$1001,MATCH(ROWS($I$2:I33),$I$2:$I$1001,0),1)&gt;=100000,INDEX($P$1005:$S$1005,1,MATCH(COLUMNS($P$1006:P1006),$P$1006:$S$1006,0))&gt;=100000), " ",IF(INDEX($P$2:$S$1001,MATCH(ROWS($I$2:I33),$I$2:$I$1001,0),MATCH(COLUMNS($P$1006:P1006),$P$1006:$S$1006,0)), HYPERLINK("#",""), HYPERLINK(CONCATENATE("#metadata!", ADDRESS(INDEX($K$2:$K$1001,MATCH(ROWS($I$2:I33),$I$2:$I$1001,0),0), INDEX($P$1004:$S$1004,1,MATCH(COLUMNS($P$1006:P1006),$P$1006:$S$1006,0)))),"Fix")))</f>
        <v>0</v>
      </c>
      <c r="C33" s="3">
        <f>IF(OR(INDEX($J$2:$J$1001,MATCH(ROWS($I$2:I33),$I$2:$I$1001,0),1)&gt;=100000,INDEX($P$1005:$S$1005,1,MATCH(COLUMNS($P$1006:Q1006),$P$1006:$S$1006,0))&gt;=100000), " ",IF(INDEX($P$2:$S$1001,MATCH(ROWS($I$2:I33),$I$2:$I$1001,0),MATCH(COLUMNS($P$1006:Q1006),$P$1006:$S$1006,0)), HYPERLINK("#",""), HYPERLINK(CONCATENATE("#metadata!", ADDRESS(INDEX($K$2:$K$1001,MATCH(ROWS($I$2:I33),$I$2:$I$1001,0),0), INDEX($P$1004:$S$1004,1,MATCH(COLUMNS($P$1006:Q1006),$P$1006:$S$1006,0)))),"Fix")))</f>
        <v>0</v>
      </c>
      <c r="D33" s="3">
        <f>IF(OR(INDEX($J$2:$J$1001,MATCH(ROWS($I$2:I33),$I$2:$I$1001,0),1)&gt;=100000,INDEX($P$1005:$S$1005,1,MATCH(COLUMNS($P$1006:R1006),$P$1006:$S$1006,0))&gt;=100000), " ",IF(INDEX($P$2:$S$1001,MATCH(ROWS($I$2:I33),$I$2:$I$1001,0),MATCH(COLUMNS($P$1006:R1006),$P$1006:$S$1006,0)), HYPERLINK("#",""), HYPERLINK(CONCATENATE("#metadata!", ADDRESS(INDEX($K$2:$K$1001,MATCH(ROWS($I$2:I33),$I$2:$I$1001,0),0), INDEX($P$1004:$S$1004,1,MATCH(COLUMNS($P$1006:R1006),$P$1006:$S$1006,0)))),"Fix")))</f>
        <v>0</v>
      </c>
      <c r="E33" s="3">
        <f>IF(OR(INDEX($J$2:$J$1001,MATCH(ROWS($I$2:I33),$I$2:$I$1001,0),1)&gt;=100000,INDEX($P$1005:$S$1005,1,MATCH(COLUMNS($P$1006:S1006),$P$1006:$S$1006,0))&gt;=100000), " ",IF(INDEX($P$2:$S$1001,MATCH(ROWS($I$2:I33),$I$2:$I$1001,0),MATCH(COLUMNS($P$1006:S1006),$P$1006:$S$1006,0)), HYPERLINK("#",""), HYPERLINK(CONCATENATE("#metadata!", ADDRESS(INDEX($K$2:$K$1001,MATCH(ROWS($I$2:I33),$I$2:$I$1001,0),0), INDEX($P$1004:$S$1004,1,MATCH(COLUMNS($P$1006:S1006),$P$1006:$S$1006,0)))),"Fix")))</f>
        <v>0</v>
      </c>
      <c r="I33">
        <v>0</v>
      </c>
      <c r="J33">
        <v>0</v>
      </c>
      <c r="K33">
        <v>0</v>
      </c>
      <c r="L33">
        <f>IF(M33,TRUE,AND(P33:S33))</f>
        <v>0</v>
      </c>
      <c r="M33">
        <f>COUNTBLANK(metadata!B33:E33)=COLUMNS(metadata!B33:E33)</f>
        <v>0</v>
      </c>
      <c r="N33">
        <v>0</v>
      </c>
      <c r="P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Q33">
        <f>AND(IF(metadata!C33="",FALSE,TRUE),exact(metadata!C33,"other"))</f>
        <v>0</v>
      </c>
      <c r="R33">
        <f>AND(IF(metadata!D33="",FALSE,TRUE),exact(metadata!D33,"metagenome"))</f>
        <v>0</v>
      </c>
      <c r="S33">
        <f>AND(IF(metadata!E33="",FALSE,TRUE),exact(metadata!E33,"256318"))</f>
        <v>0</v>
      </c>
    </row>
    <row r="34" spans="1:19">
      <c r="A34" s="4">
        <f>IF(B34=" "," ",HYPERLINK(CONCATENATE("#metadata!",ADDRESS(INDEX($K$2:$K$1001,MATCH(ROWS($I$2:I34),$I$2:$I$1001,0),0),1)),INDEX($N$2:$N$1001,MATCH(ROWS($I$2:I34),$I$2:$I$1001,0),0)))</f>
        <v>0</v>
      </c>
      <c r="B34" s="3">
        <f>IF(OR(INDEX($J$2:$J$1001,MATCH(ROWS($I$2:I34),$I$2:$I$1001,0),1)&gt;=100000,INDEX($P$1005:$S$1005,1,MATCH(COLUMNS($P$1006:P1006),$P$1006:$S$1006,0))&gt;=100000), " ",IF(INDEX($P$2:$S$1001,MATCH(ROWS($I$2:I34),$I$2:$I$1001,0),MATCH(COLUMNS($P$1006:P1006),$P$1006:$S$1006,0)), HYPERLINK("#",""), HYPERLINK(CONCATENATE("#metadata!", ADDRESS(INDEX($K$2:$K$1001,MATCH(ROWS($I$2:I34),$I$2:$I$1001,0),0), INDEX($P$1004:$S$1004,1,MATCH(COLUMNS($P$1006:P1006),$P$1006:$S$1006,0)))),"Fix")))</f>
        <v>0</v>
      </c>
      <c r="C34" s="3">
        <f>IF(OR(INDEX($J$2:$J$1001,MATCH(ROWS($I$2:I34),$I$2:$I$1001,0),1)&gt;=100000,INDEX($P$1005:$S$1005,1,MATCH(COLUMNS($P$1006:Q1006),$P$1006:$S$1006,0))&gt;=100000), " ",IF(INDEX($P$2:$S$1001,MATCH(ROWS($I$2:I34),$I$2:$I$1001,0),MATCH(COLUMNS($P$1006:Q1006),$P$1006:$S$1006,0)), HYPERLINK("#",""), HYPERLINK(CONCATENATE("#metadata!", ADDRESS(INDEX($K$2:$K$1001,MATCH(ROWS($I$2:I34),$I$2:$I$1001,0),0), INDEX($P$1004:$S$1004,1,MATCH(COLUMNS($P$1006:Q1006),$P$1006:$S$1006,0)))),"Fix")))</f>
        <v>0</v>
      </c>
      <c r="D34" s="3">
        <f>IF(OR(INDEX($J$2:$J$1001,MATCH(ROWS($I$2:I34),$I$2:$I$1001,0),1)&gt;=100000,INDEX($P$1005:$S$1005,1,MATCH(COLUMNS($P$1006:R1006),$P$1006:$S$1006,0))&gt;=100000), " ",IF(INDEX($P$2:$S$1001,MATCH(ROWS($I$2:I34),$I$2:$I$1001,0),MATCH(COLUMNS($P$1006:R1006),$P$1006:$S$1006,0)), HYPERLINK("#",""), HYPERLINK(CONCATENATE("#metadata!", ADDRESS(INDEX($K$2:$K$1001,MATCH(ROWS($I$2:I34),$I$2:$I$1001,0),0), INDEX($P$1004:$S$1004,1,MATCH(COLUMNS($P$1006:R1006),$P$1006:$S$1006,0)))),"Fix")))</f>
        <v>0</v>
      </c>
      <c r="E34" s="3">
        <f>IF(OR(INDEX($J$2:$J$1001,MATCH(ROWS($I$2:I34),$I$2:$I$1001,0),1)&gt;=100000,INDEX($P$1005:$S$1005,1,MATCH(COLUMNS($P$1006:S1006),$P$1006:$S$1006,0))&gt;=100000), " ",IF(INDEX($P$2:$S$1001,MATCH(ROWS($I$2:I34),$I$2:$I$1001,0),MATCH(COLUMNS($P$1006:S1006),$P$1006:$S$1006,0)), HYPERLINK("#",""), HYPERLINK(CONCATENATE("#metadata!", ADDRESS(INDEX($K$2:$K$1001,MATCH(ROWS($I$2:I34),$I$2:$I$1001,0),0), INDEX($P$1004:$S$1004,1,MATCH(COLUMNS($P$1006:S1006),$P$1006:$S$1006,0)))),"Fix")))</f>
        <v>0</v>
      </c>
      <c r="I34">
        <v>0</v>
      </c>
      <c r="J34">
        <v>0</v>
      </c>
      <c r="K34">
        <v>0</v>
      </c>
      <c r="L34">
        <f>IF(M34,TRUE,AND(P34:S34))</f>
        <v>0</v>
      </c>
      <c r="M34">
        <f>COUNTBLANK(metadata!B34:E34)=COLUMNS(metadata!B34:E34)</f>
        <v>0</v>
      </c>
      <c r="N34">
        <v>0</v>
      </c>
      <c r="P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Q34">
        <f>AND(IF(metadata!C34="",FALSE,TRUE),exact(metadata!C34,"other"))</f>
        <v>0</v>
      </c>
      <c r="R34">
        <f>AND(IF(metadata!D34="",FALSE,TRUE),exact(metadata!D34,"metagenome"))</f>
        <v>0</v>
      </c>
      <c r="S34">
        <f>AND(IF(metadata!E34="",FALSE,TRUE),exact(metadata!E34,"256318"))</f>
        <v>0</v>
      </c>
    </row>
    <row r="35" spans="1:19">
      <c r="A35" s="4">
        <f>IF(B35=" "," ",HYPERLINK(CONCATENATE("#metadata!",ADDRESS(INDEX($K$2:$K$1001,MATCH(ROWS($I$2:I35),$I$2:$I$1001,0),0),1)),INDEX($N$2:$N$1001,MATCH(ROWS($I$2:I35),$I$2:$I$1001,0),0)))</f>
        <v>0</v>
      </c>
      <c r="B35" s="3">
        <f>IF(OR(INDEX($J$2:$J$1001,MATCH(ROWS($I$2:I35),$I$2:$I$1001,0),1)&gt;=100000,INDEX($P$1005:$S$1005,1,MATCH(COLUMNS($P$1006:P1006),$P$1006:$S$1006,0))&gt;=100000), " ",IF(INDEX($P$2:$S$1001,MATCH(ROWS($I$2:I35),$I$2:$I$1001,0),MATCH(COLUMNS($P$1006:P1006),$P$1006:$S$1006,0)), HYPERLINK("#",""), HYPERLINK(CONCATENATE("#metadata!", ADDRESS(INDEX($K$2:$K$1001,MATCH(ROWS($I$2:I35),$I$2:$I$1001,0),0), INDEX($P$1004:$S$1004,1,MATCH(COLUMNS($P$1006:P1006),$P$1006:$S$1006,0)))),"Fix")))</f>
        <v>0</v>
      </c>
      <c r="C35" s="3">
        <f>IF(OR(INDEX($J$2:$J$1001,MATCH(ROWS($I$2:I35),$I$2:$I$1001,0),1)&gt;=100000,INDEX($P$1005:$S$1005,1,MATCH(COLUMNS($P$1006:Q1006),$P$1006:$S$1006,0))&gt;=100000), " ",IF(INDEX($P$2:$S$1001,MATCH(ROWS($I$2:I35),$I$2:$I$1001,0),MATCH(COLUMNS($P$1006:Q1006),$P$1006:$S$1006,0)), HYPERLINK("#",""), HYPERLINK(CONCATENATE("#metadata!", ADDRESS(INDEX($K$2:$K$1001,MATCH(ROWS($I$2:I35),$I$2:$I$1001,0),0), INDEX($P$1004:$S$1004,1,MATCH(COLUMNS($P$1006:Q1006),$P$1006:$S$1006,0)))),"Fix")))</f>
        <v>0</v>
      </c>
      <c r="D35" s="3">
        <f>IF(OR(INDEX($J$2:$J$1001,MATCH(ROWS($I$2:I35),$I$2:$I$1001,0),1)&gt;=100000,INDEX($P$1005:$S$1005,1,MATCH(COLUMNS($P$1006:R1006),$P$1006:$S$1006,0))&gt;=100000), " ",IF(INDEX($P$2:$S$1001,MATCH(ROWS($I$2:I35),$I$2:$I$1001,0),MATCH(COLUMNS($P$1006:R1006),$P$1006:$S$1006,0)), HYPERLINK("#",""), HYPERLINK(CONCATENATE("#metadata!", ADDRESS(INDEX($K$2:$K$1001,MATCH(ROWS($I$2:I35),$I$2:$I$1001,0),0), INDEX($P$1004:$S$1004,1,MATCH(COLUMNS($P$1006:R1006),$P$1006:$S$1006,0)))),"Fix")))</f>
        <v>0</v>
      </c>
      <c r="E35" s="3">
        <f>IF(OR(INDEX($J$2:$J$1001,MATCH(ROWS($I$2:I35),$I$2:$I$1001,0),1)&gt;=100000,INDEX($P$1005:$S$1005,1,MATCH(COLUMNS($P$1006:S1006),$P$1006:$S$1006,0))&gt;=100000), " ",IF(INDEX($P$2:$S$1001,MATCH(ROWS($I$2:I35),$I$2:$I$1001,0),MATCH(COLUMNS($P$1006:S1006),$P$1006:$S$1006,0)), HYPERLINK("#",""), HYPERLINK(CONCATENATE("#metadata!", ADDRESS(INDEX($K$2:$K$1001,MATCH(ROWS($I$2:I35),$I$2:$I$1001,0),0), INDEX($P$1004:$S$1004,1,MATCH(COLUMNS($P$1006:S1006),$P$1006:$S$1006,0)))),"Fix")))</f>
        <v>0</v>
      </c>
      <c r="I35">
        <v>0</v>
      </c>
      <c r="J35">
        <v>0</v>
      </c>
      <c r="K35">
        <v>0</v>
      </c>
      <c r="L35">
        <f>IF(M35,TRUE,AND(P35:S35))</f>
        <v>0</v>
      </c>
      <c r="M35">
        <f>COUNTBLANK(metadata!B35:E35)=COLUMNS(metadata!B35:E35)</f>
        <v>0</v>
      </c>
      <c r="N35">
        <v>0</v>
      </c>
      <c r="P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Q35">
        <f>AND(IF(metadata!C35="",FALSE,TRUE),exact(metadata!C35,"other"))</f>
        <v>0</v>
      </c>
      <c r="R35">
        <f>AND(IF(metadata!D35="",FALSE,TRUE),exact(metadata!D35,"metagenome"))</f>
        <v>0</v>
      </c>
      <c r="S35">
        <f>AND(IF(metadata!E35="",FALSE,TRUE),exact(metadata!E35,"256318"))</f>
        <v>0</v>
      </c>
    </row>
    <row r="36" spans="1:19">
      <c r="A36" s="4">
        <f>IF(B36=" "," ",HYPERLINK(CONCATENATE("#metadata!",ADDRESS(INDEX($K$2:$K$1001,MATCH(ROWS($I$2:I36),$I$2:$I$1001,0),0),1)),INDEX($N$2:$N$1001,MATCH(ROWS($I$2:I36),$I$2:$I$1001,0),0)))</f>
        <v>0</v>
      </c>
      <c r="B36" s="3">
        <f>IF(OR(INDEX($J$2:$J$1001,MATCH(ROWS($I$2:I36),$I$2:$I$1001,0),1)&gt;=100000,INDEX($P$1005:$S$1005,1,MATCH(COLUMNS($P$1006:P1006),$P$1006:$S$1006,0))&gt;=100000), " ",IF(INDEX($P$2:$S$1001,MATCH(ROWS($I$2:I36),$I$2:$I$1001,0),MATCH(COLUMNS($P$1006:P1006),$P$1006:$S$1006,0)), HYPERLINK("#",""), HYPERLINK(CONCATENATE("#metadata!", ADDRESS(INDEX($K$2:$K$1001,MATCH(ROWS($I$2:I36),$I$2:$I$1001,0),0), INDEX($P$1004:$S$1004,1,MATCH(COLUMNS($P$1006:P1006),$P$1006:$S$1006,0)))),"Fix")))</f>
        <v>0</v>
      </c>
      <c r="C36" s="3">
        <f>IF(OR(INDEX($J$2:$J$1001,MATCH(ROWS($I$2:I36),$I$2:$I$1001,0),1)&gt;=100000,INDEX($P$1005:$S$1005,1,MATCH(COLUMNS($P$1006:Q1006),$P$1006:$S$1006,0))&gt;=100000), " ",IF(INDEX($P$2:$S$1001,MATCH(ROWS($I$2:I36),$I$2:$I$1001,0),MATCH(COLUMNS($P$1006:Q1006),$P$1006:$S$1006,0)), HYPERLINK("#",""), HYPERLINK(CONCATENATE("#metadata!", ADDRESS(INDEX($K$2:$K$1001,MATCH(ROWS($I$2:I36),$I$2:$I$1001,0),0), INDEX($P$1004:$S$1004,1,MATCH(COLUMNS($P$1006:Q1006),$P$1006:$S$1006,0)))),"Fix")))</f>
        <v>0</v>
      </c>
      <c r="D36" s="3">
        <f>IF(OR(INDEX($J$2:$J$1001,MATCH(ROWS($I$2:I36),$I$2:$I$1001,0),1)&gt;=100000,INDEX($P$1005:$S$1005,1,MATCH(COLUMNS($P$1006:R1006),$P$1006:$S$1006,0))&gt;=100000), " ",IF(INDEX($P$2:$S$1001,MATCH(ROWS($I$2:I36),$I$2:$I$1001,0),MATCH(COLUMNS($P$1006:R1006),$P$1006:$S$1006,0)), HYPERLINK("#",""), HYPERLINK(CONCATENATE("#metadata!", ADDRESS(INDEX($K$2:$K$1001,MATCH(ROWS($I$2:I36),$I$2:$I$1001,0),0), INDEX($P$1004:$S$1004,1,MATCH(COLUMNS($P$1006:R1006),$P$1006:$S$1006,0)))),"Fix")))</f>
        <v>0</v>
      </c>
      <c r="E36" s="3">
        <f>IF(OR(INDEX($J$2:$J$1001,MATCH(ROWS($I$2:I36),$I$2:$I$1001,0),1)&gt;=100000,INDEX($P$1005:$S$1005,1,MATCH(COLUMNS($P$1006:S1006),$P$1006:$S$1006,0))&gt;=100000), " ",IF(INDEX($P$2:$S$1001,MATCH(ROWS($I$2:I36),$I$2:$I$1001,0),MATCH(COLUMNS($P$1006:S1006),$P$1006:$S$1006,0)), HYPERLINK("#",""), HYPERLINK(CONCATENATE("#metadata!", ADDRESS(INDEX($K$2:$K$1001,MATCH(ROWS($I$2:I36),$I$2:$I$1001,0),0), INDEX($P$1004:$S$1004,1,MATCH(COLUMNS($P$1006:S1006),$P$1006:$S$1006,0)))),"Fix")))</f>
        <v>0</v>
      </c>
      <c r="I36">
        <v>0</v>
      </c>
      <c r="J36">
        <v>0</v>
      </c>
      <c r="K36">
        <v>0</v>
      </c>
      <c r="L36">
        <f>IF(M36,TRUE,AND(P36:S36))</f>
        <v>0</v>
      </c>
      <c r="M36">
        <f>COUNTBLANK(metadata!B36:E36)=COLUMNS(metadata!B36:E36)</f>
        <v>0</v>
      </c>
      <c r="N36">
        <v>0</v>
      </c>
      <c r="P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Q36">
        <f>AND(IF(metadata!C36="",FALSE,TRUE),exact(metadata!C36,"other"))</f>
        <v>0</v>
      </c>
      <c r="R36">
        <f>AND(IF(metadata!D36="",FALSE,TRUE),exact(metadata!D36,"metagenome"))</f>
        <v>0</v>
      </c>
      <c r="S36">
        <f>AND(IF(metadata!E36="",FALSE,TRUE),exact(metadata!E36,"256318"))</f>
        <v>0</v>
      </c>
    </row>
    <row r="37" spans="1:19">
      <c r="A37" s="4">
        <f>IF(B37=" "," ",HYPERLINK(CONCATENATE("#metadata!",ADDRESS(INDEX($K$2:$K$1001,MATCH(ROWS($I$2:I37),$I$2:$I$1001,0),0),1)),INDEX($N$2:$N$1001,MATCH(ROWS($I$2:I37),$I$2:$I$1001,0),0)))</f>
        <v>0</v>
      </c>
      <c r="B37" s="3">
        <f>IF(OR(INDEX($J$2:$J$1001,MATCH(ROWS($I$2:I37),$I$2:$I$1001,0),1)&gt;=100000,INDEX($P$1005:$S$1005,1,MATCH(COLUMNS($P$1006:P1006),$P$1006:$S$1006,0))&gt;=100000), " ",IF(INDEX($P$2:$S$1001,MATCH(ROWS($I$2:I37),$I$2:$I$1001,0),MATCH(COLUMNS($P$1006:P1006),$P$1006:$S$1006,0)), HYPERLINK("#",""), HYPERLINK(CONCATENATE("#metadata!", ADDRESS(INDEX($K$2:$K$1001,MATCH(ROWS($I$2:I37),$I$2:$I$1001,0),0), INDEX($P$1004:$S$1004,1,MATCH(COLUMNS($P$1006:P1006),$P$1006:$S$1006,0)))),"Fix")))</f>
        <v>0</v>
      </c>
      <c r="C37" s="3">
        <f>IF(OR(INDEX($J$2:$J$1001,MATCH(ROWS($I$2:I37),$I$2:$I$1001,0),1)&gt;=100000,INDEX($P$1005:$S$1005,1,MATCH(COLUMNS($P$1006:Q1006),$P$1006:$S$1006,0))&gt;=100000), " ",IF(INDEX($P$2:$S$1001,MATCH(ROWS($I$2:I37),$I$2:$I$1001,0),MATCH(COLUMNS($P$1006:Q1006),$P$1006:$S$1006,0)), HYPERLINK("#",""), HYPERLINK(CONCATENATE("#metadata!", ADDRESS(INDEX($K$2:$K$1001,MATCH(ROWS($I$2:I37),$I$2:$I$1001,0),0), INDEX($P$1004:$S$1004,1,MATCH(COLUMNS($P$1006:Q1006),$P$1006:$S$1006,0)))),"Fix")))</f>
        <v>0</v>
      </c>
      <c r="D37" s="3">
        <f>IF(OR(INDEX($J$2:$J$1001,MATCH(ROWS($I$2:I37),$I$2:$I$1001,0),1)&gt;=100000,INDEX($P$1005:$S$1005,1,MATCH(COLUMNS($P$1006:R1006),$P$1006:$S$1006,0))&gt;=100000), " ",IF(INDEX($P$2:$S$1001,MATCH(ROWS($I$2:I37),$I$2:$I$1001,0),MATCH(COLUMNS($P$1006:R1006),$P$1006:$S$1006,0)), HYPERLINK("#",""), HYPERLINK(CONCATENATE("#metadata!", ADDRESS(INDEX($K$2:$K$1001,MATCH(ROWS($I$2:I37),$I$2:$I$1001,0),0), INDEX($P$1004:$S$1004,1,MATCH(COLUMNS($P$1006:R1006),$P$1006:$S$1006,0)))),"Fix")))</f>
        <v>0</v>
      </c>
      <c r="E37" s="3">
        <f>IF(OR(INDEX($J$2:$J$1001,MATCH(ROWS($I$2:I37),$I$2:$I$1001,0),1)&gt;=100000,INDEX($P$1005:$S$1005,1,MATCH(COLUMNS($P$1006:S1006),$P$1006:$S$1006,0))&gt;=100000), " ",IF(INDEX($P$2:$S$1001,MATCH(ROWS($I$2:I37),$I$2:$I$1001,0),MATCH(COLUMNS($P$1006:S1006),$P$1006:$S$1006,0)), HYPERLINK("#",""), HYPERLINK(CONCATENATE("#metadata!", ADDRESS(INDEX($K$2:$K$1001,MATCH(ROWS($I$2:I37),$I$2:$I$1001,0),0), INDEX($P$1004:$S$1004,1,MATCH(COLUMNS($P$1006:S1006),$P$1006:$S$1006,0)))),"Fix")))</f>
        <v>0</v>
      </c>
      <c r="I37">
        <v>0</v>
      </c>
      <c r="J37">
        <v>0</v>
      </c>
      <c r="K37">
        <v>0</v>
      </c>
      <c r="L37">
        <f>IF(M37,TRUE,AND(P37:S37))</f>
        <v>0</v>
      </c>
      <c r="M37">
        <f>COUNTBLANK(metadata!B37:E37)=COLUMNS(metadata!B37:E37)</f>
        <v>0</v>
      </c>
      <c r="N37">
        <v>0</v>
      </c>
      <c r="P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Q37">
        <f>AND(IF(metadata!C37="",FALSE,TRUE),exact(metadata!C37,"other"))</f>
        <v>0</v>
      </c>
      <c r="R37">
        <f>AND(IF(metadata!D37="",FALSE,TRUE),exact(metadata!D37,"metagenome"))</f>
        <v>0</v>
      </c>
      <c r="S37">
        <f>AND(IF(metadata!E37="",FALSE,TRUE),exact(metadata!E37,"256318"))</f>
        <v>0</v>
      </c>
    </row>
    <row r="38" spans="1:19">
      <c r="A38" s="4">
        <f>IF(B38=" "," ",HYPERLINK(CONCATENATE("#metadata!",ADDRESS(INDEX($K$2:$K$1001,MATCH(ROWS($I$2:I38),$I$2:$I$1001,0),0),1)),INDEX($N$2:$N$1001,MATCH(ROWS($I$2:I38),$I$2:$I$1001,0),0)))</f>
        <v>0</v>
      </c>
      <c r="B38" s="3">
        <f>IF(OR(INDEX($J$2:$J$1001,MATCH(ROWS($I$2:I38),$I$2:$I$1001,0),1)&gt;=100000,INDEX($P$1005:$S$1005,1,MATCH(COLUMNS($P$1006:P1006),$P$1006:$S$1006,0))&gt;=100000), " ",IF(INDEX($P$2:$S$1001,MATCH(ROWS($I$2:I38),$I$2:$I$1001,0),MATCH(COLUMNS($P$1006:P1006),$P$1006:$S$1006,0)), HYPERLINK("#",""), HYPERLINK(CONCATENATE("#metadata!", ADDRESS(INDEX($K$2:$K$1001,MATCH(ROWS($I$2:I38),$I$2:$I$1001,0),0), INDEX($P$1004:$S$1004,1,MATCH(COLUMNS($P$1006:P1006),$P$1006:$S$1006,0)))),"Fix")))</f>
        <v>0</v>
      </c>
      <c r="C38" s="3">
        <f>IF(OR(INDEX($J$2:$J$1001,MATCH(ROWS($I$2:I38),$I$2:$I$1001,0),1)&gt;=100000,INDEX($P$1005:$S$1005,1,MATCH(COLUMNS($P$1006:Q1006),$P$1006:$S$1006,0))&gt;=100000), " ",IF(INDEX($P$2:$S$1001,MATCH(ROWS($I$2:I38),$I$2:$I$1001,0),MATCH(COLUMNS($P$1006:Q1006),$P$1006:$S$1006,0)), HYPERLINK("#",""), HYPERLINK(CONCATENATE("#metadata!", ADDRESS(INDEX($K$2:$K$1001,MATCH(ROWS($I$2:I38),$I$2:$I$1001,0),0), INDEX($P$1004:$S$1004,1,MATCH(COLUMNS($P$1006:Q1006),$P$1006:$S$1006,0)))),"Fix")))</f>
        <v>0</v>
      </c>
      <c r="D38" s="3">
        <f>IF(OR(INDEX($J$2:$J$1001,MATCH(ROWS($I$2:I38),$I$2:$I$1001,0),1)&gt;=100000,INDEX($P$1005:$S$1005,1,MATCH(COLUMNS($P$1006:R1006),$P$1006:$S$1006,0))&gt;=100000), " ",IF(INDEX($P$2:$S$1001,MATCH(ROWS($I$2:I38),$I$2:$I$1001,0),MATCH(COLUMNS($P$1006:R1006),$P$1006:$S$1006,0)), HYPERLINK("#",""), HYPERLINK(CONCATENATE("#metadata!", ADDRESS(INDEX($K$2:$K$1001,MATCH(ROWS($I$2:I38),$I$2:$I$1001,0),0), INDEX($P$1004:$S$1004,1,MATCH(COLUMNS($P$1006:R1006),$P$1006:$S$1006,0)))),"Fix")))</f>
        <v>0</v>
      </c>
      <c r="E38" s="3">
        <f>IF(OR(INDEX($J$2:$J$1001,MATCH(ROWS($I$2:I38),$I$2:$I$1001,0),1)&gt;=100000,INDEX($P$1005:$S$1005,1,MATCH(COLUMNS($P$1006:S1006),$P$1006:$S$1006,0))&gt;=100000), " ",IF(INDEX($P$2:$S$1001,MATCH(ROWS($I$2:I38),$I$2:$I$1001,0),MATCH(COLUMNS($P$1006:S1006),$P$1006:$S$1006,0)), HYPERLINK("#",""), HYPERLINK(CONCATENATE("#metadata!", ADDRESS(INDEX($K$2:$K$1001,MATCH(ROWS($I$2:I38),$I$2:$I$1001,0),0), INDEX($P$1004:$S$1004,1,MATCH(COLUMNS($P$1006:S1006),$P$1006:$S$1006,0)))),"Fix")))</f>
        <v>0</v>
      </c>
      <c r="I38">
        <v>0</v>
      </c>
      <c r="J38">
        <v>0</v>
      </c>
      <c r="K38">
        <v>0</v>
      </c>
      <c r="L38">
        <f>IF(M38,TRUE,AND(P38:S38))</f>
        <v>0</v>
      </c>
      <c r="M38">
        <f>COUNTBLANK(metadata!B38:E38)=COLUMNS(metadata!B38:E38)</f>
        <v>0</v>
      </c>
      <c r="N38">
        <v>0</v>
      </c>
      <c r="P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Q38">
        <f>AND(IF(metadata!C38="",FALSE,TRUE),exact(metadata!C38,"other"))</f>
        <v>0</v>
      </c>
      <c r="R38">
        <f>AND(IF(metadata!D38="",FALSE,TRUE),exact(metadata!D38,"metagenome"))</f>
        <v>0</v>
      </c>
      <c r="S38">
        <f>AND(IF(metadata!E38="",FALSE,TRUE),exact(metadata!E38,"256318"))</f>
        <v>0</v>
      </c>
    </row>
    <row r="39" spans="1:19">
      <c r="A39" s="4">
        <f>IF(B39=" "," ",HYPERLINK(CONCATENATE("#metadata!",ADDRESS(INDEX($K$2:$K$1001,MATCH(ROWS($I$2:I39),$I$2:$I$1001,0),0),1)),INDEX($N$2:$N$1001,MATCH(ROWS($I$2:I39),$I$2:$I$1001,0),0)))</f>
        <v>0</v>
      </c>
      <c r="B39" s="3">
        <f>IF(OR(INDEX($J$2:$J$1001,MATCH(ROWS($I$2:I39),$I$2:$I$1001,0),1)&gt;=100000,INDEX($P$1005:$S$1005,1,MATCH(COLUMNS($P$1006:P1006),$P$1006:$S$1006,0))&gt;=100000), " ",IF(INDEX($P$2:$S$1001,MATCH(ROWS($I$2:I39),$I$2:$I$1001,0),MATCH(COLUMNS($P$1006:P1006),$P$1006:$S$1006,0)), HYPERLINK("#",""), HYPERLINK(CONCATENATE("#metadata!", ADDRESS(INDEX($K$2:$K$1001,MATCH(ROWS($I$2:I39),$I$2:$I$1001,0),0), INDEX($P$1004:$S$1004,1,MATCH(COLUMNS($P$1006:P1006),$P$1006:$S$1006,0)))),"Fix")))</f>
        <v>0</v>
      </c>
      <c r="C39" s="3">
        <f>IF(OR(INDEX($J$2:$J$1001,MATCH(ROWS($I$2:I39),$I$2:$I$1001,0),1)&gt;=100000,INDEX($P$1005:$S$1005,1,MATCH(COLUMNS($P$1006:Q1006),$P$1006:$S$1006,0))&gt;=100000), " ",IF(INDEX($P$2:$S$1001,MATCH(ROWS($I$2:I39),$I$2:$I$1001,0),MATCH(COLUMNS($P$1006:Q1006),$P$1006:$S$1006,0)), HYPERLINK("#",""), HYPERLINK(CONCATENATE("#metadata!", ADDRESS(INDEX($K$2:$K$1001,MATCH(ROWS($I$2:I39),$I$2:$I$1001,0),0), INDEX($P$1004:$S$1004,1,MATCH(COLUMNS($P$1006:Q1006),$P$1006:$S$1006,0)))),"Fix")))</f>
        <v>0</v>
      </c>
      <c r="D39" s="3">
        <f>IF(OR(INDEX($J$2:$J$1001,MATCH(ROWS($I$2:I39),$I$2:$I$1001,0),1)&gt;=100000,INDEX($P$1005:$S$1005,1,MATCH(COLUMNS($P$1006:R1006),$P$1006:$S$1006,0))&gt;=100000), " ",IF(INDEX($P$2:$S$1001,MATCH(ROWS($I$2:I39),$I$2:$I$1001,0),MATCH(COLUMNS($P$1006:R1006),$P$1006:$S$1006,0)), HYPERLINK("#",""), HYPERLINK(CONCATENATE("#metadata!", ADDRESS(INDEX($K$2:$K$1001,MATCH(ROWS($I$2:I39),$I$2:$I$1001,0),0), INDEX($P$1004:$S$1004,1,MATCH(COLUMNS($P$1006:R1006),$P$1006:$S$1006,0)))),"Fix")))</f>
        <v>0</v>
      </c>
      <c r="E39" s="3">
        <f>IF(OR(INDEX($J$2:$J$1001,MATCH(ROWS($I$2:I39),$I$2:$I$1001,0),1)&gt;=100000,INDEX($P$1005:$S$1005,1,MATCH(COLUMNS($P$1006:S1006),$P$1006:$S$1006,0))&gt;=100000), " ",IF(INDEX($P$2:$S$1001,MATCH(ROWS($I$2:I39),$I$2:$I$1001,0),MATCH(COLUMNS($P$1006:S1006),$P$1006:$S$1006,0)), HYPERLINK("#",""), HYPERLINK(CONCATENATE("#metadata!", ADDRESS(INDEX($K$2:$K$1001,MATCH(ROWS($I$2:I39),$I$2:$I$1001,0),0), INDEX($P$1004:$S$1004,1,MATCH(COLUMNS($P$1006:S1006),$P$1006:$S$1006,0)))),"Fix")))</f>
        <v>0</v>
      </c>
      <c r="I39">
        <v>0</v>
      </c>
      <c r="J39">
        <v>0</v>
      </c>
      <c r="K39">
        <v>0</v>
      </c>
      <c r="L39">
        <f>IF(M39,TRUE,AND(P39:S39))</f>
        <v>0</v>
      </c>
      <c r="M39">
        <f>COUNTBLANK(metadata!B39:E39)=COLUMNS(metadata!B39:E39)</f>
        <v>0</v>
      </c>
      <c r="N39">
        <v>0</v>
      </c>
      <c r="P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Q39">
        <f>AND(IF(metadata!C39="",FALSE,TRUE),exact(metadata!C39,"other"))</f>
        <v>0</v>
      </c>
      <c r="R39">
        <f>AND(IF(metadata!D39="",FALSE,TRUE),exact(metadata!D39,"metagenome"))</f>
        <v>0</v>
      </c>
      <c r="S39">
        <f>AND(IF(metadata!E39="",FALSE,TRUE),exact(metadata!E39,"256318"))</f>
        <v>0</v>
      </c>
    </row>
    <row r="40" spans="1:19">
      <c r="A40" s="4">
        <f>IF(B40=" "," ",HYPERLINK(CONCATENATE("#metadata!",ADDRESS(INDEX($K$2:$K$1001,MATCH(ROWS($I$2:I40),$I$2:$I$1001,0),0),1)),INDEX($N$2:$N$1001,MATCH(ROWS($I$2:I40),$I$2:$I$1001,0),0)))</f>
        <v>0</v>
      </c>
      <c r="B40" s="3">
        <f>IF(OR(INDEX($J$2:$J$1001,MATCH(ROWS($I$2:I40),$I$2:$I$1001,0),1)&gt;=100000,INDEX($P$1005:$S$1005,1,MATCH(COLUMNS($P$1006:P1006),$P$1006:$S$1006,0))&gt;=100000), " ",IF(INDEX($P$2:$S$1001,MATCH(ROWS($I$2:I40),$I$2:$I$1001,0),MATCH(COLUMNS($P$1006:P1006),$P$1006:$S$1006,0)), HYPERLINK("#",""), HYPERLINK(CONCATENATE("#metadata!", ADDRESS(INDEX($K$2:$K$1001,MATCH(ROWS($I$2:I40),$I$2:$I$1001,0),0), INDEX($P$1004:$S$1004,1,MATCH(COLUMNS($P$1006:P1006),$P$1006:$S$1006,0)))),"Fix")))</f>
        <v>0</v>
      </c>
      <c r="C40" s="3">
        <f>IF(OR(INDEX($J$2:$J$1001,MATCH(ROWS($I$2:I40),$I$2:$I$1001,0),1)&gt;=100000,INDEX($P$1005:$S$1005,1,MATCH(COLUMNS($P$1006:Q1006),$P$1006:$S$1006,0))&gt;=100000), " ",IF(INDEX($P$2:$S$1001,MATCH(ROWS($I$2:I40),$I$2:$I$1001,0),MATCH(COLUMNS($P$1006:Q1006),$P$1006:$S$1006,0)), HYPERLINK("#",""), HYPERLINK(CONCATENATE("#metadata!", ADDRESS(INDEX($K$2:$K$1001,MATCH(ROWS($I$2:I40),$I$2:$I$1001,0),0), INDEX($P$1004:$S$1004,1,MATCH(COLUMNS($P$1006:Q1006),$P$1006:$S$1006,0)))),"Fix")))</f>
        <v>0</v>
      </c>
      <c r="D40" s="3">
        <f>IF(OR(INDEX($J$2:$J$1001,MATCH(ROWS($I$2:I40),$I$2:$I$1001,0),1)&gt;=100000,INDEX($P$1005:$S$1005,1,MATCH(COLUMNS($P$1006:R1006),$P$1006:$S$1006,0))&gt;=100000), " ",IF(INDEX($P$2:$S$1001,MATCH(ROWS($I$2:I40),$I$2:$I$1001,0),MATCH(COLUMNS($P$1006:R1006),$P$1006:$S$1006,0)), HYPERLINK("#",""), HYPERLINK(CONCATENATE("#metadata!", ADDRESS(INDEX($K$2:$K$1001,MATCH(ROWS($I$2:I40),$I$2:$I$1001,0),0), INDEX($P$1004:$S$1004,1,MATCH(COLUMNS($P$1006:R1006),$P$1006:$S$1006,0)))),"Fix")))</f>
        <v>0</v>
      </c>
      <c r="E40" s="3">
        <f>IF(OR(INDEX($J$2:$J$1001,MATCH(ROWS($I$2:I40),$I$2:$I$1001,0),1)&gt;=100000,INDEX($P$1005:$S$1005,1,MATCH(COLUMNS($P$1006:S1006),$P$1006:$S$1006,0))&gt;=100000), " ",IF(INDEX($P$2:$S$1001,MATCH(ROWS($I$2:I40),$I$2:$I$1001,0),MATCH(COLUMNS($P$1006:S1006),$P$1006:$S$1006,0)), HYPERLINK("#",""), HYPERLINK(CONCATENATE("#metadata!", ADDRESS(INDEX($K$2:$K$1001,MATCH(ROWS($I$2:I40),$I$2:$I$1001,0),0), INDEX($P$1004:$S$1004,1,MATCH(COLUMNS($P$1006:S1006),$P$1006:$S$1006,0)))),"Fix")))</f>
        <v>0</v>
      </c>
      <c r="I40">
        <v>0</v>
      </c>
      <c r="J40">
        <v>0</v>
      </c>
      <c r="K40">
        <v>0</v>
      </c>
      <c r="L40">
        <f>IF(M40,TRUE,AND(P40:S40))</f>
        <v>0</v>
      </c>
      <c r="M40">
        <f>COUNTBLANK(metadata!B40:E40)=COLUMNS(metadata!B40:E40)</f>
        <v>0</v>
      </c>
      <c r="N40">
        <v>0</v>
      </c>
      <c r="P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Q40">
        <f>AND(IF(metadata!C40="",FALSE,TRUE),exact(metadata!C40,"other"))</f>
        <v>0</v>
      </c>
      <c r="R40">
        <f>AND(IF(metadata!D40="",FALSE,TRUE),exact(metadata!D40,"metagenome"))</f>
        <v>0</v>
      </c>
      <c r="S40">
        <f>AND(IF(metadata!E40="",FALSE,TRUE),exact(metadata!E40,"256318"))</f>
        <v>0</v>
      </c>
    </row>
    <row r="41" spans="1:19">
      <c r="A41" s="4">
        <f>IF(B41=" "," ",HYPERLINK(CONCATENATE("#metadata!",ADDRESS(INDEX($K$2:$K$1001,MATCH(ROWS($I$2:I41),$I$2:$I$1001,0),0),1)),INDEX($N$2:$N$1001,MATCH(ROWS($I$2:I41),$I$2:$I$1001,0),0)))</f>
        <v>0</v>
      </c>
      <c r="B41" s="3">
        <f>IF(OR(INDEX($J$2:$J$1001,MATCH(ROWS($I$2:I41),$I$2:$I$1001,0),1)&gt;=100000,INDEX($P$1005:$S$1005,1,MATCH(COLUMNS($P$1006:P1006),$P$1006:$S$1006,0))&gt;=100000), " ",IF(INDEX($P$2:$S$1001,MATCH(ROWS($I$2:I41),$I$2:$I$1001,0),MATCH(COLUMNS($P$1006:P1006),$P$1006:$S$1006,0)), HYPERLINK("#",""), HYPERLINK(CONCATENATE("#metadata!", ADDRESS(INDEX($K$2:$K$1001,MATCH(ROWS($I$2:I41),$I$2:$I$1001,0),0), INDEX($P$1004:$S$1004,1,MATCH(COLUMNS($P$1006:P1006),$P$1006:$S$1006,0)))),"Fix")))</f>
        <v>0</v>
      </c>
      <c r="C41" s="3">
        <f>IF(OR(INDEX($J$2:$J$1001,MATCH(ROWS($I$2:I41),$I$2:$I$1001,0),1)&gt;=100000,INDEX($P$1005:$S$1005,1,MATCH(COLUMNS($P$1006:Q1006),$P$1006:$S$1006,0))&gt;=100000), " ",IF(INDEX($P$2:$S$1001,MATCH(ROWS($I$2:I41),$I$2:$I$1001,0),MATCH(COLUMNS($P$1006:Q1006),$P$1006:$S$1006,0)), HYPERLINK("#",""), HYPERLINK(CONCATENATE("#metadata!", ADDRESS(INDEX($K$2:$K$1001,MATCH(ROWS($I$2:I41),$I$2:$I$1001,0),0), INDEX($P$1004:$S$1004,1,MATCH(COLUMNS($P$1006:Q1006),$P$1006:$S$1006,0)))),"Fix")))</f>
        <v>0</v>
      </c>
      <c r="D41" s="3">
        <f>IF(OR(INDEX($J$2:$J$1001,MATCH(ROWS($I$2:I41),$I$2:$I$1001,0),1)&gt;=100000,INDEX($P$1005:$S$1005,1,MATCH(COLUMNS($P$1006:R1006),$P$1006:$S$1006,0))&gt;=100000), " ",IF(INDEX($P$2:$S$1001,MATCH(ROWS($I$2:I41),$I$2:$I$1001,0),MATCH(COLUMNS($P$1006:R1006),$P$1006:$S$1006,0)), HYPERLINK("#",""), HYPERLINK(CONCATENATE("#metadata!", ADDRESS(INDEX($K$2:$K$1001,MATCH(ROWS($I$2:I41),$I$2:$I$1001,0),0), INDEX($P$1004:$S$1004,1,MATCH(COLUMNS($P$1006:R1006),$P$1006:$S$1006,0)))),"Fix")))</f>
        <v>0</v>
      </c>
      <c r="E41" s="3">
        <f>IF(OR(INDEX($J$2:$J$1001,MATCH(ROWS($I$2:I41),$I$2:$I$1001,0),1)&gt;=100000,INDEX($P$1005:$S$1005,1,MATCH(COLUMNS($P$1006:S1006),$P$1006:$S$1006,0))&gt;=100000), " ",IF(INDEX($P$2:$S$1001,MATCH(ROWS($I$2:I41),$I$2:$I$1001,0),MATCH(COLUMNS($P$1006:S1006),$P$1006:$S$1006,0)), HYPERLINK("#",""), HYPERLINK(CONCATENATE("#metadata!", ADDRESS(INDEX($K$2:$K$1001,MATCH(ROWS($I$2:I41),$I$2:$I$1001,0),0), INDEX($P$1004:$S$1004,1,MATCH(COLUMNS($P$1006:S1006),$P$1006:$S$1006,0)))),"Fix")))</f>
        <v>0</v>
      </c>
      <c r="I41">
        <v>0</v>
      </c>
      <c r="J41">
        <v>0</v>
      </c>
      <c r="K41">
        <v>0</v>
      </c>
      <c r="L41">
        <f>IF(M41,TRUE,AND(P41:S41))</f>
        <v>0</v>
      </c>
      <c r="M41">
        <f>COUNTBLANK(metadata!B41:E41)=COLUMNS(metadata!B41:E41)</f>
        <v>0</v>
      </c>
      <c r="N41">
        <v>0</v>
      </c>
      <c r="P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Q41">
        <f>AND(IF(metadata!C41="",FALSE,TRUE),exact(metadata!C41,"other"))</f>
        <v>0</v>
      </c>
      <c r="R41">
        <f>AND(IF(metadata!D41="",FALSE,TRUE),exact(metadata!D41,"metagenome"))</f>
        <v>0</v>
      </c>
      <c r="S41">
        <f>AND(IF(metadata!E41="",FALSE,TRUE),exact(metadata!E41,"256318"))</f>
        <v>0</v>
      </c>
    </row>
    <row r="42" spans="1:19">
      <c r="A42" s="4">
        <f>IF(B42=" "," ",HYPERLINK(CONCATENATE("#metadata!",ADDRESS(INDEX($K$2:$K$1001,MATCH(ROWS($I$2:I42),$I$2:$I$1001,0),0),1)),INDEX($N$2:$N$1001,MATCH(ROWS($I$2:I42),$I$2:$I$1001,0),0)))</f>
        <v>0</v>
      </c>
      <c r="B42" s="3">
        <f>IF(OR(INDEX($J$2:$J$1001,MATCH(ROWS($I$2:I42),$I$2:$I$1001,0),1)&gt;=100000,INDEX($P$1005:$S$1005,1,MATCH(COLUMNS($P$1006:P1006),$P$1006:$S$1006,0))&gt;=100000), " ",IF(INDEX($P$2:$S$1001,MATCH(ROWS($I$2:I42),$I$2:$I$1001,0),MATCH(COLUMNS($P$1006:P1006),$P$1006:$S$1006,0)), HYPERLINK("#",""), HYPERLINK(CONCATENATE("#metadata!", ADDRESS(INDEX($K$2:$K$1001,MATCH(ROWS($I$2:I42),$I$2:$I$1001,0),0), INDEX($P$1004:$S$1004,1,MATCH(COLUMNS($P$1006:P1006),$P$1006:$S$1006,0)))),"Fix")))</f>
        <v>0</v>
      </c>
      <c r="C42" s="3">
        <f>IF(OR(INDEX($J$2:$J$1001,MATCH(ROWS($I$2:I42),$I$2:$I$1001,0),1)&gt;=100000,INDEX($P$1005:$S$1005,1,MATCH(COLUMNS($P$1006:Q1006),$P$1006:$S$1006,0))&gt;=100000), " ",IF(INDEX($P$2:$S$1001,MATCH(ROWS($I$2:I42),$I$2:$I$1001,0),MATCH(COLUMNS($P$1006:Q1006),$P$1006:$S$1006,0)), HYPERLINK("#",""), HYPERLINK(CONCATENATE("#metadata!", ADDRESS(INDEX($K$2:$K$1001,MATCH(ROWS($I$2:I42),$I$2:$I$1001,0),0), INDEX($P$1004:$S$1004,1,MATCH(COLUMNS($P$1006:Q1006),$P$1006:$S$1006,0)))),"Fix")))</f>
        <v>0</v>
      </c>
      <c r="D42" s="3">
        <f>IF(OR(INDEX($J$2:$J$1001,MATCH(ROWS($I$2:I42),$I$2:$I$1001,0),1)&gt;=100000,INDEX($P$1005:$S$1005,1,MATCH(COLUMNS($P$1006:R1006),$P$1006:$S$1006,0))&gt;=100000), " ",IF(INDEX($P$2:$S$1001,MATCH(ROWS($I$2:I42),$I$2:$I$1001,0),MATCH(COLUMNS($P$1006:R1006),$P$1006:$S$1006,0)), HYPERLINK("#",""), HYPERLINK(CONCATENATE("#metadata!", ADDRESS(INDEX($K$2:$K$1001,MATCH(ROWS($I$2:I42),$I$2:$I$1001,0),0), INDEX($P$1004:$S$1004,1,MATCH(COLUMNS($P$1006:R1006),$P$1006:$S$1006,0)))),"Fix")))</f>
        <v>0</v>
      </c>
      <c r="E42" s="3">
        <f>IF(OR(INDEX($J$2:$J$1001,MATCH(ROWS($I$2:I42),$I$2:$I$1001,0),1)&gt;=100000,INDEX($P$1005:$S$1005,1,MATCH(COLUMNS($P$1006:S1006),$P$1006:$S$1006,0))&gt;=100000), " ",IF(INDEX($P$2:$S$1001,MATCH(ROWS($I$2:I42),$I$2:$I$1001,0),MATCH(COLUMNS($P$1006:S1006),$P$1006:$S$1006,0)), HYPERLINK("#",""), HYPERLINK(CONCATENATE("#metadata!", ADDRESS(INDEX($K$2:$K$1001,MATCH(ROWS($I$2:I42),$I$2:$I$1001,0),0), INDEX($P$1004:$S$1004,1,MATCH(COLUMNS($P$1006:S1006),$P$1006:$S$1006,0)))),"Fix")))</f>
        <v>0</v>
      </c>
      <c r="I42">
        <v>0</v>
      </c>
      <c r="J42">
        <v>0</v>
      </c>
      <c r="K42">
        <v>0</v>
      </c>
      <c r="L42">
        <f>IF(M42,TRUE,AND(P42:S42))</f>
        <v>0</v>
      </c>
      <c r="M42">
        <f>COUNTBLANK(metadata!B42:E42)=COLUMNS(metadata!B42:E42)</f>
        <v>0</v>
      </c>
      <c r="N42">
        <v>0</v>
      </c>
      <c r="P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Q42">
        <f>AND(IF(metadata!C42="",FALSE,TRUE),exact(metadata!C42,"other"))</f>
        <v>0</v>
      </c>
      <c r="R42">
        <f>AND(IF(metadata!D42="",FALSE,TRUE),exact(metadata!D42,"metagenome"))</f>
        <v>0</v>
      </c>
      <c r="S42">
        <f>AND(IF(metadata!E42="",FALSE,TRUE),exact(metadata!E42,"256318"))</f>
        <v>0</v>
      </c>
    </row>
    <row r="43" spans="1:19">
      <c r="A43" s="4">
        <f>IF(B43=" "," ",HYPERLINK(CONCATENATE("#metadata!",ADDRESS(INDEX($K$2:$K$1001,MATCH(ROWS($I$2:I43),$I$2:$I$1001,0),0),1)),INDEX($N$2:$N$1001,MATCH(ROWS($I$2:I43),$I$2:$I$1001,0),0)))</f>
        <v>0</v>
      </c>
      <c r="B43" s="3">
        <f>IF(OR(INDEX($J$2:$J$1001,MATCH(ROWS($I$2:I43),$I$2:$I$1001,0),1)&gt;=100000,INDEX($P$1005:$S$1005,1,MATCH(COLUMNS($P$1006:P1006),$P$1006:$S$1006,0))&gt;=100000), " ",IF(INDEX($P$2:$S$1001,MATCH(ROWS($I$2:I43),$I$2:$I$1001,0),MATCH(COLUMNS($P$1006:P1006),$P$1006:$S$1006,0)), HYPERLINK("#",""), HYPERLINK(CONCATENATE("#metadata!", ADDRESS(INDEX($K$2:$K$1001,MATCH(ROWS($I$2:I43),$I$2:$I$1001,0),0), INDEX($P$1004:$S$1004,1,MATCH(COLUMNS($P$1006:P1006),$P$1006:$S$1006,0)))),"Fix")))</f>
        <v>0</v>
      </c>
      <c r="C43" s="3">
        <f>IF(OR(INDEX($J$2:$J$1001,MATCH(ROWS($I$2:I43),$I$2:$I$1001,0),1)&gt;=100000,INDEX($P$1005:$S$1005,1,MATCH(COLUMNS($P$1006:Q1006),$P$1006:$S$1006,0))&gt;=100000), " ",IF(INDEX($P$2:$S$1001,MATCH(ROWS($I$2:I43),$I$2:$I$1001,0),MATCH(COLUMNS($P$1006:Q1006),$P$1006:$S$1006,0)), HYPERLINK("#",""), HYPERLINK(CONCATENATE("#metadata!", ADDRESS(INDEX($K$2:$K$1001,MATCH(ROWS($I$2:I43),$I$2:$I$1001,0),0), INDEX($P$1004:$S$1004,1,MATCH(COLUMNS($P$1006:Q1006),$P$1006:$S$1006,0)))),"Fix")))</f>
        <v>0</v>
      </c>
      <c r="D43" s="3">
        <f>IF(OR(INDEX($J$2:$J$1001,MATCH(ROWS($I$2:I43),$I$2:$I$1001,0),1)&gt;=100000,INDEX($P$1005:$S$1005,1,MATCH(COLUMNS($P$1006:R1006),$P$1006:$S$1006,0))&gt;=100000), " ",IF(INDEX($P$2:$S$1001,MATCH(ROWS($I$2:I43),$I$2:$I$1001,0),MATCH(COLUMNS($P$1006:R1006),$P$1006:$S$1006,0)), HYPERLINK("#",""), HYPERLINK(CONCATENATE("#metadata!", ADDRESS(INDEX($K$2:$K$1001,MATCH(ROWS($I$2:I43),$I$2:$I$1001,0),0), INDEX($P$1004:$S$1004,1,MATCH(COLUMNS($P$1006:R1006),$P$1006:$S$1006,0)))),"Fix")))</f>
        <v>0</v>
      </c>
      <c r="E43" s="3">
        <f>IF(OR(INDEX($J$2:$J$1001,MATCH(ROWS($I$2:I43),$I$2:$I$1001,0),1)&gt;=100000,INDEX($P$1005:$S$1005,1,MATCH(COLUMNS($P$1006:S1006),$P$1006:$S$1006,0))&gt;=100000), " ",IF(INDEX($P$2:$S$1001,MATCH(ROWS($I$2:I43),$I$2:$I$1001,0),MATCH(COLUMNS($P$1006:S1006),$P$1006:$S$1006,0)), HYPERLINK("#",""), HYPERLINK(CONCATENATE("#metadata!", ADDRESS(INDEX($K$2:$K$1001,MATCH(ROWS($I$2:I43),$I$2:$I$1001,0),0), INDEX($P$1004:$S$1004,1,MATCH(COLUMNS($P$1006:S1006),$P$1006:$S$1006,0)))),"Fix")))</f>
        <v>0</v>
      </c>
      <c r="I43">
        <v>0</v>
      </c>
      <c r="J43">
        <v>0</v>
      </c>
      <c r="K43">
        <v>0</v>
      </c>
      <c r="L43">
        <f>IF(M43,TRUE,AND(P43:S43))</f>
        <v>0</v>
      </c>
      <c r="M43">
        <f>COUNTBLANK(metadata!B43:E43)=COLUMNS(metadata!B43:E43)</f>
        <v>0</v>
      </c>
      <c r="N43">
        <v>0</v>
      </c>
      <c r="P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Q43">
        <f>AND(IF(metadata!C43="",FALSE,TRUE),exact(metadata!C43,"other"))</f>
        <v>0</v>
      </c>
      <c r="R43">
        <f>AND(IF(metadata!D43="",FALSE,TRUE),exact(metadata!D43,"metagenome"))</f>
        <v>0</v>
      </c>
      <c r="S43">
        <f>AND(IF(metadata!E43="",FALSE,TRUE),exact(metadata!E43,"256318"))</f>
        <v>0</v>
      </c>
    </row>
    <row r="44" spans="1:19">
      <c r="A44" s="4">
        <f>IF(B44=" "," ",HYPERLINK(CONCATENATE("#metadata!",ADDRESS(INDEX($K$2:$K$1001,MATCH(ROWS($I$2:I44),$I$2:$I$1001,0),0),1)),INDEX($N$2:$N$1001,MATCH(ROWS($I$2:I44),$I$2:$I$1001,0),0)))</f>
        <v>0</v>
      </c>
      <c r="B44" s="3">
        <f>IF(OR(INDEX($J$2:$J$1001,MATCH(ROWS($I$2:I44),$I$2:$I$1001,0),1)&gt;=100000,INDEX($P$1005:$S$1005,1,MATCH(COLUMNS($P$1006:P1006),$P$1006:$S$1006,0))&gt;=100000), " ",IF(INDEX($P$2:$S$1001,MATCH(ROWS($I$2:I44),$I$2:$I$1001,0),MATCH(COLUMNS($P$1006:P1006),$P$1006:$S$1006,0)), HYPERLINK("#",""), HYPERLINK(CONCATENATE("#metadata!", ADDRESS(INDEX($K$2:$K$1001,MATCH(ROWS($I$2:I44),$I$2:$I$1001,0),0), INDEX($P$1004:$S$1004,1,MATCH(COLUMNS($P$1006:P1006),$P$1006:$S$1006,0)))),"Fix")))</f>
        <v>0</v>
      </c>
      <c r="C44" s="3">
        <f>IF(OR(INDEX($J$2:$J$1001,MATCH(ROWS($I$2:I44),$I$2:$I$1001,0),1)&gt;=100000,INDEX($P$1005:$S$1005,1,MATCH(COLUMNS($P$1006:Q1006),$P$1006:$S$1006,0))&gt;=100000), " ",IF(INDEX($P$2:$S$1001,MATCH(ROWS($I$2:I44),$I$2:$I$1001,0),MATCH(COLUMNS($P$1006:Q1006),$P$1006:$S$1006,0)), HYPERLINK("#",""), HYPERLINK(CONCATENATE("#metadata!", ADDRESS(INDEX($K$2:$K$1001,MATCH(ROWS($I$2:I44),$I$2:$I$1001,0),0), INDEX($P$1004:$S$1004,1,MATCH(COLUMNS($P$1006:Q1006),$P$1006:$S$1006,0)))),"Fix")))</f>
        <v>0</v>
      </c>
      <c r="D44" s="3">
        <f>IF(OR(INDEX($J$2:$J$1001,MATCH(ROWS($I$2:I44),$I$2:$I$1001,0),1)&gt;=100000,INDEX($P$1005:$S$1005,1,MATCH(COLUMNS($P$1006:R1006),$P$1006:$S$1006,0))&gt;=100000), " ",IF(INDEX($P$2:$S$1001,MATCH(ROWS($I$2:I44),$I$2:$I$1001,0),MATCH(COLUMNS($P$1006:R1006),$P$1006:$S$1006,0)), HYPERLINK("#",""), HYPERLINK(CONCATENATE("#metadata!", ADDRESS(INDEX($K$2:$K$1001,MATCH(ROWS($I$2:I44),$I$2:$I$1001,0),0), INDEX($P$1004:$S$1004,1,MATCH(COLUMNS($P$1006:R1006),$P$1006:$S$1006,0)))),"Fix")))</f>
        <v>0</v>
      </c>
      <c r="E44" s="3">
        <f>IF(OR(INDEX($J$2:$J$1001,MATCH(ROWS($I$2:I44),$I$2:$I$1001,0),1)&gt;=100000,INDEX($P$1005:$S$1005,1,MATCH(COLUMNS($P$1006:S1006),$P$1006:$S$1006,0))&gt;=100000), " ",IF(INDEX($P$2:$S$1001,MATCH(ROWS($I$2:I44),$I$2:$I$1001,0),MATCH(COLUMNS($P$1006:S1006),$P$1006:$S$1006,0)), HYPERLINK("#",""), HYPERLINK(CONCATENATE("#metadata!", ADDRESS(INDEX($K$2:$K$1001,MATCH(ROWS($I$2:I44),$I$2:$I$1001,0),0), INDEX($P$1004:$S$1004,1,MATCH(COLUMNS($P$1006:S1006),$P$1006:$S$1006,0)))),"Fix")))</f>
        <v>0</v>
      </c>
      <c r="I44">
        <v>0</v>
      </c>
      <c r="J44">
        <v>0</v>
      </c>
      <c r="K44">
        <v>0</v>
      </c>
      <c r="L44">
        <f>IF(M44,TRUE,AND(P44:S44))</f>
        <v>0</v>
      </c>
      <c r="M44">
        <f>COUNTBLANK(metadata!B44:E44)=COLUMNS(metadata!B44:E44)</f>
        <v>0</v>
      </c>
      <c r="N44">
        <v>0</v>
      </c>
      <c r="P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Q44">
        <f>AND(IF(metadata!C44="",FALSE,TRUE),exact(metadata!C44,"other"))</f>
        <v>0</v>
      </c>
      <c r="R44">
        <f>AND(IF(metadata!D44="",FALSE,TRUE),exact(metadata!D44,"metagenome"))</f>
        <v>0</v>
      </c>
      <c r="S44">
        <f>AND(IF(metadata!E44="",FALSE,TRUE),exact(metadata!E44,"256318"))</f>
        <v>0</v>
      </c>
    </row>
    <row r="45" spans="1:19">
      <c r="A45" s="4">
        <f>IF(B45=" "," ",HYPERLINK(CONCATENATE("#metadata!",ADDRESS(INDEX($K$2:$K$1001,MATCH(ROWS($I$2:I45),$I$2:$I$1001,0),0),1)),INDEX($N$2:$N$1001,MATCH(ROWS($I$2:I45),$I$2:$I$1001,0),0)))</f>
        <v>0</v>
      </c>
      <c r="B45" s="3">
        <f>IF(OR(INDEX($J$2:$J$1001,MATCH(ROWS($I$2:I45),$I$2:$I$1001,0),1)&gt;=100000,INDEX($P$1005:$S$1005,1,MATCH(COLUMNS($P$1006:P1006),$P$1006:$S$1006,0))&gt;=100000), " ",IF(INDEX($P$2:$S$1001,MATCH(ROWS($I$2:I45),$I$2:$I$1001,0),MATCH(COLUMNS($P$1006:P1006),$P$1006:$S$1006,0)), HYPERLINK("#",""), HYPERLINK(CONCATENATE("#metadata!", ADDRESS(INDEX($K$2:$K$1001,MATCH(ROWS($I$2:I45),$I$2:$I$1001,0),0), INDEX($P$1004:$S$1004,1,MATCH(COLUMNS($P$1006:P1006),$P$1006:$S$1006,0)))),"Fix")))</f>
        <v>0</v>
      </c>
      <c r="C45" s="3">
        <f>IF(OR(INDEX($J$2:$J$1001,MATCH(ROWS($I$2:I45),$I$2:$I$1001,0),1)&gt;=100000,INDEX($P$1005:$S$1005,1,MATCH(COLUMNS($P$1006:Q1006),$P$1006:$S$1006,0))&gt;=100000), " ",IF(INDEX($P$2:$S$1001,MATCH(ROWS($I$2:I45),$I$2:$I$1001,0),MATCH(COLUMNS($P$1006:Q1006),$P$1006:$S$1006,0)), HYPERLINK("#",""), HYPERLINK(CONCATENATE("#metadata!", ADDRESS(INDEX($K$2:$K$1001,MATCH(ROWS($I$2:I45),$I$2:$I$1001,0),0), INDEX($P$1004:$S$1004,1,MATCH(COLUMNS($P$1006:Q1006),$P$1006:$S$1006,0)))),"Fix")))</f>
        <v>0</v>
      </c>
      <c r="D45" s="3">
        <f>IF(OR(INDEX($J$2:$J$1001,MATCH(ROWS($I$2:I45),$I$2:$I$1001,0),1)&gt;=100000,INDEX($P$1005:$S$1005,1,MATCH(COLUMNS($P$1006:R1006),$P$1006:$S$1006,0))&gt;=100000), " ",IF(INDEX($P$2:$S$1001,MATCH(ROWS($I$2:I45),$I$2:$I$1001,0),MATCH(COLUMNS($P$1006:R1006),$P$1006:$S$1006,0)), HYPERLINK("#",""), HYPERLINK(CONCATENATE("#metadata!", ADDRESS(INDEX($K$2:$K$1001,MATCH(ROWS($I$2:I45),$I$2:$I$1001,0),0), INDEX($P$1004:$S$1004,1,MATCH(COLUMNS($P$1006:R1006),$P$1006:$S$1006,0)))),"Fix")))</f>
        <v>0</v>
      </c>
      <c r="E45" s="3">
        <f>IF(OR(INDEX($J$2:$J$1001,MATCH(ROWS($I$2:I45),$I$2:$I$1001,0),1)&gt;=100000,INDEX($P$1005:$S$1005,1,MATCH(COLUMNS($P$1006:S1006),$P$1006:$S$1006,0))&gt;=100000), " ",IF(INDEX($P$2:$S$1001,MATCH(ROWS($I$2:I45),$I$2:$I$1001,0),MATCH(COLUMNS($P$1006:S1006),$P$1006:$S$1006,0)), HYPERLINK("#",""), HYPERLINK(CONCATENATE("#metadata!", ADDRESS(INDEX($K$2:$K$1001,MATCH(ROWS($I$2:I45),$I$2:$I$1001,0),0), INDEX($P$1004:$S$1004,1,MATCH(COLUMNS($P$1006:S1006),$P$1006:$S$1006,0)))),"Fix")))</f>
        <v>0</v>
      </c>
      <c r="I45">
        <v>0</v>
      </c>
      <c r="J45">
        <v>0</v>
      </c>
      <c r="K45">
        <v>0</v>
      </c>
      <c r="L45">
        <f>IF(M45,TRUE,AND(P45:S45))</f>
        <v>0</v>
      </c>
      <c r="M45">
        <f>COUNTBLANK(metadata!B45:E45)=COLUMNS(metadata!B45:E45)</f>
        <v>0</v>
      </c>
      <c r="N45">
        <v>0</v>
      </c>
      <c r="P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Q45">
        <f>AND(IF(metadata!C45="",FALSE,TRUE),exact(metadata!C45,"other"))</f>
        <v>0</v>
      </c>
      <c r="R45">
        <f>AND(IF(metadata!D45="",FALSE,TRUE),exact(metadata!D45,"metagenome"))</f>
        <v>0</v>
      </c>
      <c r="S45">
        <f>AND(IF(metadata!E45="",FALSE,TRUE),exact(metadata!E45,"256318"))</f>
        <v>0</v>
      </c>
    </row>
    <row r="46" spans="1:19">
      <c r="A46" s="4">
        <f>IF(B46=" "," ",HYPERLINK(CONCATENATE("#metadata!",ADDRESS(INDEX($K$2:$K$1001,MATCH(ROWS($I$2:I46),$I$2:$I$1001,0),0),1)),INDEX($N$2:$N$1001,MATCH(ROWS($I$2:I46),$I$2:$I$1001,0),0)))</f>
        <v>0</v>
      </c>
      <c r="B46" s="3">
        <f>IF(OR(INDEX($J$2:$J$1001,MATCH(ROWS($I$2:I46),$I$2:$I$1001,0),1)&gt;=100000,INDEX($P$1005:$S$1005,1,MATCH(COLUMNS($P$1006:P1006),$P$1006:$S$1006,0))&gt;=100000), " ",IF(INDEX($P$2:$S$1001,MATCH(ROWS($I$2:I46),$I$2:$I$1001,0),MATCH(COLUMNS($P$1006:P1006),$P$1006:$S$1006,0)), HYPERLINK("#",""), HYPERLINK(CONCATENATE("#metadata!", ADDRESS(INDEX($K$2:$K$1001,MATCH(ROWS($I$2:I46),$I$2:$I$1001,0),0), INDEX($P$1004:$S$1004,1,MATCH(COLUMNS($P$1006:P1006),$P$1006:$S$1006,0)))),"Fix")))</f>
        <v>0</v>
      </c>
      <c r="C46" s="3">
        <f>IF(OR(INDEX($J$2:$J$1001,MATCH(ROWS($I$2:I46),$I$2:$I$1001,0),1)&gt;=100000,INDEX($P$1005:$S$1005,1,MATCH(COLUMNS($P$1006:Q1006),$P$1006:$S$1006,0))&gt;=100000), " ",IF(INDEX($P$2:$S$1001,MATCH(ROWS($I$2:I46),$I$2:$I$1001,0),MATCH(COLUMNS($P$1006:Q1006),$P$1006:$S$1006,0)), HYPERLINK("#",""), HYPERLINK(CONCATENATE("#metadata!", ADDRESS(INDEX($K$2:$K$1001,MATCH(ROWS($I$2:I46),$I$2:$I$1001,0),0), INDEX($P$1004:$S$1004,1,MATCH(COLUMNS($P$1006:Q1006),$P$1006:$S$1006,0)))),"Fix")))</f>
        <v>0</v>
      </c>
      <c r="D46" s="3">
        <f>IF(OR(INDEX($J$2:$J$1001,MATCH(ROWS($I$2:I46),$I$2:$I$1001,0),1)&gt;=100000,INDEX($P$1005:$S$1005,1,MATCH(COLUMNS($P$1006:R1006),$P$1006:$S$1006,0))&gt;=100000), " ",IF(INDEX($P$2:$S$1001,MATCH(ROWS($I$2:I46),$I$2:$I$1001,0),MATCH(COLUMNS($P$1006:R1006),$P$1006:$S$1006,0)), HYPERLINK("#",""), HYPERLINK(CONCATENATE("#metadata!", ADDRESS(INDEX($K$2:$K$1001,MATCH(ROWS($I$2:I46),$I$2:$I$1001,0),0), INDEX($P$1004:$S$1004,1,MATCH(COLUMNS($P$1006:R1006),$P$1006:$S$1006,0)))),"Fix")))</f>
        <v>0</v>
      </c>
      <c r="E46" s="3">
        <f>IF(OR(INDEX($J$2:$J$1001,MATCH(ROWS($I$2:I46),$I$2:$I$1001,0),1)&gt;=100000,INDEX($P$1005:$S$1005,1,MATCH(COLUMNS($P$1006:S1006),$P$1006:$S$1006,0))&gt;=100000), " ",IF(INDEX($P$2:$S$1001,MATCH(ROWS($I$2:I46),$I$2:$I$1001,0),MATCH(COLUMNS($P$1006:S1006),$P$1006:$S$1006,0)), HYPERLINK("#",""), HYPERLINK(CONCATENATE("#metadata!", ADDRESS(INDEX($K$2:$K$1001,MATCH(ROWS($I$2:I46),$I$2:$I$1001,0),0), INDEX($P$1004:$S$1004,1,MATCH(COLUMNS($P$1006:S1006),$P$1006:$S$1006,0)))),"Fix")))</f>
        <v>0</v>
      </c>
      <c r="I46">
        <v>0</v>
      </c>
      <c r="J46">
        <v>0</v>
      </c>
      <c r="K46">
        <v>0</v>
      </c>
      <c r="L46">
        <f>IF(M46,TRUE,AND(P46:S46))</f>
        <v>0</v>
      </c>
      <c r="M46">
        <f>COUNTBLANK(metadata!B46:E46)=COLUMNS(metadata!B46:E46)</f>
        <v>0</v>
      </c>
      <c r="N46">
        <v>0</v>
      </c>
      <c r="P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Q46">
        <f>AND(IF(metadata!C46="",FALSE,TRUE),exact(metadata!C46,"other"))</f>
        <v>0</v>
      </c>
      <c r="R46">
        <f>AND(IF(metadata!D46="",FALSE,TRUE),exact(metadata!D46,"metagenome"))</f>
        <v>0</v>
      </c>
      <c r="S46">
        <f>AND(IF(metadata!E46="",FALSE,TRUE),exact(metadata!E46,"256318"))</f>
        <v>0</v>
      </c>
    </row>
    <row r="47" spans="1:19">
      <c r="A47" s="4">
        <f>IF(B47=" "," ",HYPERLINK(CONCATENATE("#metadata!",ADDRESS(INDEX($K$2:$K$1001,MATCH(ROWS($I$2:I47),$I$2:$I$1001,0),0),1)),INDEX($N$2:$N$1001,MATCH(ROWS($I$2:I47),$I$2:$I$1001,0),0)))</f>
        <v>0</v>
      </c>
      <c r="B47" s="3">
        <f>IF(OR(INDEX($J$2:$J$1001,MATCH(ROWS($I$2:I47),$I$2:$I$1001,0),1)&gt;=100000,INDEX($P$1005:$S$1005,1,MATCH(COLUMNS($P$1006:P1006),$P$1006:$S$1006,0))&gt;=100000), " ",IF(INDEX($P$2:$S$1001,MATCH(ROWS($I$2:I47),$I$2:$I$1001,0),MATCH(COLUMNS($P$1006:P1006),$P$1006:$S$1006,0)), HYPERLINK("#",""), HYPERLINK(CONCATENATE("#metadata!", ADDRESS(INDEX($K$2:$K$1001,MATCH(ROWS($I$2:I47),$I$2:$I$1001,0),0), INDEX($P$1004:$S$1004,1,MATCH(COLUMNS($P$1006:P1006),$P$1006:$S$1006,0)))),"Fix")))</f>
        <v>0</v>
      </c>
      <c r="C47" s="3">
        <f>IF(OR(INDEX($J$2:$J$1001,MATCH(ROWS($I$2:I47),$I$2:$I$1001,0),1)&gt;=100000,INDEX($P$1005:$S$1005,1,MATCH(COLUMNS($P$1006:Q1006),$P$1006:$S$1006,0))&gt;=100000), " ",IF(INDEX($P$2:$S$1001,MATCH(ROWS($I$2:I47),$I$2:$I$1001,0),MATCH(COLUMNS($P$1006:Q1006),$P$1006:$S$1006,0)), HYPERLINK("#",""), HYPERLINK(CONCATENATE("#metadata!", ADDRESS(INDEX($K$2:$K$1001,MATCH(ROWS($I$2:I47),$I$2:$I$1001,0),0), INDEX($P$1004:$S$1004,1,MATCH(COLUMNS($P$1006:Q1006),$P$1006:$S$1006,0)))),"Fix")))</f>
        <v>0</v>
      </c>
      <c r="D47" s="3">
        <f>IF(OR(INDEX($J$2:$J$1001,MATCH(ROWS($I$2:I47),$I$2:$I$1001,0),1)&gt;=100000,INDEX($P$1005:$S$1005,1,MATCH(COLUMNS($P$1006:R1006),$P$1006:$S$1006,0))&gt;=100000), " ",IF(INDEX($P$2:$S$1001,MATCH(ROWS($I$2:I47),$I$2:$I$1001,0),MATCH(COLUMNS($P$1006:R1006),$P$1006:$S$1006,0)), HYPERLINK("#",""), HYPERLINK(CONCATENATE("#metadata!", ADDRESS(INDEX($K$2:$K$1001,MATCH(ROWS($I$2:I47),$I$2:$I$1001,0),0), INDEX($P$1004:$S$1004,1,MATCH(COLUMNS($P$1006:R1006),$P$1006:$S$1006,0)))),"Fix")))</f>
        <v>0</v>
      </c>
      <c r="E47" s="3">
        <f>IF(OR(INDEX($J$2:$J$1001,MATCH(ROWS($I$2:I47),$I$2:$I$1001,0),1)&gt;=100000,INDEX($P$1005:$S$1005,1,MATCH(COLUMNS($P$1006:S1006),$P$1006:$S$1006,0))&gt;=100000), " ",IF(INDEX($P$2:$S$1001,MATCH(ROWS($I$2:I47),$I$2:$I$1001,0),MATCH(COLUMNS($P$1006:S1006),$P$1006:$S$1006,0)), HYPERLINK("#",""), HYPERLINK(CONCATENATE("#metadata!", ADDRESS(INDEX($K$2:$K$1001,MATCH(ROWS($I$2:I47),$I$2:$I$1001,0),0), INDEX($P$1004:$S$1004,1,MATCH(COLUMNS($P$1006:S1006),$P$1006:$S$1006,0)))),"Fix")))</f>
        <v>0</v>
      </c>
      <c r="I47">
        <v>0</v>
      </c>
      <c r="J47">
        <v>0</v>
      </c>
      <c r="K47">
        <v>0</v>
      </c>
      <c r="L47">
        <f>IF(M47,TRUE,AND(P47:S47))</f>
        <v>0</v>
      </c>
      <c r="M47">
        <f>COUNTBLANK(metadata!B47:E47)=COLUMNS(metadata!B47:E47)</f>
        <v>0</v>
      </c>
      <c r="N47">
        <v>0</v>
      </c>
      <c r="P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Q47">
        <f>AND(IF(metadata!C47="",FALSE,TRUE),exact(metadata!C47,"other"))</f>
        <v>0</v>
      </c>
      <c r="R47">
        <f>AND(IF(metadata!D47="",FALSE,TRUE),exact(metadata!D47,"metagenome"))</f>
        <v>0</v>
      </c>
      <c r="S47">
        <f>AND(IF(metadata!E47="",FALSE,TRUE),exact(metadata!E47,"256318"))</f>
        <v>0</v>
      </c>
    </row>
    <row r="48" spans="1:19">
      <c r="A48" s="4">
        <f>IF(B48=" "," ",HYPERLINK(CONCATENATE("#metadata!",ADDRESS(INDEX($K$2:$K$1001,MATCH(ROWS($I$2:I48),$I$2:$I$1001,0),0),1)),INDEX($N$2:$N$1001,MATCH(ROWS($I$2:I48),$I$2:$I$1001,0),0)))</f>
        <v>0</v>
      </c>
      <c r="B48" s="3">
        <f>IF(OR(INDEX($J$2:$J$1001,MATCH(ROWS($I$2:I48),$I$2:$I$1001,0),1)&gt;=100000,INDEX($P$1005:$S$1005,1,MATCH(COLUMNS($P$1006:P1006),$P$1006:$S$1006,0))&gt;=100000), " ",IF(INDEX($P$2:$S$1001,MATCH(ROWS($I$2:I48),$I$2:$I$1001,0),MATCH(COLUMNS($P$1006:P1006),$P$1006:$S$1006,0)), HYPERLINK("#",""), HYPERLINK(CONCATENATE("#metadata!", ADDRESS(INDEX($K$2:$K$1001,MATCH(ROWS($I$2:I48),$I$2:$I$1001,0),0), INDEX($P$1004:$S$1004,1,MATCH(COLUMNS($P$1006:P1006),$P$1006:$S$1006,0)))),"Fix")))</f>
        <v>0</v>
      </c>
      <c r="C48" s="3">
        <f>IF(OR(INDEX($J$2:$J$1001,MATCH(ROWS($I$2:I48),$I$2:$I$1001,0),1)&gt;=100000,INDEX($P$1005:$S$1005,1,MATCH(COLUMNS($P$1006:Q1006),$P$1006:$S$1006,0))&gt;=100000), " ",IF(INDEX($P$2:$S$1001,MATCH(ROWS($I$2:I48),$I$2:$I$1001,0),MATCH(COLUMNS($P$1006:Q1006),$P$1006:$S$1006,0)), HYPERLINK("#",""), HYPERLINK(CONCATENATE("#metadata!", ADDRESS(INDEX($K$2:$K$1001,MATCH(ROWS($I$2:I48),$I$2:$I$1001,0),0), INDEX($P$1004:$S$1004,1,MATCH(COLUMNS($P$1006:Q1006),$P$1006:$S$1006,0)))),"Fix")))</f>
        <v>0</v>
      </c>
      <c r="D48" s="3">
        <f>IF(OR(INDEX($J$2:$J$1001,MATCH(ROWS($I$2:I48),$I$2:$I$1001,0),1)&gt;=100000,INDEX($P$1005:$S$1005,1,MATCH(COLUMNS($P$1006:R1006),$P$1006:$S$1006,0))&gt;=100000), " ",IF(INDEX($P$2:$S$1001,MATCH(ROWS($I$2:I48),$I$2:$I$1001,0),MATCH(COLUMNS($P$1006:R1006),$P$1006:$S$1006,0)), HYPERLINK("#",""), HYPERLINK(CONCATENATE("#metadata!", ADDRESS(INDEX($K$2:$K$1001,MATCH(ROWS($I$2:I48),$I$2:$I$1001,0),0), INDEX($P$1004:$S$1004,1,MATCH(COLUMNS($P$1006:R1006),$P$1006:$S$1006,0)))),"Fix")))</f>
        <v>0</v>
      </c>
      <c r="E48" s="3">
        <f>IF(OR(INDEX($J$2:$J$1001,MATCH(ROWS($I$2:I48),$I$2:$I$1001,0),1)&gt;=100000,INDEX($P$1005:$S$1005,1,MATCH(COLUMNS($P$1006:S1006),$P$1006:$S$1006,0))&gt;=100000), " ",IF(INDEX($P$2:$S$1001,MATCH(ROWS($I$2:I48),$I$2:$I$1001,0),MATCH(COLUMNS($P$1006:S1006),$P$1006:$S$1006,0)), HYPERLINK("#",""), HYPERLINK(CONCATENATE("#metadata!", ADDRESS(INDEX($K$2:$K$1001,MATCH(ROWS($I$2:I48),$I$2:$I$1001,0),0), INDEX($P$1004:$S$1004,1,MATCH(COLUMNS($P$1006:S1006),$P$1006:$S$1006,0)))),"Fix")))</f>
        <v>0</v>
      </c>
      <c r="I48">
        <v>0</v>
      </c>
      <c r="J48">
        <v>0</v>
      </c>
      <c r="K48">
        <v>0</v>
      </c>
      <c r="L48">
        <f>IF(M48,TRUE,AND(P48:S48))</f>
        <v>0</v>
      </c>
      <c r="M48">
        <f>COUNTBLANK(metadata!B48:E48)=COLUMNS(metadata!B48:E48)</f>
        <v>0</v>
      </c>
      <c r="N48">
        <v>0</v>
      </c>
      <c r="P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Q48">
        <f>AND(IF(metadata!C48="",FALSE,TRUE),exact(metadata!C48,"other"))</f>
        <v>0</v>
      </c>
      <c r="R48">
        <f>AND(IF(metadata!D48="",FALSE,TRUE),exact(metadata!D48,"metagenome"))</f>
        <v>0</v>
      </c>
      <c r="S48">
        <f>AND(IF(metadata!E48="",FALSE,TRUE),exact(metadata!E48,"256318"))</f>
        <v>0</v>
      </c>
    </row>
    <row r="49" spans="1:19">
      <c r="A49" s="4">
        <f>IF(B49=" "," ",HYPERLINK(CONCATENATE("#metadata!",ADDRESS(INDEX($K$2:$K$1001,MATCH(ROWS($I$2:I49),$I$2:$I$1001,0),0),1)),INDEX($N$2:$N$1001,MATCH(ROWS($I$2:I49),$I$2:$I$1001,0),0)))</f>
        <v>0</v>
      </c>
      <c r="B49" s="3">
        <f>IF(OR(INDEX($J$2:$J$1001,MATCH(ROWS($I$2:I49),$I$2:$I$1001,0),1)&gt;=100000,INDEX($P$1005:$S$1005,1,MATCH(COLUMNS($P$1006:P1006),$P$1006:$S$1006,0))&gt;=100000), " ",IF(INDEX($P$2:$S$1001,MATCH(ROWS($I$2:I49),$I$2:$I$1001,0),MATCH(COLUMNS($P$1006:P1006),$P$1006:$S$1006,0)), HYPERLINK("#",""), HYPERLINK(CONCATENATE("#metadata!", ADDRESS(INDEX($K$2:$K$1001,MATCH(ROWS($I$2:I49),$I$2:$I$1001,0),0), INDEX($P$1004:$S$1004,1,MATCH(COLUMNS($P$1006:P1006),$P$1006:$S$1006,0)))),"Fix")))</f>
        <v>0</v>
      </c>
      <c r="C49" s="3">
        <f>IF(OR(INDEX($J$2:$J$1001,MATCH(ROWS($I$2:I49),$I$2:$I$1001,0),1)&gt;=100000,INDEX($P$1005:$S$1005,1,MATCH(COLUMNS($P$1006:Q1006),$P$1006:$S$1006,0))&gt;=100000), " ",IF(INDEX($P$2:$S$1001,MATCH(ROWS($I$2:I49),$I$2:$I$1001,0),MATCH(COLUMNS($P$1006:Q1006),$P$1006:$S$1006,0)), HYPERLINK("#",""), HYPERLINK(CONCATENATE("#metadata!", ADDRESS(INDEX($K$2:$K$1001,MATCH(ROWS($I$2:I49),$I$2:$I$1001,0),0), INDEX($P$1004:$S$1004,1,MATCH(COLUMNS($P$1006:Q1006),$P$1006:$S$1006,0)))),"Fix")))</f>
        <v>0</v>
      </c>
      <c r="D49" s="3">
        <f>IF(OR(INDEX($J$2:$J$1001,MATCH(ROWS($I$2:I49),$I$2:$I$1001,0),1)&gt;=100000,INDEX($P$1005:$S$1005,1,MATCH(COLUMNS($P$1006:R1006),$P$1006:$S$1006,0))&gt;=100000), " ",IF(INDEX($P$2:$S$1001,MATCH(ROWS($I$2:I49),$I$2:$I$1001,0),MATCH(COLUMNS($P$1006:R1006),$P$1006:$S$1006,0)), HYPERLINK("#",""), HYPERLINK(CONCATENATE("#metadata!", ADDRESS(INDEX($K$2:$K$1001,MATCH(ROWS($I$2:I49),$I$2:$I$1001,0),0), INDEX($P$1004:$S$1004,1,MATCH(COLUMNS($P$1006:R1006),$P$1006:$S$1006,0)))),"Fix")))</f>
        <v>0</v>
      </c>
      <c r="E49" s="3">
        <f>IF(OR(INDEX($J$2:$J$1001,MATCH(ROWS($I$2:I49),$I$2:$I$1001,0),1)&gt;=100000,INDEX($P$1005:$S$1005,1,MATCH(COLUMNS($P$1006:S1006),$P$1006:$S$1006,0))&gt;=100000), " ",IF(INDEX($P$2:$S$1001,MATCH(ROWS($I$2:I49),$I$2:$I$1001,0),MATCH(COLUMNS($P$1006:S1006),$P$1006:$S$1006,0)), HYPERLINK("#",""), HYPERLINK(CONCATENATE("#metadata!", ADDRESS(INDEX($K$2:$K$1001,MATCH(ROWS($I$2:I49),$I$2:$I$1001,0),0), INDEX($P$1004:$S$1004,1,MATCH(COLUMNS($P$1006:S1006),$P$1006:$S$1006,0)))),"Fix")))</f>
        <v>0</v>
      </c>
      <c r="I49">
        <v>0</v>
      </c>
      <c r="J49">
        <v>0</v>
      </c>
      <c r="K49">
        <v>0</v>
      </c>
      <c r="L49">
        <f>IF(M49,TRUE,AND(P49:S49))</f>
        <v>0</v>
      </c>
      <c r="M49">
        <f>COUNTBLANK(metadata!B49:E49)=COLUMNS(metadata!B49:E49)</f>
        <v>0</v>
      </c>
      <c r="N49">
        <v>0</v>
      </c>
      <c r="P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Q49">
        <f>AND(IF(metadata!C49="",FALSE,TRUE),exact(metadata!C49,"other"))</f>
        <v>0</v>
      </c>
      <c r="R49">
        <f>AND(IF(metadata!D49="",FALSE,TRUE),exact(metadata!D49,"metagenome"))</f>
        <v>0</v>
      </c>
      <c r="S49">
        <f>AND(IF(metadata!E49="",FALSE,TRUE),exact(metadata!E49,"256318"))</f>
        <v>0</v>
      </c>
    </row>
    <row r="50" spans="1:19">
      <c r="A50" s="4">
        <f>IF(B50=" "," ",HYPERLINK(CONCATENATE("#metadata!",ADDRESS(INDEX($K$2:$K$1001,MATCH(ROWS($I$2:I50),$I$2:$I$1001,0),0),1)),INDEX($N$2:$N$1001,MATCH(ROWS($I$2:I50),$I$2:$I$1001,0),0)))</f>
        <v>0</v>
      </c>
      <c r="B50" s="3">
        <f>IF(OR(INDEX($J$2:$J$1001,MATCH(ROWS($I$2:I50),$I$2:$I$1001,0),1)&gt;=100000,INDEX($P$1005:$S$1005,1,MATCH(COLUMNS($P$1006:P1006),$P$1006:$S$1006,0))&gt;=100000), " ",IF(INDEX($P$2:$S$1001,MATCH(ROWS($I$2:I50),$I$2:$I$1001,0),MATCH(COLUMNS($P$1006:P1006),$P$1006:$S$1006,0)), HYPERLINK("#",""), HYPERLINK(CONCATENATE("#metadata!", ADDRESS(INDEX($K$2:$K$1001,MATCH(ROWS($I$2:I50),$I$2:$I$1001,0),0), INDEX($P$1004:$S$1004,1,MATCH(COLUMNS($P$1006:P1006),$P$1006:$S$1006,0)))),"Fix")))</f>
        <v>0</v>
      </c>
      <c r="C50" s="3">
        <f>IF(OR(INDEX($J$2:$J$1001,MATCH(ROWS($I$2:I50),$I$2:$I$1001,0),1)&gt;=100000,INDEX($P$1005:$S$1005,1,MATCH(COLUMNS($P$1006:Q1006),$P$1006:$S$1006,0))&gt;=100000), " ",IF(INDEX($P$2:$S$1001,MATCH(ROWS($I$2:I50),$I$2:$I$1001,0),MATCH(COLUMNS($P$1006:Q1006),$P$1006:$S$1006,0)), HYPERLINK("#",""), HYPERLINK(CONCATENATE("#metadata!", ADDRESS(INDEX($K$2:$K$1001,MATCH(ROWS($I$2:I50),$I$2:$I$1001,0),0), INDEX($P$1004:$S$1004,1,MATCH(COLUMNS($P$1006:Q1006),$P$1006:$S$1006,0)))),"Fix")))</f>
        <v>0</v>
      </c>
      <c r="D50" s="3">
        <f>IF(OR(INDEX($J$2:$J$1001,MATCH(ROWS($I$2:I50),$I$2:$I$1001,0),1)&gt;=100000,INDEX($P$1005:$S$1005,1,MATCH(COLUMNS($P$1006:R1006),$P$1006:$S$1006,0))&gt;=100000), " ",IF(INDEX($P$2:$S$1001,MATCH(ROWS($I$2:I50),$I$2:$I$1001,0),MATCH(COLUMNS($P$1006:R1006),$P$1006:$S$1006,0)), HYPERLINK("#",""), HYPERLINK(CONCATENATE("#metadata!", ADDRESS(INDEX($K$2:$K$1001,MATCH(ROWS($I$2:I50),$I$2:$I$1001,0),0), INDEX($P$1004:$S$1004,1,MATCH(COLUMNS($P$1006:R1006),$P$1006:$S$1006,0)))),"Fix")))</f>
        <v>0</v>
      </c>
      <c r="E50" s="3">
        <f>IF(OR(INDEX($J$2:$J$1001,MATCH(ROWS($I$2:I50),$I$2:$I$1001,0),1)&gt;=100000,INDEX($P$1005:$S$1005,1,MATCH(COLUMNS($P$1006:S1006),$P$1006:$S$1006,0))&gt;=100000), " ",IF(INDEX($P$2:$S$1001,MATCH(ROWS($I$2:I50),$I$2:$I$1001,0),MATCH(COLUMNS($P$1006:S1006),$P$1006:$S$1006,0)), HYPERLINK("#",""), HYPERLINK(CONCATENATE("#metadata!", ADDRESS(INDEX($K$2:$K$1001,MATCH(ROWS($I$2:I50),$I$2:$I$1001,0),0), INDEX($P$1004:$S$1004,1,MATCH(COLUMNS($P$1006:S1006),$P$1006:$S$1006,0)))),"Fix")))</f>
        <v>0</v>
      </c>
      <c r="I50">
        <v>0</v>
      </c>
      <c r="J50">
        <v>0</v>
      </c>
      <c r="K50">
        <v>0</v>
      </c>
      <c r="L50">
        <f>IF(M50,TRUE,AND(P50:S50))</f>
        <v>0</v>
      </c>
      <c r="M50">
        <f>COUNTBLANK(metadata!B50:E50)=COLUMNS(metadata!B50:E50)</f>
        <v>0</v>
      </c>
      <c r="N50">
        <v>0</v>
      </c>
      <c r="P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Q50">
        <f>AND(IF(metadata!C50="",FALSE,TRUE),exact(metadata!C50,"other"))</f>
        <v>0</v>
      </c>
      <c r="R50">
        <f>AND(IF(metadata!D50="",FALSE,TRUE),exact(metadata!D50,"metagenome"))</f>
        <v>0</v>
      </c>
      <c r="S50">
        <f>AND(IF(metadata!E50="",FALSE,TRUE),exact(metadata!E50,"256318"))</f>
        <v>0</v>
      </c>
    </row>
    <row r="51" spans="1:19">
      <c r="A51" s="4">
        <f>IF(B51=" "," ",HYPERLINK(CONCATENATE("#metadata!",ADDRESS(INDEX($K$2:$K$1001,MATCH(ROWS($I$2:I51),$I$2:$I$1001,0),0),1)),INDEX($N$2:$N$1001,MATCH(ROWS($I$2:I51),$I$2:$I$1001,0),0)))</f>
        <v>0</v>
      </c>
      <c r="B51" s="3">
        <f>IF(OR(INDEX($J$2:$J$1001,MATCH(ROWS($I$2:I51),$I$2:$I$1001,0),1)&gt;=100000,INDEX($P$1005:$S$1005,1,MATCH(COLUMNS($P$1006:P1006),$P$1006:$S$1006,0))&gt;=100000), " ",IF(INDEX($P$2:$S$1001,MATCH(ROWS($I$2:I51),$I$2:$I$1001,0),MATCH(COLUMNS($P$1006:P1006),$P$1006:$S$1006,0)), HYPERLINK("#",""), HYPERLINK(CONCATENATE("#metadata!", ADDRESS(INDEX($K$2:$K$1001,MATCH(ROWS($I$2:I51),$I$2:$I$1001,0),0), INDEX($P$1004:$S$1004,1,MATCH(COLUMNS($P$1006:P1006),$P$1006:$S$1006,0)))),"Fix")))</f>
        <v>0</v>
      </c>
      <c r="C51" s="3">
        <f>IF(OR(INDEX($J$2:$J$1001,MATCH(ROWS($I$2:I51),$I$2:$I$1001,0),1)&gt;=100000,INDEX($P$1005:$S$1005,1,MATCH(COLUMNS($P$1006:Q1006),$P$1006:$S$1006,0))&gt;=100000), " ",IF(INDEX($P$2:$S$1001,MATCH(ROWS($I$2:I51),$I$2:$I$1001,0),MATCH(COLUMNS($P$1006:Q1006),$P$1006:$S$1006,0)), HYPERLINK("#",""), HYPERLINK(CONCATENATE("#metadata!", ADDRESS(INDEX($K$2:$K$1001,MATCH(ROWS($I$2:I51),$I$2:$I$1001,0),0), INDEX($P$1004:$S$1004,1,MATCH(COLUMNS($P$1006:Q1006),$P$1006:$S$1006,0)))),"Fix")))</f>
        <v>0</v>
      </c>
      <c r="D51" s="3">
        <f>IF(OR(INDEX($J$2:$J$1001,MATCH(ROWS($I$2:I51),$I$2:$I$1001,0),1)&gt;=100000,INDEX($P$1005:$S$1005,1,MATCH(COLUMNS($P$1006:R1006),$P$1006:$S$1006,0))&gt;=100000), " ",IF(INDEX($P$2:$S$1001,MATCH(ROWS($I$2:I51),$I$2:$I$1001,0),MATCH(COLUMNS($P$1006:R1006),$P$1006:$S$1006,0)), HYPERLINK("#",""), HYPERLINK(CONCATENATE("#metadata!", ADDRESS(INDEX($K$2:$K$1001,MATCH(ROWS($I$2:I51),$I$2:$I$1001,0),0), INDEX($P$1004:$S$1004,1,MATCH(COLUMNS($P$1006:R1006),$P$1006:$S$1006,0)))),"Fix")))</f>
        <v>0</v>
      </c>
      <c r="E51" s="3">
        <f>IF(OR(INDEX($J$2:$J$1001,MATCH(ROWS($I$2:I51),$I$2:$I$1001,0),1)&gt;=100000,INDEX($P$1005:$S$1005,1,MATCH(COLUMNS($P$1006:S1006),$P$1006:$S$1006,0))&gt;=100000), " ",IF(INDEX($P$2:$S$1001,MATCH(ROWS($I$2:I51),$I$2:$I$1001,0),MATCH(COLUMNS($P$1006:S1006),$P$1006:$S$1006,0)), HYPERLINK("#",""), HYPERLINK(CONCATENATE("#metadata!", ADDRESS(INDEX($K$2:$K$1001,MATCH(ROWS($I$2:I51),$I$2:$I$1001,0),0), INDEX($P$1004:$S$1004,1,MATCH(COLUMNS($P$1006:S1006),$P$1006:$S$1006,0)))),"Fix")))</f>
        <v>0</v>
      </c>
      <c r="I51">
        <v>0</v>
      </c>
      <c r="J51">
        <v>0</v>
      </c>
      <c r="K51">
        <v>0</v>
      </c>
      <c r="L51">
        <f>IF(M51,TRUE,AND(P51:S51))</f>
        <v>0</v>
      </c>
      <c r="M51">
        <f>COUNTBLANK(metadata!B51:E51)=COLUMNS(metadata!B51:E51)</f>
        <v>0</v>
      </c>
      <c r="N51">
        <v>0</v>
      </c>
      <c r="P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Q51">
        <f>AND(IF(metadata!C51="",FALSE,TRUE),exact(metadata!C51,"other"))</f>
        <v>0</v>
      </c>
      <c r="R51">
        <f>AND(IF(metadata!D51="",FALSE,TRUE),exact(metadata!D51,"metagenome"))</f>
        <v>0</v>
      </c>
      <c r="S51">
        <f>AND(IF(metadata!E51="",FALSE,TRUE),exact(metadata!E51,"256318"))</f>
        <v>0</v>
      </c>
    </row>
    <row r="52" spans="1:19">
      <c r="A52" s="4">
        <f>IF(B52=" "," ",HYPERLINK(CONCATENATE("#metadata!",ADDRESS(INDEX($K$2:$K$1001,MATCH(ROWS($I$2:I52),$I$2:$I$1001,0),0),1)),INDEX($N$2:$N$1001,MATCH(ROWS($I$2:I52),$I$2:$I$1001,0),0)))</f>
        <v>0</v>
      </c>
      <c r="B52" s="3">
        <f>IF(OR(INDEX($J$2:$J$1001,MATCH(ROWS($I$2:I52),$I$2:$I$1001,0),1)&gt;=100000,INDEX($P$1005:$S$1005,1,MATCH(COLUMNS($P$1006:P1006),$P$1006:$S$1006,0))&gt;=100000), " ",IF(INDEX($P$2:$S$1001,MATCH(ROWS($I$2:I52),$I$2:$I$1001,0),MATCH(COLUMNS($P$1006:P1006),$P$1006:$S$1006,0)), HYPERLINK("#",""), HYPERLINK(CONCATENATE("#metadata!", ADDRESS(INDEX($K$2:$K$1001,MATCH(ROWS($I$2:I52),$I$2:$I$1001,0),0), INDEX($P$1004:$S$1004,1,MATCH(COLUMNS($P$1006:P1006),$P$1006:$S$1006,0)))),"Fix")))</f>
        <v>0</v>
      </c>
      <c r="C52" s="3">
        <f>IF(OR(INDEX($J$2:$J$1001,MATCH(ROWS($I$2:I52),$I$2:$I$1001,0),1)&gt;=100000,INDEX($P$1005:$S$1005,1,MATCH(COLUMNS($P$1006:Q1006),$P$1006:$S$1006,0))&gt;=100000), " ",IF(INDEX($P$2:$S$1001,MATCH(ROWS($I$2:I52),$I$2:$I$1001,0),MATCH(COLUMNS($P$1006:Q1006),$P$1006:$S$1006,0)), HYPERLINK("#",""), HYPERLINK(CONCATENATE("#metadata!", ADDRESS(INDEX($K$2:$K$1001,MATCH(ROWS($I$2:I52),$I$2:$I$1001,0),0), INDEX($P$1004:$S$1004,1,MATCH(COLUMNS($P$1006:Q1006),$P$1006:$S$1006,0)))),"Fix")))</f>
        <v>0</v>
      </c>
      <c r="D52" s="3">
        <f>IF(OR(INDEX($J$2:$J$1001,MATCH(ROWS($I$2:I52),$I$2:$I$1001,0),1)&gt;=100000,INDEX($P$1005:$S$1005,1,MATCH(COLUMNS($P$1006:R1006),$P$1006:$S$1006,0))&gt;=100000), " ",IF(INDEX($P$2:$S$1001,MATCH(ROWS($I$2:I52),$I$2:$I$1001,0),MATCH(COLUMNS($P$1006:R1006),$P$1006:$S$1006,0)), HYPERLINK("#",""), HYPERLINK(CONCATENATE("#metadata!", ADDRESS(INDEX($K$2:$K$1001,MATCH(ROWS($I$2:I52),$I$2:$I$1001,0),0), INDEX($P$1004:$S$1004,1,MATCH(COLUMNS($P$1006:R1006),$P$1006:$S$1006,0)))),"Fix")))</f>
        <v>0</v>
      </c>
      <c r="E52" s="3">
        <f>IF(OR(INDEX($J$2:$J$1001,MATCH(ROWS($I$2:I52),$I$2:$I$1001,0),1)&gt;=100000,INDEX($P$1005:$S$1005,1,MATCH(COLUMNS($P$1006:S1006),$P$1006:$S$1006,0))&gt;=100000), " ",IF(INDEX($P$2:$S$1001,MATCH(ROWS($I$2:I52),$I$2:$I$1001,0),MATCH(COLUMNS($P$1006:S1006),$P$1006:$S$1006,0)), HYPERLINK("#",""), HYPERLINK(CONCATENATE("#metadata!", ADDRESS(INDEX($K$2:$K$1001,MATCH(ROWS($I$2:I52),$I$2:$I$1001,0),0), INDEX($P$1004:$S$1004,1,MATCH(COLUMNS($P$1006:S1006),$P$1006:$S$1006,0)))),"Fix")))</f>
        <v>0</v>
      </c>
      <c r="I52">
        <v>0</v>
      </c>
      <c r="J52">
        <v>0</v>
      </c>
      <c r="K52">
        <v>0</v>
      </c>
      <c r="L52">
        <f>IF(M52,TRUE,AND(P52:S52))</f>
        <v>0</v>
      </c>
      <c r="M52">
        <f>COUNTBLANK(metadata!B52:E52)=COLUMNS(metadata!B52:E52)</f>
        <v>0</v>
      </c>
      <c r="N52">
        <v>0</v>
      </c>
      <c r="P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Q52">
        <f>AND(IF(metadata!C52="",FALSE,TRUE),exact(metadata!C52,"other"))</f>
        <v>0</v>
      </c>
      <c r="R52">
        <f>AND(IF(metadata!D52="",FALSE,TRUE),exact(metadata!D52,"metagenome"))</f>
        <v>0</v>
      </c>
      <c r="S52">
        <f>AND(IF(metadata!E52="",FALSE,TRUE),exact(metadata!E52,"256318"))</f>
        <v>0</v>
      </c>
    </row>
    <row r="53" spans="1:19">
      <c r="A53" s="4">
        <f>IF(B53=" "," ",HYPERLINK(CONCATENATE("#metadata!",ADDRESS(INDEX($K$2:$K$1001,MATCH(ROWS($I$2:I53),$I$2:$I$1001,0),0),1)),INDEX($N$2:$N$1001,MATCH(ROWS($I$2:I53),$I$2:$I$1001,0),0)))</f>
        <v>0</v>
      </c>
      <c r="B53" s="3">
        <f>IF(OR(INDEX($J$2:$J$1001,MATCH(ROWS($I$2:I53),$I$2:$I$1001,0),1)&gt;=100000,INDEX($P$1005:$S$1005,1,MATCH(COLUMNS($P$1006:P1006),$P$1006:$S$1006,0))&gt;=100000), " ",IF(INDEX($P$2:$S$1001,MATCH(ROWS($I$2:I53),$I$2:$I$1001,0),MATCH(COLUMNS($P$1006:P1006),$P$1006:$S$1006,0)), HYPERLINK("#",""), HYPERLINK(CONCATENATE("#metadata!", ADDRESS(INDEX($K$2:$K$1001,MATCH(ROWS($I$2:I53),$I$2:$I$1001,0),0), INDEX($P$1004:$S$1004,1,MATCH(COLUMNS($P$1006:P1006),$P$1006:$S$1006,0)))),"Fix")))</f>
        <v>0</v>
      </c>
      <c r="C53" s="3">
        <f>IF(OR(INDEX($J$2:$J$1001,MATCH(ROWS($I$2:I53),$I$2:$I$1001,0),1)&gt;=100000,INDEX($P$1005:$S$1005,1,MATCH(COLUMNS($P$1006:Q1006),$P$1006:$S$1006,0))&gt;=100000), " ",IF(INDEX($P$2:$S$1001,MATCH(ROWS($I$2:I53),$I$2:$I$1001,0),MATCH(COLUMNS($P$1006:Q1006),$P$1006:$S$1006,0)), HYPERLINK("#",""), HYPERLINK(CONCATENATE("#metadata!", ADDRESS(INDEX($K$2:$K$1001,MATCH(ROWS($I$2:I53),$I$2:$I$1001,0),0), INDEX($P$1004:$S$1004,1,MATCH(COLUMNS($P$1006:Q1006),$P$1006:$S$1006,0)))),"Fix")))</f>
        <v>0</v>
      </c>
      <c r="D53" s="3">
        <f>IF(OR(INDEX($J$2:$J$1001,MATCH(ROWS($I$2:I53),$I$2:$I$1001,0),1)&gt;=100000,INDEX($P$1005:$S$1005,1,MATCH(COLUMNS($P$1006:R1006),$P$1006:$S$1006,0))&gt;=100000), " ",IF(INDEX($P$2:$S$1001,MATCH(ROWS($I$2:I53),$I$2:$I$1001,0),MATCH(COLUMNS($P$1006:R1006),$P$1006:$S$1006,0)), HYPERLINK("#",""), HYPERLINK(CONCATENATE("#metadata!", ADDRESS(INDEX($K$2:$K$1001,MATCH(ROWS($I$2:I53),$I$2:$I$1001,0),0), INDEX($P$1004:$S$1004,1,MATCH(COLUMNS($P$1006:R1006),$P$1006:$S$1006,0)))),"Fix")))</f>
        <v>0</v>
      </c>
      <c r="E53" s="3">
        <f>IF(OR(INDEX($J$2:$J$1001,MATCH(ROWS($I$2:I53),$I$2:$I$1001,0),1)&gt;=100000,INDEX($P$1005:$S$1005,1,MATCH(COLUMNS($P$1006:S1006),$P$1006:$S$1006,0))&gt;=100000), " ",IF(INDEX($P$2:$S$1001,MATCH(ROWS($I$2:I53),$I$2:$I$1001,0),MATCH(COLUMNS($P$1006:S1006),$P$1006:$S$1006,0)), HYPERLINK("#",""), HYPERLINK(CONCATENATE("#metadata!", ADDRESS(INDEX($K$2:$K$1001,MATCH(ROWS($I$2:I53),$I$2:$I$1001,0),0), INDEX($P$1004:$S$1004,1,MATCH(COLUMNS($P$1006:S1006),$P$1006:$S$1006,0)))),"Fix")))</f>
        <v>0</v>
      </c>
      <c r="I53">
        <v>0</v>
      </c>
      <c r="J53">
        <v>0</v>
      </c>
      <c r="K53">
        <v>0</v>
      </c>
      <c r="L53">
        <f>IF(M53,TRUE,AND(P53:S53))</f>
        <v>0</v>
      </c>
      <c r="M53">
        <f>COUNTBLANK(metadata!B53:E53)=COLUMNS(metadata!B53:E53)</f>
        <v>0</v>
      </c>
      <c r="N53">
        <v>0</v>
      </c>
      <c r="P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Q53">
        <f>AND(IF(metadata!C53="",FALSE,TRUE),exact(metadata!C53,"other"))</f>
        <v>0</v>
      </c>
      <c r="R53">
        <f>AND(IF(metadata!D53="",FALSE,TRUE),exact(metadata!D53,"metagenome"))</f>
        <v>0</v>
      </c>
      <c r="S53">
        <f>AND(IF(metadata!E53="",FALSE,TRUE),exact(metadata!E53,"256318"))</f>
        <v>0</v>
      </c>
    </row>
    <row r="54" spans="1:19">
      <c r="A54" s="4">
        <f>IF(B54=" "," ",HYPERLINK(CONCATENATE("#metadata!",ADDRESS(INDEX($K$2:$K$1001,MATCH(ROWS($I$2:I54),$I$2:$I$1001,0),0),1)),INDEX($N$2:$N$1001,MATCH(ROWS($I$2:I54),$I$2:$I$1001,0),0)))</f>
        <v>0</v>
      </c>
      <c r="B54" s="3">
        <f>IF(OR(INDEX($J$2:$J$1001,MATCH(ROWS($I$2:I54),$I$2:$I$1001,0),1)&gt;=100000,INDEX($P$1005:$S$1005,1,MATCH(COLUMNS($P$1006:P1006),$P$1006:$S$1006,0))&gt;=100000), " ",IF(INDEX($P$2:$S$1001,MATCH(ROWS($I$2:I54),$I$2:$I$1001,0),MATCH(COLUMNS($P$1006:P1006),$P$1006:$S$1006,0)), HYPERLINK("#",""), HYPERLINK(CONCATENATE("#metadata!", ADDRESS(INDEX($K$2:$K$1001,MATCH(ROWS($I$2:I54),$I$2:$I$1001,0),0), INDEX($P$1004:$S$1004,1,MATCH(COLUMNS($P$1006:P1006),$P$1006:$S$1006,0)))),"Fix")))</f>
        <v>0</v>
      </c>
      <c r="C54" s="3">
        <f>IF(OR(INDEX($J$2:$J$1001,MATCH(ROWS($I$2:I54),$I$2:$I$1001,0),1)&gt;=100000,INDEX($P$1005:$S$1005,1,MATCH(COLUMNS($P$1006:Q1006),$P$1006:$S$1006,0))&gt;=100000), " ",IF(INDEX($P$2:$S$1001,MATCH(ROWS($I$2:I54),$I$2:$I$1001,0),MATCH(COLUMNS($P$1006:Q1006),$P$1006:$S$1006,0)), HYPERLINK("#",""), HYPERLINK(CONCATENATE("#metadata!", ADDRESS(INDEX($K$2:$K$1001,MATCH(ROWS($I$2:I54),$I$2:$I$1001,0),0), INDEX($P$1004:$S$1004,1,MATCH(COLUMNS($P$1006:Q1006),$P$1006:$S$1006,0)))),"Fix")))</f>
        <v>0</v>
      </c>
      <c r="D54" s="3">
        <f>IF(OR(INDEX($J$2:$J$1001,MATCH(ROWS($I$2:I54),$I$2:$I$1001,0),1)&gt;=100000,INDEX($P$1005:$S$1005,1,MATCH(COLUMNS($P$1006:R1006),$P$1006:$S$1006,0))&gt;=100000), " ",IF(INDEX($P$2:$S$1001,MATCH(ROWS($I$2:I54),$I$2:$I$1001,0),MATCH(COLUMNS($P$1006:R1006),$P$1006:$S$1006,0)), HYPERLINK("#",""), HYPERLINK(CONCATENATE("#metadata!", ADDRESS(INDEX($K$2:$K$1001,MATCH(ROWS($I$2:I54),$I$2:$I$1001,0),0), INDEX($P$1004:$S$1004,1,MATCH(COLUMNS($P$1006:R1006),$P$1006:$S$1006,0)))),"Fix")))</f>
        <v>0</v>
      </c>
      <c r="E54" s="3">
        <f>IF(OR(INDEX($J$2:$J$1001,MATCH(ROWS($I$2:I54),$I$2:$I$1001,0),1)&gt;=100000,INDEX($P$1005:$S$1005,1,MATCH(COLUMNS($P$1006:S1006),$P$1006:$S$1006,0))&gt;=100000), " ",IF(INDEX($P$2:$S$1001,MATCH(ROWS($I$2:I54),$I$2:$I$1001,0),MATCH(COLUMNS($P$1006:S1006),$P$1006:$S$1006,0)), HYPERLINK("#",""), HYPERLINK(CONCATENATE("#metadata!", ADDRESS(INDEX($K$2:$K$1001,MATCH(ROWS($I$2:I54),$I$2:$I$1001,0),0), INDEX($P$1004:$S$1004,1,MATCH(COLUMNS($P$1006:S1006),$P$1006:$S$1006,0)))),"Fix")))</f>
        <v>0</v>
      </c>
      <c r="I54">
        <v>0</v>
      </c>
      <c r="J54">
        <v>0</v>
      </c>
      <c r="K54">
        <v>0</v>
      </c>
      <c r="L54">
        <f>IF(M54,TRUE,AND(P54:S54))</f>
        <v>0</v>
      </c>
      <c r="M54">
        <f>COUNTBLANK(metadata!B54:E54)=COLUMNS(metadata!B54:E54)</f>
        <v>0</v>
      </c>
      <c r="N54">
        <v>0</v>
      </c>
      <c r="P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Q54">
        <f>AND(IF(metadata!C54="",FALSE,TRUE),exact(metadata!C54,"other"))</f>
        <v>0</v>
      </c>
      <c r="R54">
        <f>AND(IF(metadata!D54="",FALSE,TRUE),exact(metadata!D54,"metagenome"))</f>
        <v>0</v>
      </c>
      <c r="S54">
        <f>AND(IF(metadata!E54="",FALSE,TRUE),exact(metadata!E54,"256318"))</f>
        <v>0</v>
      </c>
    </row>
    <row r="55" spans="1:19">
      <c r="A55" s="4">
        <f>IF(B55=" "," ",HYPERLINK(CONCATENATE("#metadata!",ADDRESS(INDEX($K$2:$K$1001,MATCH(ROWS($I$2:I55),$I$2:$I$1001,0),0),1)),INDEX($N$2:$N$1001,MATCH(ROWS($I$2:I55),$I$2:$I$1001,0),0)))</f>
        <v>0</v>
      </c>
      <c r="B55" s="3">
        <f>IF(OR(INDEX($J$2:$J$1001,MATCH(ROWS($I$2:I55),$I$2:$I$1001,0),1)&gt;=100000,INDEX($P$1005:$S$1005,1,MATCH(COLUMNS($P$1006:P1006),$P$1006:$S$1006,0))&gt;=100000), " ",IF(INDEX($P$2:$S$1001,MATCH(ROWS($I$2:I55),$I$2:$I$1001,0),MATCH(COLUMNS($P$1006:P1006),$P$1006:$S$1006,0)), HYPERLINK("#",""), HYPERLINK(CONCATENATE("#metadata!", ADDRESS(INDEX($K$2:$K$1001,MATCH(ROWS($I$2:I55),$I$2:$I$1001,0),0), INDEX($P$1004:$S$1004,1,MATCH(COLUMNS($P$1006:P1006),$P$1006:$S$1006,0)))),"Fix")))</f>
        <v>0</v>
      </c>
      <c r="C55" s="3">
        <f>IF(OR(INDEX($J$2:$J$1001,MATCH(ROWS($I$2:I55),$I$2:$I$1001,0),1)&gt;=100000,INDEX($P$1005:$S$1005,1,MATCH(COLUMNS($P$1006:Q1006),$P$1006:$S$1006,0))&gt;=100000), " ",IF(INDEX($P$2:$S$1001,MATCH(ROWS($I$2:I55),$I$2:$I$1001,0),MATCH(COLUMNS($P$1006:Q1006),$P$1006:$S$1006,0)), HYPERLINK("#",""), HYPERLINK(CONCATENATE("#metadata!", ADDRESS(INDEX($K$2:$K$1001,MATCH(ROWS($I$2:I55),$I$2:$I$1001,0),0), INDEX($P$1004:$S$1004,1,MATCH(COLUMNS($P$1006:Q1006),$P$1006:$S$1006,0)))),"Fix")))</f>
        <v>0</v>
      </c>
      <c r="D55" s="3">
        <f>IF(OR(INDEX($J$2:$J$1001,MATCH(ROWS($I$2:I55),$I$2:$I$1001,0),1)&gt;=100000,INDEX($P$1005:$S$1005,1,MATCH(COLUMNS($P$1006:R1006),$P$1006:$S$1006,0))&gt;=100000), " ",IF(INDEX($P$2:$S$1001,MATCH(ROWS($I$2:I55),$I$2:$I$1001,0),MATCH(COLUMNS($P$1006:R1006),$P$1006:$S$1006,0)), HYPERLINK("#",""), HYPERLINK(CONCATENATE("#metadata!", ADDRESS(INDEX($K$2:$K$1001,MATCH(ROWS($I$2:I55),$I$2:$I$1001,0),0), INDEX($P$1004:$S$1004,1,MATCH(COLUMNS($P$1006:R1006),$P$1006:$S$1006,0)))),"Fix")))</f>
        <v>0</v>
      </c>
      <c r="E55" s="3">
        <f>IF(OR(INDEX($J$2:$J$1001,MATCH(ROWS($I$2:I55),$I$2:$I$1001,0),1)&gt;=100000,INDEX($P$1005:$S$1005,1,MATCH(COLUMNS($P$1006:S1006),$P$1006:$S$1006,0))&gt;=100000), " ",IF(INDEX($P$2:$S$1001,MATCH(ROWS($I$2:I55),$I$2:$I$1001,0),MATCH(COLUMNS($P$1006:S1006),$P$1006:$S$1006,0)), HYPERLINK("#",""), HYPERLINK(CONCATENATE("#metadata!", ADDRESS(INDEX($K$2:$K$1001,MATCH(ROWS($I$2:I55),$I$2:$I$1001,0),0), INDEX($P$1004:$S$1004,1,MATCH(COLUMNS($P$1006:S1006),$P$1006:$S$1006,0)))),"Fix")))</f>
        <v>0</v>
      </c>
      <c r="I55">
        <v>0</v>
      </c>
      <c r="J55">
        <v>0</v>
      </c>
      <c r="K55">
        <v>0</v>
      </c>
      <c r="L55">
        <f>IF(M55,TRUE,AND(P55:S55))</f>
        <v>0</v>
      </c>
      <c r="M55">
        <f>COUNTBLANK(metadata!B55:E55)=COLUMNS(metadata!B55:E55)</f>
        <v>0</v>
      </c>
      <c r="N55">
        <v>0</v>
      </c>
      <c r="P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Q55">
        <f>AND(IF(metadata!C55="",FALSE,TRUE),exact(metadata!C55,"other"))</f>
        <v>0</v>
      </c>
      <c r="R55">
        <f>AND(IF(metadata!D55="",FALSE,TRUE),exact(metadata!D55,"metagenome"))</f>
        <v>0</v>
      </c>
      <c r="S55">
        <f>AND(IF(metadata!E55="",FALSE,TRUE),exact(metadata!E55,"256318"))</f>
        <v>0</v>
      </c>
    </row>
    <row r="56" spans="1:19">
      <c r="A56" s="4">
        <f>IF(B56=" "," ",HYPERLINK(CONCATENATE("#metadata!",ADDRESS(INDEX($K$2:$K$1001,MATCH(ROWS($I$2:I56),$I$2:$I$1001,0),0),1)),INDEX($N$2:$N$1001,MATCH(ROWS($I$2:I56),$I$2:$I$1001,0),0)))</f>
        <v>0</v>
      </c>
      <c r="B56" s="3">
        <f>IF(OR(INDEX($J$2:$J$1001,MATCH(ROWS($I$2:I56),$I$2:$I$1001,0),1)&gt;=100000,INDEX($P$1005:$S$1005,1,MATCH(COLUMNS($P$1006:P1006),$P$1006:$S$1006,0))&gt;=100000), " ",IF(INDEX($P$2:$S$1001,MATCH(ROWS($I$2:I56),$I$2:$I$1001,0),MATCH(COLUMNS($P$1006:P1006),$P$1006:$S$1006,0)), HYPERLINK("#",""), HYPERLINK(CONCATENATE("#metadata!", ADDRESS(INDEX($K$2:$K$1001,MATCH(ROWS($I$2:I56),$I$2:$I$1001,0),0), INDEX($P$1004:$S$1004,1,MATCH(COLUMNS($P$1006:P1006),$P$1006:$S$1006,0)))),"Fix")))</f>
        <v>0</v>
      </c>
      <c r="C56" s="3">
        <f>IF(OR(INDEX($J$2:$J$1001,MATCH(ROWS($I$2:I56),$I$2:$I$1001,0),1)&gt;=100000,INDEX($P$1005:$S$1005,1,MATCH(COLUMNS($P$1006:Q1006),$P$1006:$S$1006,0))&gt;=100000), " ",IF(INDEX($P$2:$S$1001,MATCH(ROWS($I$2:I56),$I$2:$I$1001,0),MATCH(COLUMNS($P$1006:Q1006),$P$1006:$S$1006,0)), HYPERLINK("#",""), HYPERLINK(CONCATENATE("#metadata!", ADDRESS(INDEX($K$2:$K$1001,MATCH(ROWS($I$2:I56),$I$2:$I$1001,0),0), INDEX($P$1004:$S$1004,1,MATCH(COLUMNS($P$1006:Q1006),$P$1006:$S$1006,0)))),"Fix")))</f>
        <v>0</v>
      </c>
      <c r="D56" s="3">
        <f>IF(OR(INDEX($J$2:$J$1001,MATCH(ROWS($I$2:I56),$I$2:$I$1001,0),1)&gt;=100000,INDEX($P$1005:$S$1005,1,MATCH(COLUMNS($P$1006:R1006),$P$1006:$S$1006,0))&gt;=100000), " ",IF(INDEX($P$2:$S$1001,MATCH(ROWS($I$2:I56),$I$2:$I$1001,0),MATCH(COLUMNS($P$1006:R1006),$P$1006:$S$1006,0)), HYPERLINK("#",""), HYPERLINK(CONCATENATE("#metadata!", ADDRESS(INDEX($K$2:$K$1001,MATCH(ROWS($I$2:I56),$I$2:$I$1001,0),0), INDEX($P$1004:$S$1004,1,MATCH(COLUMNS($P$1006:R1006),$P$1006:$S$1006,0)))),"Fix")))</f>
        <v>0</v>
      </c>
      <c r="E56" s="3">
        <f>IF(OR(INDEX($J$2:$J$1001,MATCH(ROWS($I$2:I56),$I$2:$I$1001,0),1)&gt;=100000,INDEX($P$1005:$S$1005,1,MATCH(COLUMNS($P$1006:S1006),$P$1006:$S$1006,0))&gt;=100000), " ",IF(INDEX($P$2:$S$1001,MATCH(ROWS($I$2:I56),$I$2:$I$1001,0),MATCH(COLUMNS($P$1006:S1006),$P$1006:$S$1006,0)), HYPERLINK("#",""), HYPERLINK(CONCATENATE("#metadata!", ADDRESS(INDEX($K$2:$K$1001,MATCH(ROWS($I$2:I56),$I$2:$I$1001,0),0), INDEX($P$1004:$S$1004,1,MATCH(COLUMNS($P$1006:S1006),$P$1006:$S$1006,0)))),"Fix")))</f>
        <v>0</v>
      </c>
      <c r="I56">
        <v>0</v>
      </c>
      <c r="J56">
        <v>0</v>
      </c>
      <c r="K56">
        <v>0</v>
      </c>
      <c r="L56">
        <f>IF(M56,TRUE,AND(P56:S56))</f>
        <v>0</v>
      </c>
      <c r="M56">
        <f>COUNTBLANK(metadata!B56:E56)=COLUMNS(metadata!B56:E56)</f>
        <v>0</v>
      </c>
      <c r="N56">
        <v>0</v>
      </c>
      <c r="P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Q56">
        <f>AND(IF(metadata!C56="",FALSE,TRUE),exact(metadata!C56,"other"))</f>
        <v>0</v>
      </c>
      <c r="R56">
        <f>AND(IF(metadata!D56="",FALSE,TRUE),exact(metadata!D56,"metagenome"))</f>
        <v>0</v>
      </c>
      <c r="S56">
        <f>AND(IF(metadata!E56="",FALSE,TRUE),exact(metadata!E56,"256318"))</f>
        <v>0</v>
      </c>
    </row>
    <row r="57" spans="1:19">
      <c r="A57" s="4">
        <f>IF(B57=" "," ",HYPERLINK(CONCATENATE("#metadata!",ADDRESS(INDEX($K$2:$K$1001,MATCH(ROWS($I$2:I57),$I$2:$I$1001,0),0),1)),INDEX($N$2:$N$1001,MATCH(ROWS($I$2:I57),$I$2:$I$1001,0),0)))</f>
        <v>0</v>
      </c>
      <c r="B57" s="3">
        <f>IF(OR(INDEX($J$2:$J$1001,MATCH(ROWS($I$2:I57),$I$2:$I$1001,0),1)&gt;=100000,INDEX($P$1005:$S$1005,1,MATCH(COLUMNS($P$1006:P1006),$P$1006:$S$1006,0))&gt;=100000), " ",IF(INDEX($P$2:$S$1001,MATCH(ROWS($I$2:I57),$I$2:$I$1001,0),MATCH(COLUMNS($P$1006:P1006),$P$1006:$S$1006,0)), HYPERLINK("#",""), HYPERLINK(CONCATENATE("#metadata!", ADDRESS(INDEX($K$2:$K$1001,MATCH(ROWS($I$2:I57),$I$2:$I$1001,0),0), INDEX($P$1004:$S$1004,1,MATCH(COLUMNS($P$1006:P1006),$P$1006:$S$1006,0)))),"Fix")))</f>
        <v>0</v>
      </c>
      <c r="C57" s="3">
        <f>IF(OR(INDEX($J$2:$J$1001,MATCH(ROWS($I$2:I57),$I$2:$I$1001,0),1)&gt;=100000,INDEX($P$1005:$S$1005,1,MATCH(COLUMNS($P$1006:Q1006),$P$1006:$S$1006,0))&gt;=100000), " ",IF(INDEX($P$2:$S$1001,MATCH(ROWS($I$2:I57),$I$2:$I$1001,0),MATCH(COLUMNS($P$1006:Q1006),$P$1006:$S$1006,0)), HYPERLINK("#",""), HYPERLINK(CONCATENATE("#metadata!", ADDRESS(INDEX($K$2:$K$1001,MATCH(ROWS($I$2:I57),$I$2:$I$1001,0),0), INDEX($P$1004:$S$1004,1,MATCH(COLUMNS($P$1006:Q1006),$P$1006:$S$1006,0)))),"Fix")))</f>
        <v>0</v>
      </c>
      <c r="D57" s="3">
        <f>IF(OR(INDEX($J$2:$J$1001,MATCH(ROWS($I$2:I57),$I$2:$I$1001,0),1)&gt;=100000,INDEX($P$1005:$S$1005,1,MATCH(COLUMNS($P$1006:R1006),$P$1006:$S$1006,0))&gt;=100000), " ",IF(INDEX($P$2:$S$1001,MATCH(ROWS($I$2:I57),$I$2:$I$1001,0),MATCH(COLUMNS($P$1006:R1006),$P$1006:$S$1006,0)), HYPERLINK("#",""), HYPERLINK(CONCATENATE("#metadata!", ADDRESS(INDEX($K$2:$K$1001,MATCH(ROWS($I$2:I57),$I$2:$I$1001,0),0), INDEX($P$1004:$S$1004,1,MATCH(COLUMNS($P$1006:R1006),$P$1006:$S$1006,0)))),"Fix")))</f>
        <v>0</v>
      </c>
      <c r="E57" s="3">
        <f>IF(OR(INDEX($J$2:$J$1001,MATCH(ROWS($I$2:I57),$I$2:$I$1001,0),1)&gt;=100000,INDEX($P$1005:$S$1005,1,MATCH(COLUMNS($P$1006:S1006),$P$1006:$S$1006,0))&gt;=100000), " ",IF(INDEX($P$2:$S$1001,MATCH(ROWS($I$2:I57),$I$2:$I$1001,0),MATCH(COLUMNS($P$1006:S1006),$P$1006:$S$1006,0)), HYPERLINK("#",""), HYPERLINK(CONCATENATE("#metadata!", ADDRESS(INDEX($K$2:$K$1001,MATCH(ROWS($I$2:I57),$I$2:$I$1001,0),0), INDEX($P$1004:$S$1004,1,MATCH(COLUMNS($P$1006:S1006),$P$1006:$S$1006,0)))),"Fix")))</f>
        <v>0</v>
      </c>
      <c r="I57">
        <v>0</v>
      </c>
      <c r="J57">
        <v>0</v>
      </c>
      <c r="K57">
        <v>0</v>
      </c>
      <c r="L57">
        <f>IF(M57,TRUE,AND(P57:S57))</f>
        <v>0</v>
      </c>
      <c r="M57">
        <f>COUNTBLANK(metadata!B57:E57)=COLUMNS(metadata!B57:E57)</f>
        <v>0</v>
      </c>
      <c r="N57">
        <v>0</v>
      </c>
      <c r="P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Q57">
        <f>AND(IF(metadata!C57="",FALSE,TRUE),exact(metadata!C57,"other"))</f>
        <v>0</v>
      </c>
      <c r="R57">
        <f>AND(IF(metadata!D57="",FALSE,TRUE),exact(metadata!D57,"metagenome"))</f>
        <v>0</v>
      </c>
      <c r="S57">
        <f>AND(IF(metadata!E57="",FALSE,TRUE),exact(metadata!E57,"256318"))</f>
        <v>0</v>
      </c>
    </row>
    <row r="58" spans="1:19">
      <c r="A58" s="4">
        <f>IF(B58=" "," ",HYPERLINK(CONCATENATE("#metadata!",ADDRESS(INDEX($K$2:$K$1001,MATCH(ROWS($I$2:I58),$I$2:$I$1001,0),0),1)),INDEX($N$2:$N$1001,MATCH(ROWS($I$2:I58),$I$2:$I$1001,0),0)))</f>
        <v>0</v>
      </c>
      <c r="B58" s="3">
        <f>IF(OR(INDEX($J$2:$J$1001,MATCH(ROWS($I$2:I58),$I$2:$I$1001,0),1)&gt;=100000,INDEX($P$1005:$S$1005,1,MATCH(COLUMNS($P$1006:P1006),$P$1006:$S$1006,0))&gt;=100000), " ",IF(INDEX($P$2:$S$1001,MATCH(ROWS($I$2:I58),$I$2:$I$1001,0),MATCH(COLUMNS($P$1006:P1006),$P$1006:$S$1006,0)), HYPERLINK("#",""), HYPERLINK(CONCATENATE("#metadata!", ADDRESS(INDEX($K$2:$K$1001,MATCH(ROWS($I$2:I58),$I$2:$I$1001,0),0), INDEX($P$1004:$S$1004,1,MATCH(COLUMNS($P$1006:P1006),$P$1006:$S$1006,0)))),"Fix")))</f>
        <v>0</v>
      </c>
      <c r="C58" s="3">
        <f>IF(OR(INDEX($J$2:$J$1001,MATCH(ROWS($I$2:I58),$I$2:$I$1001,0),1)&gt;=100000,INDEX($P$1005:$S$1005,1,MATCH(COLUMNS($P$1006:Q1006),$P$1006:$S$1006,0))&gt;=100000), " ",IF(INDEX($P$2:$S$1001,MATCH(ROWS($I$2:I58),$I$2:$I$1001,0),MATCH(COLUMNS($P$1006:Q1006),$P$1006:$S$1006,0)), HYPERLINK("#",""), HYPERLINK(CONCATENATE("#metadata!", ADDRESS(INDEX($K$2:$K$1001,MATCH(ROWS($I$2:I58),$I$2:$I$1001,0),0), INDEX($P$1004:$S$1004,1,MATCH(COLUMNS($P$1006:Q1006),$P$1006:$S$1006,0)))),"Fix")))</f>
        <v>0</v>
      </c>
      <c r="D58" s="3">
        <f>IF(OR(INDEX($J$2:$J$1001,MATCH(ROWS($I$2:I58),$I$2:$I$1001,0),1)&gt;=100000,INDEX($P$1005:$S$1005,1,MATCH(COLUMNS($P$1006:R1006),$P$1006:$S$1006,0))&gt;=100000), " ",IF(INDEX($P$2:$S$1001,MATCH(ROWS($I$2:I58),$I$2:$I$1001,0),MATCH(COLUMNS($P$1006:R1006),$P$1006:$S$1006,0)), HYPERLINK("#",""), HYPERLINK(CONCATENATE("#metadata!", ADDRESS(INDEX($K$2:$K$1001,MATCH(ROWS($I$2:I58),$I$2:$I$1001,0),0), INDEX($P$1004:$S$1004,1,MATCH(COLUMNS($P$1006:R1006),$P$1006:$S$1006,0)))),"Fix")))</f>
        <v>0</v>
      </c>
      <c r="E58" s="3">
        <f>IF(OR(INDEX($J$2:$J$1001,MATCH(ROWS($I$2:I58),$I$2:$I$1001,0),1)&gt;=100000,INDEX($P$1005:$S$1005,1,MATCH(COLUMNS($P$1006:S1006),$P$1006:$S$1006,0))&gt;=100000), " ",IF(INDEX($P$2:$S$1001,MATCH(ROWS($I$2:I58),$I$2:$I$1001,0),MATCH(COLUMNS($P$1006:S1006),$P$1006:$S$1006,0)), HYPERLINK("#",""), HYPERLINK(CONCATENATE("#metadata!", ADDRESS(INDEX($K$2:$K$1001,MATCH(ROWS($I$2:I58),$I$2:$I$1001,0),0), INDEX($P$1004:$S$1004,1,MATCH(COLUMNS($P$1006:S1006),$P$1006:$S$1006,0)))),"Fix")))</f>
        <v>0</v>
      </c>
      <c r="I58">
        <v>0</v>
      </c>
      <c r="J58">
        <v>0</v>
      </c>
      <c r="K58">
        <v>0</v>
      </c>
      <c r="L58">
        <f>IF(M58,TRUE,AND(P58:S58))</f>
        <v>0</v>
      </c>
      <c r="M58">
        <f>COUNTBLANK(metadata!B58:E58)=COLUMNS(metadata!B58:E58)</f>
        <v>0</v>
      </c>
      <c r="N58">
        <v>0</v>
      </c>
      <c r="P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Q58">
        <f>AND(IF(metadata!C58="",FALSE,TRUE),exact(metadata!C58,"other"))</f>
        <v>0</v>
      </c>
      <c r="R58">
        <f>AND(IF(metadata!D58="",FALSE,TRUE),exact(metadata!D58,"metagenome"))</f>
        <v>0</v>
      </c>
      <c r="S58">
        <f>AND(IF(metadata!E58="",FALSE,TRUE),exact(metadata!E58,"256318"))</f>
        <v>0</v>
      </c>
    </row>
    <row r="59" spans="1:19">
      <c r="A59" s="4">
        <f>IF(B59=" "," ",HYPERLINK(CONCATENATE("#metadata!",ADDRESS(INDEX($K$2:$K$1001,MATCH(ROWS($I$2:I59),$I$2:$I$1001,0),0),1)),INDEX($N$2:$N$1001,MATCH(ROWS($I$2:I59),$I$2:$I$1001,0),0)))</f>
        <v>0</v>
      </c>
      <c r="B59" s="3">
        <f>IF(OR(INDEX($J$2:$J$1001,MATCH(ROWS($I$2:I59),$I$2:$I$1001,0),1)&gt;=100000,INDEX($P$1005:$S$1005,1,MATCH(COLUMNS($P$1006:P1006),$P$1006:$S$1006,0))&gt;=100000), " ",IF(INDEX($P$2:$S$1001,MATCH(ROWS($I$2:I59),$I$2:$I$1001,0),MATCH(COLUMNS($P$1006:P1006),$P$1006:$S$1006,0)), HYPERLINK("#",""), HYPERLINK(CONCATENATE("#metadata!", ADDRESS(INDEX($K$2:$K$1001,MATCH(ROWS($I$2:I59),$I$2:$I$1001,0),0), INDEX($P$1004:$S$1004,1,MATCH(COLUMNS($P$1006:P1006),$P$1006:$S$1006,0)))),"Fix")))</f>
        <v>0</v>
      </c>
      <c r="C59" s="3">
        <f>IF(OR(INDEX($J$2:$J$1001,MATCH(ROWS($I$2:I59),$I$2:$I$1001,0),1)&gt;=100000,INDEX($P$1005:$S$1005,1,MATCH(COLUMNS($P$1006:Q1006),$P$1006:$S$1006,0))&gt;=100000), " ",IF(INDEX($P$2:$S$1001,MATCH(ROWS($I$2:I59),$I$2:$I$1001,0),MATCH(COLUMNS($P$1006:Q1006),$P$1006:$S$1006,0)), HYPERLINK("#",""), HYPERLINK(CONCATENATE("#metadata!", ADDRESS(INDEX($K$2:$K$1001,MATCH(ROWS($I$2:I59),$I$2:$I$1001,0),0), INDEX($P$1004:$S$1004,1,MATCH(COLUMNS($P$1006:Q1006),$P$1006:$S$1006,0)))),"Fix")))</f>
        <v>0</v>
      </c>
      <c r="D59" s="3">
        <f>IF(OR(INDEX($J$2:$J$1001,MATCH(ROWS($I$2:I59),$I$2:$I$1001,0),1)&gt;=100000,INDEX($P$1005:$S$1005,1,MATCH(COLUMNS($P$1006:R1006),$P$1006:$S$1006,0))&gt;=100000), " ",IF(INDEX($P$2:$S$1001,MATCH(ROWS($I$2:I59),$I$2:$I$1001,0),MATCH(COLUMNS($P$1006:R1006),$P$1006:$S$1006,0)), HYPERLINK("#",""), HYPERLINK(CONCATENATE("#metadata!", ADDRESS(INDEX($K$2:$K$1001,MATCH(ROWS($I$2:I59),$I$2:$I$1001,0),0), INDEX($P$1004:$S$1004,1,MATCH(COLUMNS($P$1006:R1006),$P$1006:$S$1006,0)))),"Fix")))</f>
        <v>0</v>
      </c>
      <c r="E59" s="3">
        <f>IF(OR(INDEX($J$2:$J$1001,MATCH(ROWS($I$2:I59),$I$2:$I$1001,0),1)&gt;=100000,INDEX($P$1005:$S$1005,1,MATCH(COLUMNS($P$1006:S1006),$P$1006:$S$1006,0))&gt;=100000), " ",IF(INDEX($P$2:$S$1001,MATCH(ROWS($I$2:I59),$I$2:$I$1001,0),MATCH(COLUMNS($P$1006:S1006),$P$1006:$S$1006,0)), HYPERLINK("#",""), HYPERLINK(CONCATENATE("#metadata!", ADDRESS(INDEX($K$2:$K$1001,MATCH(ROWS($I$2:I59),$I$2:$I$1001,0),0), INDEX($P$1004:$S$1004,1,MATCH(COLUMNS($P$1006:S1006),$P$1006:$S$1006,0)))),"Fix")))</f>
        <v>0</v>
      </c>
      <c r="I59">
        <v>0</v>
      </c>
      <c r="J59">
        <v>0</v>
      </c>
      <c r="K59">
        <v>0</v>
      </c>
      <c r="L59">
        <f>IF(M59,TRUE,AND(P59:S59))</f>
        <v>0</v>
      </c>
      <c r="M59">
        <f>COUNTBLANK(metadata!B59:E59)=COLUMNS(metadata!B59:E59)</f>
        <v>0</v>
      </c>
      <c r="N59">
        <v>0</v>
      </c>
      <c r="P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Q59">
        <f>AND(IF(metadata!C59="",FALSE,TRUE),exact(metadata!C59,"other"))</f>
        <v>0</v>
      </c>
      <c r="R59">
        <f>AND(IF(metadata!D59="",FALSE,TRUE),exact(metadata!D59,"metagenome"))</f>
        <v>0</v>
      </c>
      <c r="S59">
        <f>AND(IF(metadata!E59="",FALSE,TRUE),exact(metadata!E59,"256318"))</f>
        <v>0</v>
      </c>
    </row>
    <row r="60" spans="1:19">
      <c r="A60" s="4">
        <f>IF(B60=" "," ",HYPERLINK(CONCATENATE("#metadata!",ADDRESS(INDEX($K$2:$K$1001,MATCH(ROWS($I$2:I60),$I$2:$I$1001,0),0),1)),INDEX($N$2:$N$1001,MATCH(ROWS($I$2:I60),$I$2:$I$1001,0),0)))</f>
        <v>0</v>
      </c>
      <c r="B60" s="3">
        <f>IF(OR(INDEX($J$2:$J$1001,MATCH(ROWS($I$2:I60),$I$2:$I$1001,0),1)&gt;=100000,INDEX($P$1005:$S$1005,1,MATCH(COLUMNS($P$1006:P1006),$P$1006:$S$1006,0))&gt;=100000), " ",IF(INDEX($P$2:$S$1001,MATCH(ROWS($I$2:I60),$I$2:$I$1001,0),MATCH(COLUMNS($P$1006:P1006),$P$1006:$S$1006,0)), HYPERLINK("#",""), HYPERLINK(CONCATENATE("#metadata!", ADDRESS(INDEX($K$2:$K$1001,MATCH(ROWS($I$2:I60),$I$2:$I$1001,0),0), INDEX($P$1004:$S$1004,1,MATCH(COLUMNS($P$1006:P1006),$P$1006:$S$1006,0)))),"Fix")))</f>
        <v>0</v>
      </c>
      <c r="C60" s="3">
        <f>IF(OR(INDEX($J$2:$J$1001,MATCH(ROWS($I$2:I60),$I$2:$I$1001,0),1)&gt;=100000,INDEX($P$1005:$S$1005,1,MATCH(COLUMNS($P$1006:Q1006),$P$1006:$S$1006,0))&gt;=100000), " ",IF(INDEX($P$2:$S$1001,MATCH(ROWS($I$2:I60),$I$2:$I$1001,0),MATCH(COLUMNS($P$1006:Q1006),$P$1006:$S$1006,0)), HYPERLINK("#",""), HYPERLINK(CONCATENATE("#metadata!", ADDRESS(INDEX($K$2:$K$1001,MATCH(ROWS($I$2:I60),$I$2:$I$1001,0),0), INDEX($P$1004:$S$1004,1,MATCH(COLUMNS($P$1006:Q1006),$P$1006:$S$1006,0)))),"Fix")))</f>
        <v>0</v>
      </c>
      <c r="D60" s="3">
        <f>IF(OR(INDEX($J$2:$J$1001,MATCH(ROWS($I$2:I60),$I$2:$I$1001,0),1)&gt;=100000,INDEX($P$1005:$S$1005,1,MATCH(COLUMNS($P$1006:R1006),$P$1006:$S$1006,0))&gt;=100000), " ",IF(INDEX($P$2:$S$1001,MATCH(ROWS($I$2:I60),$I$2:$I$1001,0),MATCH(COLUMNS($P$1006:R1006),$P$1006:$S$1006,0)), HYPERLINK("#",""), HYPERLINK(CONCATENATE("#metadata!", ADDRESS(INDEX($K$2:$K$1001,MATCH(ROWS($I$2:I60),$I$2:$I$1001,0),0), INDEX($P$1004:$S$1004,1,MATCH(COLUMNS($P$1006:R1006),$P$1006:$S$1006,0)))),"Fix")))</f>
        <v>0</v>
      </c>
      <c r="E60" s="3">
        <f>IF(OR(INDEX($J$2:$J$1001,MATCH(ROWS($I$2:I60),$I$2:$I$1001,0),1)&gt;=100000,INDEX($P$1005:$S$1005,1,MATCH(COLUMNS($P$1006:S1006),$P$1006:$S$1006,0))&gt;=100000), " ",IF(INDEX($P$2:$S$1001,MATCH(ROWS($I$2:I60),$I$2:$I$1001,0),MATCH(COLUMNS($P$1006:S1006),$P$1006:$S$1006,0)), HYPERLINK("#",""), HYPERLINK(CONCATENATE("#metadata!", ADDRESS(INDEX($K$2:$K$1001,MATCH(ROWS($I$2:I60),$I$2:$I$1001,0),0), INDEX($P$1004:$S$1004,1,MATCH(COLUMNS($P$1006:S1006),$P$1006:$S$1006,0)))),"Fix")))</f>
        <v>0</v>
      </c>
      <c r="I60">
        <v>0</v>
      </c>
      <c r="J60">
        <v>0</v>
      </c>
      <c r="K60">
        <v>0</v>
      </c>
      <c r="L60">
        <f>IF(M60,TRUE,AND(P60:S60))</f>
        <v>0</v>
      </c>
      <c r="M60">
        <f>COUNTBLANK(metadata!B60:E60)=COLUMNS(metadata!B60:E60)</f>
        <v>0</v>
      </c>
      <c r="N60">
        <v>0</v>
      </c>
      <c r="P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Q60">
        <f>AND(IF(metadata!C60="",FALSE,TRUE),exact(metadata!C60,"other"))</f>
        <v>0</v>
      </c>
      <c r="R60">
        <f>AND(IF(metadata!D60="",FALSE,TRUE),exact(metadata!D60,"metagenome"))</f>
        <v>0</v>
      </c>
      <c r="S60">
        <f>AND(IF(metadata!E60="",FALSE,TRUE),exact(metadata!E60,"256318"))</f>
        <v>0</v>
      </c>
    </row>
    <row r="61" spans="1:19">
      <c r="A61" s="4">
        <f>IF(B61=" "," ",HYPERLINK(CONCATENATE("#metadata!",ADDRESS(INDEX($K$2:$K$1001,MATCH(ROWS($I$2:I61),$I$2:$I$1001,0),0),1)),INDEX($N$2:$N$1001,MATCH(ROWS($I$2:I61),$I$2:$I$1001,0),0)))</f>
        <v>0</v>
      </c>
      <c r="B61" s="3">
        <f>IF(OR(INDEX($J$2:$J$1001,MATCH(ROWS($I$2:I61),$I$2:$I$1001,0),1)&gt;=100000,INDEX($P$1005:$S$1005,1,MATCH(COLUMNS($P$1006:P1006),$P$1006:$S$1006,0))&gt;=100000), " ",IF(INDEX($P$2:$S$1001,MATCH(ROWS($I$2:I61),$I$2:$I$1001,0),MATCH(COLUMNS($P$1006:P1006),$P$1006:$S$1006,0)), HYPERLINK("#",""), HYPERLINK(CONCATENATE("#metadata!", ADDRESS(INDEX($K$2:$K$1001,MATCH(ROWS($I$2:I61),$I$2:$I$1001,0),0), INDEX($P$1004:$S$1004,1,MATCH(COLUMNS($P$1006:P1006),$P$1006:$S$1006,0)))),"Fix")))</f>
        <v>0</v>
      </c>
      <c r="C61" s="3">
        <f>IF(OR(INDEX($J$2:$J$1001,MATCH(ROWS($I$2:I61),$I$2:$I$1001,0),1)&gt;=100000,INDEX($P$1005:$S$1005,1,MATCH(COLUMNS($P$1006:Q1006),$P$1006:$S$1006,0))&gt;=100000), " ",IF(INDEX($P$2:$S$1001,MATCH(ROWS($I$2:I61),$I$2:$I$1001,0),MATCH(COLUMNS($P$1006:Q1006),$P$1006:$S$1006,0)), HYPERLINK("#",""), HYPERLINK(CONCATENATE("#metadata!", ADDRESS(INDEX($K$2:$K$1001,MATCH(ROWS($I$2:I61),$I$2:$I$1001,0),0), INDEX($P$1004:$S$1004,1,MATCH(COLUMNS($P$1006:Q1006),$P$1006:$S$1006,0)))),"Fix")))</f>
        <v>0</v>
      </c>
      <c r="D61" s="3">
        <f>IF(OR(INDEX($J$2:$J$1001,MATCH(ROWS($I$2:I61),$I$2:$I$1001,0),1)&gt;=100000,INDEX($P$1005:$S$1005,1,MATCH(COLUMNS($P$1006:R1006),$P$1006:$S$1006,0))&gt;=100000), " ",IF(INDEX($P$2:$S$1001,MATCH(ROWS($I$2:I61),$I$2:$I$1001,0),MATCH(COLUMNS($P$1006:R1006),$P$1006:$S$1006,0)), HYPERLINK("#",""), HYPERLINK(CONCATENATE("#metadata!", ADDRESS(INDEX($K$2:$K$1001,MATCH(ROWS($I$2:I61),$I$2:$I$1001,0),0), INDEX($P$1004:$S$1004,1,MATCH(COLUMNS($P$1006:R1006),$P$1006:$S$1006,0)))),"Fix")))</f>
        <v>0</v>
      </c>
      <c r="E61" s="3">
        <f>IF(OR(INDEX($J$2:$J$1001,MATCH(ROWS($I$2:I61),$I$2:$I$1001,0),1)&gt;=100000,INDEX($P$1005:$S$1005,1,MATCH(COLUMNS($P$1006:S1006),$P$1006:$S$1006,0))&gt;=100000), " ",IF(INDEX($P$2:$S$1001,MATCH(ROWS($I$2:I61),$I$2:$I$1001,0),MATCH(COLUMNS($P$1006:S1006),$P$1006:$S$1006,0)), HYPERLINK("#",""), HYPERLINK(CONCATENATE("#metadata!", ADDRESS(INDEX($K$2:$K$1001,MATCH(ROWS($I$2:I61),$I$2:$I$1001,0),0), INDEX($P$1004:$S$1004,1,MATCH(COLUMNS($P$1006:S1006),$P$1006:$S$1006,0)))),"Fix")))</f>
        <v>0</v>
      </c>
      <c r="I61">
        <v>0</v>
      </c>
      <c r="J61">
        <v>0</v>
      </c>
      <c r="K61">
        <v>0</v>
      </c>
      <c r="L61">
        <f>IF(M61,TRUE,AND(P61:S61))</f>
        <v>0</v>
      </c>
      <c r="M61">
        <f>COUNTBLANK(metadata!B61:E61)=COLUMNS(metadata!B61:E61)</f>
        <v>0</v>
      </c>
      <c r="N61">
        <v>0</v>
      </c>
      <c r="P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Q61">
        <f>AND(IF(metadata!C61="",FALSE,TRUE),exact(metadata!C61,"other"))</f>
        <v>0</v>
      </c>
      <c r="R61">
        <f>AND(IF(metadata!D61="",FALSE,TRUE),exact(metadata!D61,"metagenome"))</f>
        <v>0</v>
      </c>
      <c r="S61">
        <f>AND(IF(metadata!E61="",FALSE,TRUE),exact(metadata!E61,"256318"))</f>
        <v>0</v>
      </c>
    </row>
    <row r="62" spans="1:19">
      <c r="A62" s="4">
        <f>IF(B62=" "," ",HYPERLINK(CONCATENATE("#metadata!",ADDRESS(INDEX($K$2:$K$1001,MATCH(ROWS($I$2:I62),$I$2:$I$1001,0),0),1)),INDEX($N$2:$N$1001,MATCH(ROWS($I$2:I62),$I$2:$I$1001,0),0)))</f>
        <v>0</v>
      </c>
      <c r="B62" s="3">
        <f>IF(OR(INDEX($J$2:$J$1001,MATCH(ROWS($I$2:I62),$I$2:$I$1001,0),1)&gt;=100000,INDEX($P$1005:$S$1005,1,MATCH(COLUMNS($P$1006:P1006),$P$1006:$S$1006,0))&gt;=100000), " ",IF(INDEX($P$2:$S$1001,MATCH(ROWS($I$2:I62),$I$2:$I$1001,0),MATCH(COLUMNS($P$1006:P1006),$P$1006:$S$1006,0)), HYPERLINK("#",""), HYPERLINK(CONCATENATE("#metadata!", ADDRESS(INDEX($K$2:$K$1001,MATCH(ROWS($I$2:I62),$I$2:$I$1001,0),0), INDEX($P$1004:$S$1004,1,MATCH(COLUMNS($P$1006:P1006),$P$1006:$S$1006,0)))),"Fix")))</f>
        <v>0</v>
      </c>
      <c r="C62" s="3">
        <f>IF(OR(INDEX($J$2:$J$1001,MATCH(ROWS($I$2:I62),$I$2:$I$1001,0),1)&gt;=100000,INDEX($P$1005:$S$1005,1,MATCH(COLUMNS($P$1006:Q1006),$P$1006:$S$1006,0))&gt;=100000), " ",IF(INDEX($P$2:$S$1001,MATCH(ROWS($I$2:I62),$I$2:$I$1001,0),MATCH(COLUMNS($P$1006:Q1006),$P$1006:$S$1006,0)), HYPERLINK("#",""), HYPERLINK(CONCATENATE("#metadata!", ADDRESS(INDEX($K$2:$K$1001,MATCH(ROWS($I$2:I62),$I$2:$I$1001,0),0), INDEX($P$1004:$S$1004,1,MATCH(COLUMNS($P$1006:Q1006),$P$1006:$S$1006,0)))),"Fix")))</f>
        <v>0</v>
      </c>
      <c r="D62" s="3">
        <f>IF(OR(INDEX($J$2:$J$1001,MATCH(ROWS($I$2:I62),$I$2:$I$1001,0),1)&gt;=100000,INDEX($P$1005:$S$1005,1,MATCH(COLUMNS($P$1006:R1006),$P$1006:$S$1006,0))&gt;=100000), " ",IF(INDEX($P$2:$S$1001,MATCH(ROWS($I$2:I62),$I$2:$I$1001,0),MATCH(COLUMNS($P$1006:R1006),$P$1006:$S$1006,0)), HYPERLINK("#",""), HYPERLINK(CONCATENATE("#metadata!", ADDRESS(INDEX($K$2:$K$1001,MATCH(ROWS($I$2:I62),$I$2:$I$1001,0),0), INDEX($P$1004:$S$1004,1,MATCH(COLUMNS($P$1006:R1006),$P$1006:$S$1006,0)))),"Fix")))</f>
        <v>0</v>
      </c>
      <c r="E62" s="3">
        <f>IF(OR(INDEX($J$2:$J$1001,MATCH(ROWS($I$2:I62),$I$2:$I$1001,0),1)&gt;=100000,INDEX($P$1005:$S$1005,1,MATCH(COLUMNS($P$1006:S1006),$P$1006:$S$1006,0))&gt;=100000), " ",IF(INDEX($P$2:$S$1001,MATCH(ROWS($I$2:I62),$I$2:$I$1001,0),MATCH(COLUMNS($P$1006:S1006),$P$1006:$S$1006,0)), HYPERLINK("#",""), HYPERLINK(CONCATENATE("#metadata!", ADDRESS(INDEX($K$2:$K$1001,MATCH(ROWS($I$2:I62),$I$2:$I$1001,0),0), INDEX($P$1004:$S$1004,1,MATCH(COLUMNS($P$1006:S1006),$P$1006:$S$1006,0)))),"Fix")))</f>
        <v>0</v>
      </c>
      <c r="I62">
        <v>0</v>
      </c>
      <c r="J62">
        <v>0</v>
      </c>
      <c r="K62">
        <v>0</v>
      </c>
      <c r="L62">
        <f>IF(M62,TRUE,AND(P62:S62))</f>
        <v>0</v>
      </c>
      <c r="M62">
        <f>COUNTBLANK(metadata!B62:E62)=COLUMNS(metadata!B62:E62)</f>
        <v>0</v>
      </c>
      <c r="N62">
        <v>0</v>
      </c>
      <c r="P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Q62">
        <f>AND(IF(metadata!C62="",FALSE,TRUE),exact(metadata!C62,"other"))</f>
        <v>0</v>
      </c>
      <c r="R62">
        <f>AND(IF(metadata!D62="",FALSE,TRUE),exact(metadata!D62,"metagenome"))</f>
        <v>0</v>
      </c>
      <c r="S62">
        <f>AND(IF(metadata!E62="",FALSE,TRUE),exact(metadata!E62,"256318"))</f>
        <v>0</v>
      </c>
    </row>
    <row r="63" spans="1:19">
      <c r="A63" s="4">
        <f>IF(B63=" "," ",HYPERLINK(CONCATENATE("#metadata!",ADDRESS(INDEX($K$2:$K$1001,MATCH(ROWS($I$2:I63),$I$2:$I$1001,0),0),1)),INDEX($N$2:$N$1001,MATCH(ROWS($I$2:I63),$I$2:$I$1001,0),0)))</f>
        <v>0</v>
      </c>
      <c r="B63" s="3">
        <f>IF(OR(INDEX($J$2:$J$1001,MATCH(ROWS($I$2:I63),$I$2:$I$1001,0),1)&gt;=100000,INDEX($P$1005:$S$1005,1,MATCH(COLUMNS($P$1006:P1006),$P$1006:$S$1006,0))&gt;=100000), " ",IF(INDEX($P$2:$S$1001,MATCH(ROWS($I$2:I63),$I$2:$I$1001,0),MATCH(COLUMNS($P$1006:P1006),$P$1006:$S$1006,0)), HYPERLINK("#",""), HYPERLINK(CONCATENATE("#metadata!", ADDRESS(INDEX($K$2:$K$1001,MATCH(ROWS($I$2:I63),$I$2:$I$1001,0),0), INDEX($P$1004:$S$1004,1,MATCH(COLUMNS($P$1006:P1006),$P$1006:$S$1006,0)))),"Fix")))</f>
        <v>0</v>
      </c>
      <c r="C63" s="3">
        <f>IF(OR(INDEX($J$2:$J$1001,MATCH(ROWS($I$2:I63),$I$2:$I$1001,0),1)&gt;=100000,INDEX($P$1005:$S$1005,1,MATCH(COLUMNS($P$1006:Q1006),$P$1006:$S$1006,0))&gt;=100000), " ",IF(INDEX($P$2:$S$1001,MATCH(ROWS($I$2:I63),$I$2:$I$1001,0),MATCH(COLUMNS($P$1006:Q1006),$P$1006:$S$1006,0)), HYPERLINK("#",""), HYPERLINK(CONCATENATE("#metadata!", ADDRESS(INDEX($K$2:$K$1001,MATCH(ROWS($I$2:I63),$I$2:$I$1001,0),0), INDEX($P$1004:$S$1004,1,MATCH(COLUMNS($P$1006:Q1006),$P$1006:$S$1006,0)))),"Fix")))</f>
        <v>0</v>
      </c>
      <c r="D63" s="3">
        <f>IF(OR(INDEX($J$2:$J$1001,MATCH(ROWS($I$2:I63),$I$2:$I$1001,0),1)&gt;=100000,INDEX($P$1005:$S$1005,1,MATCH(COLUMNS($P$1006:R1006),$P$1006:$S$1006,0))&gt;=100000), " ",IF(INDEX($P$2:$S$1001,MATCH(ROWS($I$2:I63),$I$2:$I$1001,0),MATCH(COLUMNS($P$1006:R1006),$P$1006:$S$1006,0)), HYPERLINK("#",""), HYPERLINK(CONCATENATE("#metadata!", ADDRESS(INDEX($K$2:$K$1001,MATCH(ROWS($I$2:I63),$I$2:$I$1001,0),0), INDEX($P$1004:$S$1004,1,MATCH(COLUMNS($P$1006:R1006),$P$1006:$S$1006,0)))),"Fix")))</f>
        <v>0</v>
      </c>
      <c r="E63" s="3">
        <f>IF(OR(INDEX($J$2:$J$1001,MATCH(ROWS($I$2:I63),$I$2:$I$1001,0),1)&gt;=100000,INDEX($P$1005:$S$1005,1,MATCH(COLUMNS($P$1006:S1006),$P$1006:$S$1006,0))&gt;=100000), " ",IF(INDEX($P$2:$S$1001,MATCH(ROWS($I$2:I63),$I$2:$I$1001,0),MATCH(COLUMNS($P$1006:S1006),$P$1006:$S$1006,0)), HYPERLINK("#",""), HYPERLINK(CONCATENATE("#metadata!", ADDRESS(INDEX($K$2:$K$1001,MATCH(ROWS($I$2:I63),$I$2:$I$1001,0),0), INDEX($P$1004:$S$1004,1,MATCH(COLUMNS($P$1006:S1006),$P$1006:$S$1006,0)))),"Fix")))</f>
        <v>0</v>
      </c>
      <c r="I63">
        <v>0</v>
      </c>
      <c r="J63">
        <v>0</v>
      </c>
      <c r="K63">
        <v>0</v>
      </c>
      <c r="L63">
        <f>IF(M63,TRUE,AND(P63:S63))</f>
        <v>0</v>
      </c>
      <c r="M63">
        <f>COUNTBLANK(metadata!B63:E63)=COLUMNS(metadata!B63:E63)</f>
        <v>0</v>
      </c>
      <c r="N63">
        <v>0</v>
      </c>
      <c r="P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Q63">
        <f>AND(IF(metadata!C63="",FALSE,TRUE),exact(metadata!C63,"other"))</f>
        <v>0</v>
      </c>
      <c r="R63">
        <f>AND(IF(metadata!D63="",FALSE,TRUE),exact(metadata!D63,"metagenome"))</f>
        <v>0</v>
      </c>
      <c r="S63">
        <f>AND(IF(metadata!E63="",FALSE,TRUE),exact(metadata!E63,"256318"))</f>
        <v>0</v>
      </c>
    </row>
    <row r="64" spans="1:19">
      <c r="A64" s="4">
        <f>IF(B64=" "," ",HYPERLINK(CONCATENATE("#metadata!",ADDRESS(INDEX($K$2:$K$1001,MATCH(ROWS($I$2:I64),$I$2:$I$1001,0),0),1)),INDEX($N$2:$N$1001,MATCH(ROWS($I$2:I64),$I$2:$I$1001,0),0)))</f>
        <v>0</v>
      </c>
      <c r="B64" s="3">
        <f>IF(OR(INDEX($J$2:$J$1001,MATCH(ROWS($I$2:I64),$I$2:$I$1001,0),1)&gt;=100000,INDEX($P$1005:$S$1005,1,MATCH(COLUMNS($P$1006:P1006),$P$1006:$S$1006,0))&gt;=100000), " ",IF(INDEX($P$2:$S$1001,MATCH(ROWS($I$2:I64),$I$2:$I$1001,0),MATCH(COLUMNS($P$1006:P1006),$P$1006:$S$1006,0)), HYPERLINK("#",""), HYPERLINK(CONCATENATE("#metadata!", ADDRESS(INDEX($K$2:$K$1001,MATCH(ROWS($I$2:I64),$I$2:$I$1001,0),0), INDEX($P$1004:$S$1004,1,MATCH(COLUMNS($P$1006:P1006),$P$1006:$S$1006,0)))),"Fix")))</f>
        <v>0</v>
      </c>
      <c r="C64" s="3">
        <f>IF(OR(INDEX($J$2:$J$1001,MATCH(ROWS($I$2:I64),$I$2:$I$1001,0),1)&gt;=100000,INDEX($P$1005:$S$1005,1,MATCH(COLUMNS($P$1006:Q1006),$P$1006:$S$1006,0))&gt;=100000), " ",IF(INDEX($P$2:$S$1001,MATCH(ROWS($I$2:I64),$I$2:$I$1001,0),MATCH(COLUMNS($P$1006:Q1006),$P$1006:$S$1006,0)), HYPERLINK("#",""), HYPERLINK(CONCATENATE("#metadata!", ADDRESS(INDEX($K$2:$K$1001,MATCH(ROWS($I$2:I64),$I$2:$I$1001,0),0), INDEX($P$1004:$S$1004,1,MATCH(COLUMNS($P$1006:Q1006),$P$1006:$S$1006,0)))),"Fix")))</f>
        <v>0</v>
      </c>
      <c r="D64" s="3">
        <f>IF(OR(INDEX($J$2:$J$1001,MATCH(ROWS($I$2:I64),$I$2:$I$1001,0),1)&gt;=100000,INDEX($P$1005:$S$1005,1,MATCH(COLUMNS($P$1006:R1006),$P$1006:$S$1006,0))&gt;=100000), " ",IF(INDEX($P$2:$S$1001,MATCH(ROWS($I$2:I64),$I$2:$I$1001,0),MATCH(COLUMNS($P$1006:R1006),$P$1006:$S$1006,0)), HYPERLINK("#",""), HYPERLINK(CONCATENATE("#metadata!", ADDRESS(INDEX($K$2:$K$1001,MATCH(ROWS($I$2:I64),$I$2:$I$1001,0),0), INDEX($P$1004:$S$1004,1,MATCH(COLUMNS($P$1006:R1006),$P$1006:$S$1006,0)))),"Fix")))</f>
        <v>0</v>
      </c>
      <c r="E64" s="3">
        <f>IF(OR(INDEX($J$2:$J$1001,MATCH(ROWS($I$2:I64),$I$2:$I$1001,0),1)&gt;=100000,INDEX($P$1005:$S$1005,1,MATCH(COLUMNS($P$1006:S1006),$P$1006:$S$1006,0))&gt;=100000), " ",IF(INDEX($P$2:$S$1001,MATCH(ROWS($I$2:I64),$I$2:$I$1001,0),MATCH(COLUMNS($P$1006:S1006),$P$1006:$S$1006,0)), HYPERLINK("#",""), HYPERLINK(CONCATENATE("#metadata!", ADDRESS(INDEX($K$2:$K$1001,MATCH(ROWS($I$2:I64),$I$2:$I$1001,0),0), INDEX($P$1004:$S$1004,1,MATCH(COLUMNS($P$1006:S1006),$P$1006:$S$1006,0)))),"Fix")))</f>
        <v>0</v>
      </c>
      <c r="I64">
        <v>0</v>
      </c>
      <c r="J64">
        <v>0</v>
      </c>
      <c r="K64">
        <v>0</v>
      </c>
      <c r="L64">
        <f>IF(M64,TRUE,AND(P64:S64))</f>
        <v>0</v>
      </c>
      <c r="M64">
        <f>COUNTBLANK(metadata!B64:E64)=COLUMNS(metadata!B64:E64)</f>
        <v>0</v>
      </c>
      <c r="N64">
        <v>0</v>
      </c>
      <c r="P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Q64">
        <f>AND(IF(metadata!C64="",FALSE,TRUE),exact(metadata!C64,"other"))</f>
        <v>0</v>
      </c>
      <c r="R64">
        <f>AND(IF(metadata!D64="",FALSE,TRUE),exact(metadata!D64,"metagenome"))</f>
        <v>0</v>
      </c>
      <c r="S64">
        <f>AND(IF(metadata!E64="",FALSE,TRUE),exact(metadata!E64,"256318"))</f>
        <v>0</v>
      </c>
    </row>
    <row r="65" spans="1:19">
      <c r="A65" s="4">
        <f>IF(B65=" "," ",HYPERLINK(CONCATENATE("#metadata!",ADDRESS(INDEX($K$2:$K$1001,MATCH(ROWS($I$2:I65),$I$2:$I$1001,0),0),1)),INDEX($N$2:$N$1001,MATCH(ROWS($I$2:I65),$I$2:$I$1001,0),0)))</f>
        <v>0</v>
      </c>
      <c r="B65" s="3">
        <f>IF(OR(INDEX($J$2:$J$1001,MATCH(ROWS($I$2:I65),$I$2:$I$1001,0),1)&gt;=100000,INDEX($P$1005:$S$1005,1,MATCH(COLUMNS($P$1006:P1006),$P$1006:$S$1006,0))&gt;=100000), " ",IF(INDEX($P$2:$S$1001,MATCH(ROWS($I$2:I65),$I$2:$I$1001,0),MATCH(COLUMNS($P$1006:P1006),$P$1006:$S$1006,0)), HYPERLINK("#",""), HYPERLINK(CONCATENATE("#metadata!", ADDRESS(INDEX($K$2:$K$1001,MATCH(ROWS($I$2:I65),$I$2:$I$1001,0),0), INDEX($P$1004:$S$1004,1,MATCH(COLUMNS($P$1006:P1006),$P$1006:$S$1006,0)))),"Fix")))</f>
        <v>0</v>
      </c>
      <c r="C65" s="3">
        <f>IF(OR(INDEX($J$2:$J$1001,MATCH(ROWS($I$2:I65),$I$2:$I$1001,0),1)&gt;=100000,INDEX($P$1005:$S$1005,1,MATCH(COLUMNS($P$1006:Q1006),$P$1006:$S$1006,0))&gt;=100000), " ",IF(INDEX($P$2:$S$1001,MATCH(ROWS($I$2:I65),$I$2:$I$1001,0),MATCH(COLUMNS($P$1006:Q1006),$P$1006:$S$1006,0)), HYPERLINK("#",""), HYPERLINK(CONCATENATE("#metadata!", ADDRESS(INDEX($K$2:$K$1001,MATCH(ROWS($I$2:I65),$I$2:$I$1001,0),0), INDEX($P$1004:$S$1004,1,MATCH(COLUMNS($P$1006:Q1006),$P$1006:$S$1006,0)))),"Fix")))</f>
        <v>0</v>
      </c>
      <c r="D65" s="3">
        <f>IF(OR(INDEX($J$2:$J$1001,MATCH(ROWS($I$2:I65),$I$2:$I$1001,0),1)&gt;=100000,INDEX($P$1005:$S$1005,1,MATCH(COLUMNS($P$1006:R1006),$P$1006:$S$1006,0))&gt;=100000), " ",IF(INDEX($P$2:$S$1001,MATCH(ROWS($I$2:I65),$I$2:$I$1001,0),MATCH(COLUMNS($P$1006:R1006),$P$1006:$S$1006,0)), HYPERLINK("#",""), HYPERLINK(CONCATENATE("#metadata!", ADDRESS(INDEX($K$2:$K$1001,MATCH(ROWS($I$2:I65),$I$2:$I$1001,0),0), INDEX($P$1004:$S$1004,1,MATCH(COLUMNS($P$1006:R1006),$P$1006:$S$1006,0)))),"Fix")))</f>
        <v>0</v>
      </c>
      <c r="E65" s="3">
        <f>IF(OR(INDEX($J$2:$J$1001,MATCH(ROWS($I$2:I65),$I$2:$I$1001,0),1)&gt;=100000,INDEX($P$1005:$S$1005,1,MATCH(COLUMNS($P$1006:S1006),$P$1006:$S$1006,0))&gt;=100000), " ",IF(INDEX($P$2:$S$1001,MATCH(ROWS($I$2:I65),$I$2:$I$1001,0),MATCH(COLUMNS($P$1006:S1006),$P$1006:$S$1006,0)), HYPERLINK("#",""), HYPERLINK(CONCATENATE("#metadata!", ADDRESS(INDEX($K$2:$K$1001,MATCH(ROWS($I$2:I65),$I$2:$I$1001,0),0), INDEX($P$1004:$S$1004,1,MATCH(COLUMNS($P$1006:S1006),$P$1006:$S$1006,0)))),"Fix")))</f>
        <v>0</v>
      </c>
      <c r="I65">
        <v>0</v>
      </c>
      <c r="J65">
        <v>0</v>
      </c>
      <c r="K65">
        <v>0</v>
      </c>
      <c r="L65">
        <f>IF(M65,TRUE,AND(P65:S65))</f>
        <v>0</v>
      </c>
      <c r="M65">
        <f>COUNTBLANK(metadata!B65:E65)=COLUMNS(metadata!B65:E65)</f>
        <v>0</v>
      </c>
      <c r="N65">
        <v>0</v>
      </c>
      <c r="P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Q65">
        <f>AND(IF(metadata!C65="",FALSE,TRUE),exact(metadata!C65,"other"))</f>
        <v>0</v>
      </c>
      <c r="R65">
        <f>AND(IF(metadata!D65="",FALSE,TRUE),exact(metadata!D65,"metagenome"))</f>
        <v>0</v>
      </c>
      <c r="S65">
        <f>AND(IF(metadata!E65="",FALSE,TRUE),exact(metadata!E65,"256318"))</f>
        <v>0</v>
      </c>
    </row>
    <row r="66" spans="1:19">
      <c r="A66" s="4">
        <f>IF(B66=" "," ",HYPERLINK(CONCATENATE("#metadata!",ADDRESS(INDEX($K$2:$K$1001,MATCH(ROWS($I$2:I66),$I$2:$I$1001,0),0),1)),INDEX($N$2:$N$1001,MATCH(ROWS($I$2:I66),$I$2:$I$1001,0),0)))</f>
        <v>0</v>
      </c>
      <c r="B66" s="3">
        <f>IF(OR(INDEX($J$2:$J$1001,MATCH(ROWS($I$2:I66),$I$2:$I$1001,0),1)&gt;=100000,INDEX($P$1005:$S$1005,1,MATCH(COLUMNS($P$1006:P1006),$P$1006:$S$1006,0))&gt;=100000), " ",IF(INDEX($P$2:$S$1001,MATCH(ROWS($I$2:I66),$I$2:$I$1001,0),MATCH(COLUMNS($P$1006:P1006),$P$1006:$S$1006,0)), HYPERLINK("#",""), HYPERLINK(CONCATENATE("#metadata!", ADDRESS(INDEX($K$2:$K$1001,MATCH(ROWS($I$2:I66),$I$2:$I$1001,0),0), INDEX($P$1004:$S$1004,1,MATCH(COLUMNS($P$1006:P1006),$P$1006:$S$1006,0)))),"Fix")))</f>
        <v>0</v>
      </c>
      <c r="C66" s="3">
        <f>IF(OR(INDEX($J$2:$J$1001,MATCH(ROWS($I$2:I66),$I$2:$I$1001,0),1)&gt;=100000,INDEX($P$1005:$S$1005,1,MATCH(COLUMNS($P$1006:Q1006),$P$1006:$S$1006,0))&gt;=100000), " ",IF(INDEX($P$2:$S$1001,MATCH(ROWS($I$2:I66),$I$2:$I$1001,0),MATCH(COLUMNS($P$1006:Q1006),$P$1006:$S$1006,0)), HYPERLINK("#",""), HYPERLINK(CONCATENATE("#metadata!", ADDRESS(INDEX($K$2:$K$1001,MATCH(ROWS($I$2:I66),$I$2:$I$1001,0),0), INDEX($P$1004:$S$1004,1,MATCH(COLUMNS($P$1006:Q1006),$P$1006:$S$1006,0)))),"Fix")))</f>
        <v>0</v>
      </c>
      <c r="D66" s="3">
        <f>IF(OR(INDEX($J$2:$J$1001,MATCH(ROWS($I$2:I66),$I$2:$I$1001,0),1)&gt;=100000,INDEX($P$1005:$S$1005,1,MATCH(COLUMNS($P$1006:R1006),$P$1006:$S$1006,0))&gt;=100000), " ",IF(INDEX($P$2:$S$1001,MATCH(ROWS($I$2:I66),$I$2:$I$1001,0),MATCH(COLUMNS($P$1006:R1006),$P$1006:$S$1006,0)), HYPERLINK("#",""), HYPERLINK(CONCATENATE("#metadata!", ADDRESS(INDEX($K$2:$K$1001,MATCH(ROWS($I$2:I66),$I$2:$I$1001,0),0), INDEX($P$1004:$S$1004,1,MATCH(COLUMNS($P$1006:R1006),$P$1006:$S$1006,0)))),"Fix")))</f>
        <v>0</v>
      </c>
      <c r="E66" s="3">
        <f>IF(OR(INDEX($J$2:$J$1001,MATCH(ROWS($I$2:I66),$I$2:$I$1001,0),1)&gt;=100000,INDEX($P$1005:$S$1005,1,MATCH(COLUMNS($P$1006:S1006),$P$1006:$S$1006,0))&gt;=100000), " ",IF(INDEX($P$2:$S$1001,MATCH(ROWS($I$2:I66),$I$2:$I$1001,0),MATCH(COLUMNS($P$1006:S1006),$P$1006:$S$1006,0)), HYPERLINK("#",""), HYPERLINK(CONCATENATE("#metadata!", ADDRESS(INDEX($K$2:$K$1001,MATCH(ROWS($I$2:I66),$I$2:$I$1001,0),0), INDEX($P$1004:$S$1004,1,MATCH(COLUMNS($P$1006:S1006),$P$1006:$S$1006,0)))),"Fix")))</f>
        <v>0</v>
      </c>
      <c r="I66">
        <v>0</v>
      </c>
      <c r="J66">
        <v>0</v>
      </c>
      <c r="K66">
        <v>0</v>
      </c>
      <c r="L66">
        <f>IF(M66,TRUE,AND(P66:S66))</f>
        <v>0</v>
      </c>
      <c r="M66">
        <f>COUNTBLANK(metadata!B66:E66)=COLUMNS(metadata!B66:E66)</f>
        <v>0</v>
      </c>
      <c r="N66">
        <v>0</v>
      </c>
      <c r="P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Q66">
        <f>AND(IF(metadata!C66="",FALSE,TRUE),exact(metadata!C66,"other"))</f>
        <v>0</v>
      </c>
      <c r="R66">
        <f>AND(IF(metadata!D66="",FALSE,TRUE),exact(metadata!D66,"metagenome"))</f>
        <v>0</v>
      </c>
      <c r="S66">
        <f>AND(IF(metadata!E66="",FALSE,TRUE),exact(metadata!E66,"256318"))</f>
        <v>0</v>
      </c>
    </row>
    <row r="67" spans="1:19">
      <c r="A67" s="4">
        <f>IF(B67=" "," ",HYPERLINK(CONCATENATE("#metadata!",ADDRESS(INDEX($K$2:$K$1001,MATCH(ROWS($I$2:I67),$I$2:$I$1001,0),0),1)),INDEX($N$2:$N$1001,MATCH(ROWS($I$2:I67),$I$2:$I$1001,0),0)))</f>
        <v>0</v>
      </c>
      <c r="B67" s="3">
        <f>IF(OR(INDEX($J$2:$J$1001,MATCH(ROWS($I$2:I67),$I$2:$I$1001,0),1)&gt;=100000,INDEX($P$1005:$S$1005,1,MATCH(COLUMNS($P$1006:P1006),$P$1006:$S$1006,0))&gt;=100000), " ",IF(INDEX($P$2:$S$1001,MATCH(ROWS($I$2:I67),$I$2:$I$1001,0),MATCH(COLUMNS($P$1006:P1006),$P$1006:$S$1006,0)), HYPERLINK("#",""), HYPERLINK(CONCATENATE("#metadata!", ADDRESS(INDEX($K$2:$K$1001,MATCH(ROWS($I$2:I67),$I$2:$I$1001,0),0), INDEX($P$1004:$S$1004,1,MATCH(COLUMNS($P$1006:P1006),$P$1006:$S$1006,0)))),"Fix")))</f>
        <v>0</v>
      </c>
      <c r="C67" s="3">
        <f>IF(OR(INDEX($J$2:$J$1001,MATCH(ROWS($I$2:I67),$I$2:$I$1001,0),1)&gt;=100000,INDEX($P$1005:$S$1005,1,MATCH(COLUMNS($P$1006:Q1006),$P$1006:$S$1006,0))&gt;=100000), " ",IF(INDEX($P$2:$S$1001,MATCH(ROWS($I$2:I67),$I$2:$I$1001,0),MATCH(COLUMNS($P$1006:Q1006),$P$1006:$S$1006,0)), HYPERLINK("#",""), HYPERLINK(CONCATENATE("#metadata!", ADDRESS(INDEX($K$2:$K$1001,MATCH(ROWS($I$2:I67),$I$2:$I$1001,0),0), INDEX($P$1004:$S$1004,1,MATCH(COLUMNS($P$1006:Q1006),$P$1006:$S$1006,0)))),"Fix")))</f>
        <v>0</v>
      </c>
      <c r="D67" s="3">
        <f>IF(OR(INDEX($J$2:$J$1001,MATCH(ROWS($I$2:I67),$I$2:$I$1001,0),1)&gt;=100000,INDEX($P$1005:$S$1005,1,MATCH(COLUMNS($P$1006:R1006),$P$1006:$S$1006,0))&gt;=100000), " ",IF(INDEX($P$2:$S$1001,MATCH(ROWS($I$2:I67),$I$2:$I$1001,0),MATCH(COLUMNS($P$1006:R1006),$P$1006:$S$1006,0)), HYPERLINK("#",""), HYPERLINK(CONCATENATE("#metadata!", ADDRESS(INDEX($K$2:$K$1001,MATCH(ROWS($I$2:I67),$I$2:$I$1001,0),0), INDEX($P$1004:$S$1004,1,MATCH(COLUMNS($P$1006:R1006),$P$1006:$S$1006,0)))),"Fix")))</f>
        <v>0</v>
      </c>
      <c r="E67" s="3">
        <f>IF(OR(INDEX($J$2:$J$1001,MATCH(ROWS($I$2:I67),$I$2:$I$1001,0),1)&gt;=100000,INDEX($P$1005:$S$1005,1,MATCH(COLUMNS($P$1006:S1006),$P$1006:$S$1006,0))&gt;=100000), " ",IF(INDEX($P$2:$S$1001,MATCH(ROWS($I$2:I67),$I$2:$I$1001,0),MATCH(COLUMNS($P$1006:S1006),$P$1006:$S$1006,0)), HYPERLINK("#",""), HYPERLINK(CONCATENATE("#metadata!", ADDRESS(INDEX($K$2:$K$1001,MATCH(ROWS($I$2:I67),$I$2:$I$1001,0),0), INDEX($P$1004:$S$1004,1,MATCH(COLUMNS($P$1006:S1006),$P$1006:$S$1006,0)))),"Fix")))</f>
        <v>0</v>
      </c>
      <c r="I67">
        <v>0</v>
      </c>
      <c r="J67">
        <v>0</v>
      </c>
      <c r="K67">
        <v>0</v>
      </c>
      <c r="L67">
        <f>IF(M67,TRUE,AND(P67:S67))</f>
        <v>0</v>
      </c>
      <c r="M67">
        <f>COUNTBLANK(metadata!B67:E67)=COLUMNS(metadata!B67:E67)</f>
        <v>0</v>
      </c>
      <c r="N67">
        <v>0</v>
      </c>
      <c r="P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Q67">
        <f>AND(IF(metadata!C67="",FALSE,TRUE),exact(metadata!C67,"other"))</f>
        <v>0</v>
      </c>
      <c r="R67">
        <f>AND(IF(metadata!D67="",FALSE,TRUE),exact(metadata!D67,"metagenome"))</f>
        <v>0</v>
      </c>
      <c r="S67">
        <f>AND(IF(metadata!E67="",FALSE,TRUE),exact(metadata!E67,"256318"))</f>
        <v>0</v>
      </c>
    </row>
    <row r="68" spans="1:19">
      <c r="A68" s="4">
        <f>IF(B68=" "," ",HYPERLINK(CONCATENATE("#metadata!",ADDRESS(INDEX($K$2:$K$1001,MATCH(ROWS($I$2:I68),$I$2:$I$1001,0),0),1)),INDEX($N$2:$N$1001,MATCH(ROWS($I$2:I68),$I$2:$I$1001,0),0)))</f>
        <v>0</v>
      </c>
      <c r="B68" s="3">
        <f>IF(OR(INDEX($J$2:$J$1001,MATCH(ROWS($I$2:I68),$I$2:$I$1001,0),1)&gt;=100000,INDEX($P$1005:$S$1005,1,MATCH(COLUMNS($P$1006:P1006),$P$1006:$S$1006,0))&gt;=100000), " ",IF(INDEX($P$2:$S$1001,MATCH(ROWS($I$2:I68),$I$2:$I$1001,0),MATCH(COLUMNS($P$1006:P1006),$P$1006:$S$1006,0)), HYPERLINK("#",""), HYPERLINK(CONCATENATE("#metadata!", ADDRESS(INDEX($K$2:$K$1001,MATCH(ROWS($I$2:I68),$I$2:$I$1001,0),0), INDEX($P$1004:$S$1004,1,MATCH(COLUMNS($P$1006:P1006),$P$1006:$S$1006,0)))),"Fix")))</f>
        <v>0</v>
      </c>
      <c r="C68" s="3">
        <f>IF(OR(INDEX($J$2:$J$1001,MATCH(ROWS($I$2:I68),$I$2:$I$1001,0),1)&gt;=100000,INDEX($P$1005:$S$1005,1,MATCH(COLUMNS($P$1006:Q1006),$P$1006:$S$1006,0))&gt;=100000), " ",IF(INDEX($P$2:$S$1001,MATCH(ROWS($I$2:I68),$I$2:$I$1001,0),MATCH(COLUMNS($P$1006:Q1006),$P$1006:$S$1006,0)), HYPERLINK("#",""), HYPERLINK(CONCATENATE("#metadata!", ADDRESS(INDEX($K$2:$K$1001,MATCH(ROWS($I$2:I68),$I$2:$I$1001,0),0), INDEX($P$1004:$S$1004,1,MATCH(COLUMNS($P$1006:Q1006),$P$1006:$S$1006,0)))),"Fix")))</f>
        <v>0</v>
      </c>
      <c r="D68" s="3">
        <f>IF(OR(INDEX($J$2:$J$1001,MATCH(ROWS($I$2:I68),$I$2:$I$1001,0),1)&gt;=100000,INDEX($P$1005:$S$1005,1,MATCH(COLUMNS($P$1006:R1006),$P$1006:$S$1006,0))&gt;=100000), " ",IF(INDEX($P$2:$S$1001,MATCH(ROWS($I$2:I68),$I$2:$I$1001,0),MATCH(COLUMNS($P$1006:R1006),$P$1006:$S$1006,0)), HYPERLINK("#",""), HYPERLINK(CONCATENATE("#metadata!", ADDRESS(INDEX($K$2:$K$1001,MATCH(ROWS($I$2:I68),$I$2:$I$1001,0),0), INDEX($P$1004:$S$1004,1,MATCH(COLUMNS($P$1006:R1006),$P$1006:$S$1006,0)))),"Fix")))</f>
        <v>0</v>
      </c>
      <c r="E68" s="3">
        <f>IF(OR(INDEX($J$2:$J$1001,MATCH(ROWS($I$2:I68),$I$2:$I$1001,0),1)&gt;=100000,INDEX($P$1005:$S$1005,1,MATCH(COLUMNS($P$1006:S1006),$P$1006:$S$1006,0))&gt;=100000), " ",IF(INDEX($P$2:$S$1001,MATCH(ROWS($I$2:I68),$I$2:$I$1001,0),MATCH(COLUMNS($P$1006:S1006),$P$1006:$S$1006,0)), HYPERLINK("#",""), HYPERLINK(CONCATENATE("#metadata!", ADDRESS(INDEX($K$2:$K$1001,MATCH(ROWS($I$2:I68),$I$2:$I$1001,0),0), INDEX($P$1004:$S$1004,1,MATCH(COLUMNS($P$1006:S1006),$P$1006:$S$1006,0)))),"Fix")))</f>
        <v>0</v>
      </c>
      <c r="I68">
        <v>0</v>
      </c>
      <c r="J68">
        <v>0</v>
      </c>
      <c r="K68">
        <v>0</v>
      </c>
      <c r="L68">
        <f>IF(M68,TRUE,AND(P68:S68))</f>
        <v>0</v>
      </c>
      <c r="M68">
        <f>COUNTBLANK(metadata!B68:E68)=COLUMNS(metadata!B68:E68)</f>
        <v>0</v>
      </c>
      <c r="N68">
        <v>0</v>
      </c>
      <c r="P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Q68">
        <f>AND(IF(metadata!C68="",FALSE,TRUE),exact(metadata!C68,"other"))</f>
        <v>0</v>
      </c>
      <c r="R68">
        <f>AND(IF(metadata!D68="",FALSE,TRUE),exact(metadata!D68,"metagenome"))</f>
        <v>0</v>
      </c>
      <c r="S68">
        <f>AND(IF(metadata!E68="",FALSE,TRUE),exact(metadata!E68,"256318"))</f>
        <v>0</v>
      </c>
    </row>
    <row r="69" spans="1:19">
      <c r="A69" s="4">
        <f>IF(B69=" "," ",HYPERLINK(CONCATENATE("#metadata!",ADDRESS(INDEX($K$2:$K$1001,MATCH(ROWS($I$2:I69),$I$2:$I$1001,0),0),1)),INDEX($N$2:$N$1001,MATCH(ROWS($I$2:I69),$I$2:$I$1001,0),0)))</f>
        <v>0</v>
      </c>
      <c r="B69" s="3">
        <f>IF(OR(INDEX($J$2:$J$1001,MATCH(ROWS($I$2:I69),$I$2:$I$1001,0),1)&gt;=100000,INDEX($P$1005:$S$1005,1,MATCH(COLUMNS($P$1006:P1006),$P$1006:$S$1006,0))&gt;=100000), " ",IF(INDEX($P$2:$S$1001,MATCH(ROWS($I$2:I69),$I$2:$I$1001,0),MATCH(COLUMNS($P$1006:P1006),$P$1006:$S$1006,0)), HYPERLINK("#",""), HYPERLINK(CONCATENATE("#metadata!", ADDRESS(INDEX($K$2:$K$1001,MATCH(ROWS($I$2:I69),$I$2:$I$1001,0),0), INDEX($P$1004:$S$1004,1,MATCH(COLUMNS($P$1006:P1006),$P$1006:$S$1006,0)))),"Fix")))</f>
        <v>0</v>
      </c>
      <c r="C69" s="3">
        <f>IF(OR(INDEX($J$2:$J$1001,MATCH(ROWS($I$2:I69),$I$2:$I$1001,0),1)&gt;=100000,INDEX($P$1005:$S$1005,1,MATCH(COLUMNS($P$1006:Q1006),$P$1006:$S$1006,0))&gt;=100000), " ",IF(INDEX($P$2:$S$1001,MATCH(ROWS($I$2:I69),$I$2:$I$1001,0),MATCH(COLUMNS($P$1006:Q1006),$P$1006:$S$1006,0)), HYPERLINK("#",""), HYPERLINK(CONCATENATE("#metadata!", ADDRESS(INDEX($K$2:$K$1001,MATCH(ROWS($I$2:I69),$I$2:$I$1001,0),0), INDEX($P$1004:$S$1004,1,MATCH(COLUMNS($P$1006:Q1006),$P$1006:$S$1006,0)))),"Fix")))</f>
        <v>0</v>
      </c>
      <c r="D69" s="3">
        <f>IF(OR(INDEX($J$2:$J$1001,MATCH(ROWS($I$2:I69),$I$2:$I$1001,0),1)&gt;=100000,INDEX($P$1005:$S$1005,1,MATCH(COLUMNS($P$1006:R1006),$P$1006:$S$1006,0))&gt;=100000), " ",IF(INDEX($P$2:$S$1001,MATCH(ROWS($I$2:I69),$I$2:$I$1001,0),MATCH(COLUMNS($P$1006:R1006),$P$1006:$S$1006,0)), HYPERLINK("#",""), HYPERLINK(CONCATENATE("#metadata!", ADDRESS(INDEX($K$2:$K$1001,MATCH(ROWS($I$2:I69),$I$2:$I$1001,0),0), INDEX($P$1004:$S$1004,1,MATCH(COLUMNS($P$1006:R1006),$P$1006:$S$1006,0)))),"Fix")))</f>
        <v>0</v>
      </c>
      <c r="E69" s="3">
        <f>IF(OR(INDEX($J$2:$J$1001,MATCH(ROWS($I$2:I69),$I$2:$I$1001,0),1)&gt;=100000,INDEX($P$1005:$S$1005,1,MATCH(COLUMNS($P$1006:S1006),$P$1006:$S$1006,0))&gt;=100000), " ",IF(INDEX($P$2:$S$1001,MATCH(ROWS($I$2:I69),$I$2:$I$1001,0),MATCH(COLUMNS($P$1006:S1006),$P$1006:$S$1006,0)), HYPERLINK("#",""), HYPERLINK(CONCATENATE("#metadata!", ADDRESS(INDEX($K$2:$K$1001,MATCH(ROWS($I$2:I69),$I$2:$I$1001,0),0), INDEX($P$1004:$S$1004,1,MATCH(COLUMNS($P$1006:S1006),$P$1006:$S$1006,0)))),"Fix")))</f>
        <v>0</v>
      </c>
      <c r="I69">
        <v>0</v>
      </c>
      <c r="J69">
        <v>0</v>
      </c>
      <c r="K69">
        <v>0</v>
      </c>
      <c r="L69">
        <f>IF(M69,TRUE,AND(P69:S69))</f>
        <v>0</v>
      </c>
      <c r="M69">
        <f>COUNTBLANK(metadata!B69:E69)=COLUMNS(metadata!B69:E69)</f>
        <v>0</v>
      </c>
      <c r="N69">
        <v>0</v>
      </c>
      <c r="P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Q69">
        <f>AND(IF(metadata!C69="",FALSE,TRUE),exact(metadata!C69,"other"))</f>
        <v>0</v>
      </c>
      <c r="R69">
        <f>AND(IF(metadata!D69="",FALSE,TRUE),exact(metadata!D69,"metagenome"))</f>
        <v>0</v>
      </c>
      <c r="S69">
        <f>AND(IF(metadata!E69="",FALSE,TRUE),exact(metadata!E69,"256318"))</f>
        <v>0</v>
      </c>
    </row>
    <row r="70" spans="1:19">
      <c r="A70" s="4">
        <f>IF(B70=" "," ",HYPERLINK(CONCATENATE("#metadata!",ADDRESS(INDEX($K$2:$K$1001,MATCH(ROWS($I$2:I70),$I$2:$I$1001,0),0),1)),INDEX($N$2:$N$1001,MATCH(ROWS($I$2:I70),$I$2:$I$1001,0),0)))</f>
        <v>0</v>
      </c>
      <c r="B70" s="3">
        <f>IF(OR(INDEX($J$2:$J$1001,MATCH(ROWS($I$2:I70),$I$2:$I$1001,0),1)&gt;=100000,INDEX($P$1005:$S$1005,1,MATCH(COLUMNS($P$1006:P1006),$P$1006:$S$1006,0))&gt;=100000), " ",IF(INDEX($P$2:$S$1001,MATCH(ROWS($I$2:I70),$I$2:$I$1001,0),MATCH(COLUMNS($P$1006:P1006),$P$1006:$S$1006,0)), HYPERLINK("#",""), HYPERLINK(CONCATENATE("#metadata!", ADDRESS(INDEX($K$2:$K$1001,MATCH(ROWS($I$2:I70),$I$2:$I$1001,0),0), INDEX($P$1004:$S$1004,1,MATCH(COLUMNS($P$1006:P1006),$P$1006:$S$1006,0)))),"Fix")))</f>
        <v>0</v>
      </c>
      <c r="C70" s="3">
        <f>IF(OR(INDEX($J$2:$J$1001,MATCH(ROWS($I$2:I70),$I$2:$I$1001,0),1)&gt;=100000,INDEX($P$1005:$S$1005,1,MATCH(COLUMNS($P$1006:Q1006),$P$1006:$S$1006,0))&gt;=100000), " ",IF(INDEX($P$2:$S$1001,MATCH(ROWS($I$2:I70),$I$2:$I$1001,0),MATCH(COLUMNS($P$1006:Q1006),$P$1006:$S$1006,0)), HYPERLINK("#",""), HYPERLINK(CONCATENATE("#metadata!", ADDRESS(INDEX($K$2:$K$1001,MATCH(ROWS($I$2:I70),$I$2:$I$1001,0),0), INDEX($P$1004:$S$1004,1,MATCH(COLUMNS($P$1006:Q1006),$P$1006:$S$1006,0)))),"Fix")))</f>
        <v>0</v>
      </c>
      <c r="D70" s="3">
        <f>IF(OR(INDEX($J$2:$J$1001,MATCH(ROWS($I$2:I70),$I$2:$I$1001,0),1)&gt;=100000,INDEX($P$1005:$S$1005,1,MATCH(COLUMNS($P$1006:R1006),$P$1006:$S$1006,0))&gt;=100000), " ",IF(INDEX($P$2:$S$1001,MATCH(ROWS($I$2:I70),$I$2:$I$1001,0),MATCH(COLUMNS($P$1006:R1006),$P$1006:$S$1006,0)), HYPERLINK("#",""), HYPERLINK(CONCATENATE("#metadata!", ADDRESS(INDEX($K$2:$K$1001,MATCH(ROWS($I$2:I70),$I$2:$I$1001,0),0), INDEX($P$1004:$S$1004,1,MATCH(COLUMNS($P$1006:R1006),$P$1006:$S$1006,0)))),"Fix")))</f>
        <v>0</v>
      </c>
      <c r="E70" s="3">
        <f>IF(OR(INDEX($J$2:$J$1001,MATCH(ROWS($I$2:I70),$I$2:$I$1001,0),1)&gt;=100000,INDEX($P$1005:$S$1005,1,MATCH(COLUMNS($P$1006:S1006),$P$1006:$S$1006,0))&gt;=100000), " ",IF(INDEX($P$2:$S$1001,MATCH(ROWS($I$2:I70),$I$2:$I$1001,0),MATCH(COLUMNS($P$1006:S1006),$P$1006:$S$1006,0)), HYPERLINK("#",""), HYPERLINK(CONCATENATE("#metadata!", ADDRESS(INDEX($K$2:$K$1001,MATCH(ROWS($I$2:I70),$I$2:$I$1001,0),0), INDEX($P$1004:$S$1004,1,MATCH(COLUMNS($P$1006:S1006),$P$1006:$S$1006,0)))),"Fix")))</f>
        <v>0</v>
      </c>
      <c r="I70">
        <v>0</v>
      </c>
      <c r="J70">
        <v>0</v>
      </c>
      <c r="K70">
        <v>0</v>
      </c>
      <c r="L70">
        <f>IF(M70,TRUE,AND(P70:S70))</f>
        <v>0</v>
      </c>
      <c r="M70">
        <f>COUNTBLANK(metadata!B70:E70)=COLUMNS(metadata!B70:E70)</f>
        <v>0</v>
      </c>
      <c r="N70">
        <v>0</v>
      </c>
      <c r="P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Q70">
        <f>AND(IF(metadata!C70="",FALSE,TRUE),exact(metadata!C70,"other"))</f>
        <v>0</v>
      </c>
      <c r="R70">
        <f>AND(IF(metadata!D70="",FALSE,TRUE),exact(metadata!D70,"metagenome"))</f>
        <v>0</v>
      </c>
      <c r="S70">
        <f>AND(IF(metadata!E70="",FALSE,TRUE),exact(metadata!E70,"256318"))</f>
        <v>0</v>
      </c>
    </row>
    <row r="71" spans="1:19">
      <c r="A71" s="4">
        <f>IF(B71=" "," ",HYPERLINK(CONCATENATE("#metadata!",ADDRESS(INDEX($K$2:$K$1001,MATCH(ROWS($I$2:I71),$I$2:$I$1001,0),0),1)),INDEX($N$2:$N$1001,MATCH(ROWS($I$2:I71),$I$2:$I$1001,0),0)))</f>
        <v>0</v>
      </c>
      <c r="B71" s="3">
        <f>IF(OR(INDEX($J$2:$J$1001,MATCH(ROWS($I$2:I71),$I$2:$I$1001,0),1)&gt;=100000,INDEX($P$1005:$S$1005,1,MATCH(COLUMNS($P$1006:P1006),$P$1006:$S$1006,0))&gt;=100000), " ",IF(INDEX($P$2:$S$1001,MATCH(ROWS($I$2:I71),$I$2:$I$1001,0),MATCH(COLUMNS($P$1006:P1006),$P$1006:$S$1006,0)), HYPERLINK("#",""), HYPERLINK(CONCATENATE("#metadata!", ADDRESS(INDEX($K$2:$K$1001,MATCH(ROWS($I$2:I71),$I$2:$I$1001,0),0), INDEX($P$1004:$S$1004,1,MATCH(COLUMNS($P$1006:P1006),$P$1006:$S$1006,0)))),"Fix")))</f>
        <v>0</v>
      </c>
      <c r="C71" s="3">
        <f>IF(OR(INDEX($J$2:$J$1001,MATCH(ROWS($I$2:I71),$I$2:$I$1001,0),1)&gt;=100000,INDEX($P$1005:$S$1005,1,MATCH(COLUMNS($P$1006:Q1006),$P$1006:$S$1006,0))&gt;=100000), " ",IF(INDEX($P$2:$S$1001,MATCH(ROWS($I$2:I71),$I$2:$I$1001,0),MATCH(COLUMNS($P$1006:Q1006),$P$1006:$S$1006,0)), HYPERLINK("#",""), HYPERLINK(CONCATENATE("#metadata!", ADDRESS(INDEX($K$2:$K$1001,MATCH(ROWS($I$2:I71),$I$2:$I$1001,0),0), INDEX($P$1004:$S$1004,1,MATCH(COLUMNS($P$1006:Q1006),$P$1006:$S$1006,0)))),"Fix")))</f>
        <v>0</v>
      </c>
      <c r="D71" s="3">
        <f>IF(OR(INDEX($J$2:$J$1001,MATCH(ROWS($I$2:I71),$I$2:$I$1001,0),1)&gt;=100000,INDEX($P$1005:$S$1005,1,MATCH(COLUMNS($P$1006:R1006),$P$1006:$S$1006,0))&gt;=100000), " ",IF(INDEX($P$2:$S$1001,MATCH(ROWS($I$2:I71),$I$2:$I$1001,0),MATCH(COLUMNS($P$1006:R1006),$P$1006:$S$1006,0)), HYPERLINK("#",""), HYPERLINK(CONCATENATE("#metadata!", ADDRESS(INDEX($K$2:$K$1001,MATCH(ROWS($I$2:I71),$I$2:$I$1001,0),0), INDEX($P$1004:$S$1004,1,MATCH(COLUMNS($P$1006:R1006),$P$1006:$S$1006,0)))),"Fix")))</f>
        <v>0</v>
      </c>
      <c r="E71" s="3">
        <f>IF(OR(INDEX($J$2:$J$1001,MATCH(ROWS($I$2:I71),$I$2:$I$1001,0),1)&gt;=100000,INDEX($P$1005:$S$1005,1,MATCH(COLUMNS($P$1006:S1006),$P$1006:$S$1006,0))&gt;=100000), " ",IF(INDEX($P$2:$S$1001,MATCH(ROWS($I$2:I71),$I$2:$I$1001,0),MATCH(COLUMNS($P$1006:S1006),$P$1006:$S$1006,0)), HYPERLINK("#",""), HYPERLINK(CONCATENATE("#metadata!", ADDRESS(INDEX($K$2:$K$1001,MATCH(ROWS($I$2:I71),$I$2:$I$1001,0),0), INDEX($P$1004:$S$1004,1,MATCH(COLUMNS($P$1006:S1006),$P$1006:$S$1006,0)))),"Fix")))</f>
        <v>0</v>
      </c>
      <c r="I71">
        <v>0</v>
      </c>
      <c r="J71">
        <v>0</v>
      </c>
      <c r="K71">
        <v>0</v>
      </c>
      <c r="L71">
        <f>IF(M71,TRUE,AND(P71:S71))</f>
        <v>0</v>
      </c>
      <c r="M71">
        <f>COUNTBLANK(metadata!B71:E71)=COLUMNS(metadata!B71:E71)</f>
        <v>0</v>
      </c>
      <c r="N71">
        <v>0</v>
      </c>
      <c r="P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Q71">
        <f>AND(IF(metadata!C71="",FALSE,TRUE),exact(metadata!C71,"other"))</f>
        <v>0</v>
      </c>
      <c r="R71">
        <f>AND(IF(metadata!D71="",FALSE,TRUE),exact(metadata!D71,"metagenome"))</f>
        <v>0</v>
      </c>
      <c r="S71">
        <f>AND(IF(metadata!E71="",FALSE,TRUE),exact(metadata!E71,"256318"))</f>
        <v>0</v>
      </c>
    </row>
    <row r="72" spans="1:19">
      <c r="A72" s="4">
        <f>IF(B72=" "," ",HYPERLINK(CONCATENATE("#metadata!",ADDRESS(INDEX($K$2:$K$1001,MATCH(ROWS($I$2:I72),$I$2:$I$1001,0),0),1)),INDEX($N$2:$N$1001,MATCH(ROWS($I$2:I72),$I$2:$I$1001,0),0)))</f>
        <v>0</v>
      </c>
      <c r="B72" s="3">
        <f>IF(OR(INDEX($J$2:$J$1001,MATCH(ROWS($I$2:I72),$I$2:$I$1001,0),1)&gt;=100000,INDEX($P$1005:$S$1005,1,MATCH(COLUMNS($P$1006:P1006),$P$1006:$S$1006,0))&gt;=100000), " ",IF(INDEX($P$2:$S$1001,MATCH(ROWS($I$2:I72),$I$2:$I$1001,0),MATCH(COLUMNS($P$1006:P1006),$P$1006:$S$1006,0)), HYPERLINK("#",""), HYPERLINK(CONCATENATE("#metadata!", ADDRESS(INDEX($K$2:$K$1001,MATCH(ROWS($I$2:I72),$I$2:$I$1001,0),0), INDEX($P$1004:$S$1004,1,MATCH(COLUMNS($P$1006:P1006),$P$1006:$S$1006,0)))),"Fix")))</f>
        <v>0</v>
      </c>
      <c r="C72" s="3">
        <f>IF(OR(INDEX($J$2:$J$1001,MATCH(ROWS($I$2:I72),$I$2:$I$1001,0),1)&gt;=100000,INDEX($P$1005:$S$1005,1,MATCH(COLUMNS($P$1006:Q1006),$P$1006:$S$1006,0))&gt;=100000), " ",IF(INDEX($P$2:$S$1001,MATCH(ROWS($I$2:I72),$I$2:$I$1001,0),MATCH(COLUMNS($P$1006:Q1006),$P$1006:$S$1006,0)), HYPERLINK("#",""), HYPERLINK(CONCATENATE("#metadata!", ADDRESS(INDEX($K$2:$K$1001,MATCH(ROWS($I$2:I72),$I$2:$I$1001,0),0), INDEX($P$1004:$S$1004,1,MATCH(COLUMNS($P$1006:Q1006),$P$1006:$S$1006,0)))),"Fix")))</f>
        <v>0</v>
      </c>
      <c r="D72" s="3">
        <f>IF(OR(INDEX($J$2:$J$1001,MATCH(ROWS($I$2:I72),$I$2:$I$1001,0),1)&gt;=100000,INDEX($P$1005:$S$1005,1,MATCH(COLUMNS($P$1006:R1006),$P$1006:$S$1006,0))&gt;=100000), " ",IF(INDEX($P$2:$S$1001,MATCH(ROWS($I$2:I72),$I$2:$I$1001,0),MATCH(COLUMNS($P$1006:R1006),$P$1006:$S$1006,0)), HYPERLINK("#",""), HYPERLINK(CONCATENATE("#metadata!", ADDRESS(INDEX($K$2:$K$1001,MATCH(ROWS($I$2:I72),$I$2:$I$1001,0),0), INDEX($P$1004:$S$1004,1,MATCH(COLUMNS($P$1006:R1006),$P$1006:$S$1006,0)))),"Fix")))</f>
        <v>0</v>
      </c>
      <c r="E72" s="3">
        <f>IF(OR(INDEX($J$2:$J$1001,MATCH(ROWS($I$2:I72),$I$2:$I$1001,0),1)&gt;=100000,INDEX($P$1005:$S$1005,1,MATCH(COLUMNS($P$1006:S1006),$P$1006:$S$1006,0))&gt;=100000), " ",IF(INDEX($P$2:$S$1001,MATCH(ROWS($I$2:I72),$I$2:$I$1001,0),MATCH(COLUMNS($P$1006:S1006),$P$1006:$S$1006,0)), HYPERLINK("#",""), HYPERLINK(CONCATENATE("#metadata!", ADDRESS(INDEX($K$2:$K$1001,MATCH(ROWS($I$2:I72),$I$2:$I$1001,0),0), INDEX($P$1004:$S$1004,1,MATCH(COLUMNS($P$1006:S1006),$P$1006:$S$1006,0)))),"Fix")))</f>
        <v>0</v>
      </c>
      <c r="I72">
        <v>0</v>
      </c>
      <c r="J72">
        <v>0</v>
      </c>
      <c r="K72">
        <v>0</v>
      </c>
      <c r="L72">
        <f>IF(M72,TRUE,AND(P72:S72))</f>
        <v>0</v>
      </c>
      <c r="M72">
        <f>COUNTBLANK(metadata!B72:E72)=COLUMNS(metadata!B72:E72)</f>
        <v>0</v>
      </c>
      <c r="N72">
        <v>0</v>
      </c>
      <c r="P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Q72">
        <f>AND(IF(metadata!C72="",FALSE,TRUE),exact(metadata!C72,"other"))</f>
        <v>0</v>
      </c>
      <c r="R72">
        <f>AND(IF(metadata!D72="",FALSE,TRUE),exact(metadata!D72,"metagenome"))</f>
        <v>0</v>
      </c>
      <c r="S72">
        <f>AND(IF(metadata!E72="",FALSE,TRUE),exact(metadata!E72,"256318"))</f>
        <v>0</v>
      </c>
    </row>
    <row r="73" spans="1:19">
      <c r="A73" s="4">
        <f>IF(B73=" "," ",HYPERLINK(CONCATENATE("#metadata!",ADDRESS(INDEX($K$2:$K$1001,MATCH(ROWS($I$2:I73),$I$2:$I$1001,0),0),1)),INDEX($N$2:$N$1001,MATCH(ROWS($I$2:I73),$I$2:$I$1001,0),0)))</f>
        <v>0</v>
      </c>
      <c r="B73" s="3">
        <f>IF(OR(INDEX($J$2:$J$1001,MATCH(ROWS($I$2:I73),$I$2:$I$1001,0),1)&gt;=100000,INDEX($P$1005:$S$1005,1,MATCH(COLUMNS($P$1006:P1006),$P$1006:$S$1006,0))&gt;=100000), " ",IF(INDEX($P$2:$S$1001,MATCH(ROWS($I$2:I73),$I$2:$I$1001,0),MATCH(COLUMNS($P$1006:P1006),$P$1006:$S$1006,0)), HYPERLINK("#",""), HYPERLINK(CONCATENATE("#metadata!", ADDRESS(INDEX($K$2:$K$1001,MATCH(ROWS($I$2:I73),$I$2:$I$1001,0),0), INDEX($P$1004:$S$1004,1,MATCH(COLUMNS($P$1006:P1006),$P$1006:$S$1006,0)))),"Fix")))</f>
        <v>0</v>
      </c>
      <c r="C73" s="3">
        <f>IF(OR(INDEX($J$2:$J$1001,MATCH(ROWS($I$2:I73),$I$2:$I$1001,0),1)&gt;=100000,INDEX($P$1005:$S$1005,1,MATCH(COLUMNS($P$1006:Q1006),$P$1006:$S$1006,0))&gt;=100000), " ",IF(INDEX($P$2:$S$1001,MATCH(ROWS($I$2:I73),$I$2:$I$1001,0),MATCH(COLUMNS($P$1006:Q1006),$P$1006:$S$1006,0)), HYPERLINK("#",""), HYPERLINK(CONCATENATE("#metadata!", ADDRESS(INDEX($K$2:$K$1001,MATCH(ROWS($I$2:I73),$I$2:$I$1001,0),0), INDEX($P$1004:$S$1004,1,MATCH(COLUMNS($P$1006:Q1006),$P$1006:$S$1006,0)))),"Fix")))</f>
        <v>0</v>
      </c>
      <c r="D73" s="3">
        <f>IF(OR(INDEX($J$2:$J$1001,MATCH(ROWS($I$2:I73),$I$2:$I$1001,0),1)&gt;=100000,INDEX($P$1005:$S$1005,1,MATCH(COLUMNS($P$1006:R1006),$P$1006:$S$1006,0))&gt;=100000), " ",IF(INDEX($P$2:$S$1001,MATCH(ROWS($I$2:I73),$I$2:$I$1001,0),MATCH(COLUMNS($P$1006:R1006),$P$1006:$S$1006,0)), HYPERLINK("#",""), HYPERLINK(CONCATENATE("#metadata!", ADDRESS(INDEX($K$2:$K$1001,MATCH(ROWS($I$2:I73),$I$2:$I$1001,0),0), INDEX($P$1004:$S$1004,1,MATCH(COLUMNS($P$1006:R1006),$P$1006:$S$1006,0)))),"Fix")))</f>
        <v>0</v>
      </c>
      <c r="E73" s="3">
        <f>IF(OR(INDEX($J$2:$J$1001,MATCH(ROWS($I$2:I73),$I$2:$I$1001,0),1)&gt;=100000,INDEX($P$1005:$S$1005,1,MATCH(COLUMNS($P$1006:S1006),$P$1006:$S$1006,0))&gt;=100000), " ",IF(INDEX($P$2:$S$1001,MATCH(ROWS($I$2:I73),$I$2:$I$1001,0),MATCH(COLUMNS($P$1006:S1006),$P$1006:$S$1006,0)), HYPERLINK("#",""), HYPERLINK(CONCATENATE("#metadata!", ADDRESS(INDEX($K$2:$K$1001,MATCH(ROWS($I$2:I73),$I$2:$I$1001,0),0), INDEX($P$1004:$S$1004,1,MATCH(COLUMNS($P$1006:S1006),$P$1006:$S$1006,0)))),"Fix")))</f>
        <v>0</v>
      </c>
      <c r="I73">
        <v>0</v>
      </c>
      <c r="J73">
        <v>0</v>
      </c>
      <c r="K73">
        <v>0</v>
      </c>
      <c r="L73">
        <f>IF(M73,TRUE,AND(P73:S73))</f>
        <v>0</v>
      </c>
      <c r="M73">
        <f>COUNTBLANK(metadata!B73:E73)=COLUMNS(metadata!B73:E73)</f>
        <v>0</v>
      </c>
      <c r="N73">
        <v>0</v>
      </c>
      <c r="P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Q73">
        <f>AND(IF(metadata!C73="",FALSE,TRUE),exact(metadata!C73,"other"))</f>
        <v>0</v>
      </c>
      <c r="R73">
        <f>AND(IF(metadata!D73="",FALSE,TRUE),exact(metadata!D73,"metagenome"))</f>
        <v>0</v>
      </c>
      <c r="S73">
        <f>AND(IF(metadata!E73="",FALSE,TRUE),exact(metadata!E73,"256318"))</f>
        <v>0</v>
      </c>
    </row>
    <row r="74" spans="1:19">
      <c r="A74" s="4">
        <f>IF(B74=" "," ",HYPERLINK(CONCATENATE("#metadata!",ADDRESS(INDEX($K$2:$K$1001,MATCH(ROWS($I$2:I74),$I$2:$I$1001,0),0),1)),INDEX($N$2:$N$1001,MATCH(ROWS($I$2:I74),$I$2:$I$1001,0),0)))</f>
        <v>0</v>
      </c>
      <c r="B74" s="3">
        <f>IF(OR(INDEX($J$2:$J$1001,MATCH(ROWS($I$2:I74),$I$2:$I$1001,0),1)&gt;=100000,INDEX($P$1005:$S$1005,1,MATCH(COLUMNS($P$1006:P1006),$P$1006:$S$1006,0))&gt;=100000), " ",IF(INDEX($P$2:$S$1001,MATCH(ROWS($I$2:I74),$I$2:$I$1001,0),MATCH(COLUMNS($P$1006:P1006),$P$1006:$S$1006,0)), HYPERLINK("#",""), HYPERLINK(CONCATENATE("#metadata!", ADDRESS(INDEX($K$2:$K$1001,MATCH(ROWS($I$2:I74),$I$2:$I$1001,0),0), INDEX($P$1004:$S$1004,1,MATCH(COLUMNS($P$1006:P1006),$P$1006:$S$1006,0)))),"Fix")))</f>
        <v>0</v>
      </c>
      <c r="C74" s="3">
        <f>IF(OR(INDEX($J$2:$J$1001,MATCH(ROWS($I$2:I74),$I$2:$I$1001,0),1)&gt;=100000,INDEX($P$1005:$S$1005,1,MATCH(COLUMNS($P$1006:Q1006),$P$1006:$S$1006,0))&gt;=100000), " ",IF(INDEX($P$2:$S$1001,MATCH(ROWS($I$2:I74),$I$2:$I$1001,0),MATCH(COLUMNS($P$1006:Q1006),$P$1006:$S$1006,0)), HYPERLINK("#",""), HYPERLINK(CONCATENATE("#metadata!", ADDRESS(INDEX($K$2:$K$1001,MATCH(ROWS($I$2:I74),$I$2:$I$1001,0),0), INDEX($P$1004:$S$1004,1,MATCH(COLUMNS($P$1006:Q1006),$P$1006:$S$1006,0)))),"Fix")))</f>
        <v>0</v>
      </c>
      <c r="D74" s="3">
        <f>IF(OR(INDEX($J$2:$J$1001,MATCH(ROWS($I$2:I74),$I$2:$I$1001,0),1)&gt;=100000,INDEX($P$1005:$S$1005,1,MATCH(COLUMNS($P$1006:R1006),$P$1006:$S$1006,0))&gt;=100000), " ",IF(INDEX($P$2:$S$1001,MATCH(ROWS($I$2:I74),$I$2:$I$1001,0),MATCH(COLUMNS($P$1006:R1006),$P$1006:$S$1006,0)), HYPERLINK("#",""), HYPERLINK(CONCATENATE("#metadata!", ADDRESS(INDEX($K$2:$K$1001,MATCH(ROWS($I$2:I74),$I$2:$I$1001,0),0), INDEX($P$1004:$S$1004,1,MATCH(COLUMNS($P$1006:R1006),$P$1006:$S$1006,0)))),"Fix")))</f>
        <v>0</v>
      </c>
      <c r="E74" s="3">
        <f>IF(OR(INDEX($J$2:$J$1001,MATCH(ROWS($I$2:I74),$I$2:$I$1001,0),1)&gt;=100000,INDEX($P$1005:$S$1005,1,MATCH(COLUMNS($P$1006:S1006),$P$1006:$S$1006,0))&gt;=100000), " ",IF(INDEX($P$2:$S$1001,MATCH(ROWS($I$2:I74),$I$2:$I$1001,0),MATCH(COLUMNS($P$1006:S1006),$P$1006:$S$1006,0)), HYPERLINK("#",""), HYPERLINK(CONCATENATE("#metadata!", ADDRESS(INDEX($K$2:$K$1001,MATCH(ROWS($I$2:I74),$I$2:$I$1001,0),0), INDEX($P$1004:$S$1004,1,MATCH(COLUMNS($P$1006:S1006),$P$1006:$S$1006,0)))),"Fix")))</f>
        <v>0</v>
      </c>
      <c r="I74">
        <v>0</v>
      </c>
      <c r="J74">
        <v>0</v>
      </c>
      <c r="K74">
        <v>0</v>
      </c>
      <c r="L74">
        <f>IF(M74,TRUE,AND(P74:S74))</f>
        <v>0</v>
      </c>
      <c r="M74">
        <f>COUNTBLANK(metadata!B74:E74)=COLUMNS(metadata!B74:E74)</f>
        <v>0</v>
      </c>
      <c r="N74">
        <v>0</v>
      </c>
      <c r="P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Q74">
        <f>AND(IF(metadata!C74="",FALSE,TRUE),exact(metadata!C74,"other"))</f>
        <v>0</v>
      </c>
      <c r="R74">
        <f>AND(IF(metadata!D74="",FALSE,TRUE),exact(metadata!D74,"metagenome"))</f>
        <v>0</v>
      </c>
      <c r="S74">
        <f>AND(IF(metadata!E74="",FALSE,TRUE),exact(metadata!E74,"256318"))</f>
        <v>0</v>
      </c>
    </row>
    <row r="75" spans="1:19">
      <c r="A75" s="4">
        <f>IF(B75=" "," ",HYPERLINK(CONCATENATE("#metadata!",ADDRESS(INDEX($K$2:$K$1001,MATCH(ROWS($I$2:I75),$I$2:$I$1001,0),0),1)),INDEX($N$2:$N$1001,MATCH(ROWS($I$2:I75),$I$2:$I$1001,0),0)))</f>
        <v>0</v>
      </c>
      <c r="B75" s="3">
        <f>IF(OR(INDEX($J$2:$J$1001,MATCH(ROWS($I$2:I75),$I$2:$I$1001,0),1)&gt;=100000,INDEX($P$1005:$S$1005,1,MATCH(COLUMNS($P$1006:P1006),$P$1006:$S$1006,0))&gt;=100000), " ",IF(INDEX($P$2:$S$1001,MATCH(ROWS($I$2:I75),$I$2:$I$1001,0),MATCH(COLUMNS($P$1006:P1006),$P$1006:$S$1006,0)), HYPERLINK("#",""), HYPERLINK(CONCATENATE("#metadata!", ADDRESS(INDEX($K$2:$K$1001,MATCH(ROWS($I$2:I75),$I$2:$I$1001,0),0), INDEX($P$1004:$S$1004,1,MATCH(COLUMNS($P$1006:P1006),$P$1006:$S$1006,0)))),"Fix")))</f>
        <v>0</v>
      </c>
      <c r="C75" s="3">
        <f>IF(OR(INDEX($J$2:$J$1001,MATCH(ROWS($I$2:I75),$I$2:$I$1001,0),1)&gt;=100000,INDEX($P$1005:$S$1005,1,MATCH(COLUMNS($P$1006:Q1006),$P$1006:$S$1006,0))&gt;=100000), " ",IF(INDEX($P$2:$S$1001,MATCH(ROWS($I$2:I75),$I$2:$I$1001,0),MATCH(COLUMNS($P$1006:Q1006),$P$1006:$S$1006,0)), HYPERLINK("#",""), HYPERLINK(CONCATENATE("#metadata!", ADDRESS(INDEX($K$2:$K$1001,MATCH(ROWS($I$2:I75),$I$2:$I$1001,0),0), INDEX($P$1004:$S$1004,1,MATCH(COLUMNS($P$1006:Q1006),$P$1006:$S$1006,0)))),"Fix")))</f>
        <v>0</v>
      </c>
      <c r="D75" s="3">
        <f>IF(OR(INDEX($J$2:$J$1001,MATCH(ROWS($I$2:I75),$I$2:$I$1001,0),1)&gt;=100000,INDEX($P$1005:$S$1005,1,MATCH(COLUMNS($P$1006:R1006),$P$1006:$S$1006,0))&gt;=100000), " ",IF(INDEX($P$2:$S$1001,MATCH(ROWS($I$2:I75),$I$2:$I$1001,0),MATCH(COLUMNS($P$1006:R1006),$P$1006:$S$1006,0)), HYPERLINK("#",""), HYPERLINK(CONCATENATE("#metadata!", ADDRESS(INDEX($K$2:$K$1001,MATCH(ROWS($I$2:I75),$I$2:$I$1001,0),0), INDEX($P$1004:$S$1004,1,MATCH(COLUMNS($P$1006:R1006),$P$1006:$S$1006,0)))),"Fix")))</f>
        <v>0</v>
      </c>
      <c r="E75" s="3">
        <f>IF(OR(INDEX($J$2:$J$1001,MATCH(ROWS($I$2:I75),$I$2:$I$1001,0),1)&gt;=100000,INDEX($P$1005:$S$1005,1,MATCH(COLUMNS($P$1006:S1006),$P$1006:$S$1006,0))&gt;=100000), " ",IF(INDEX($P$2:$S$1001,MATCH(ROWS($I$2:I75),$I$2:$I$1001,0),MATCH(COLUMNS($P$1006:S1006),$P$1006:$S$1006,0)), HYPERLINK("#",""), HYPERLINK(CONCATENATE("#metadata!", ADDRESS(INDEX($K$2:$K$1001,MATCH(ROWS($I$2:I75),$I$2:$I$1001,0),0), INDEX($P$1004:$S$1004,1,MATCH(COLUMNS($P$1006:S1006),$P$1006:$S$1006,0)))),"Fix")))</f>
        <v>0</v>
      </c>
      <c r="I75">
        <v>0</v>
      </c>
      <c r="J75">
        <v>0</v>
      </c>
      <c r="K75">
        <v>0</v>
      </c>
      <c r="L75">
        <f>IF(M75,TRUE,AND(P75:S75))</f>
        <v>0</v>
      </c>
      <c r="M75">
        <f>COUNTBLANK(metadata!B75:E75)=COLUMNS(metadata!B75:E75)</f>
        <v>0</v>
      </c>
      <c r="N75">
        <v>0</v>
      </c>
      <c r="P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Q75">
        <f>AND(IF(metadata!C75="",FALSE,TRUE),exact(metadata!C75,"other"))</f>
        <v>0</v>
      </c>
      <c r="R75">
        <f>AND(IF(metadata!D75="",FALSE,TRUE),exact(metadata!D75,"metagenome"))</f>
        <v>0</v>
      </c>
      <c r="S75">
        <f>AND(IF(metadata!E75="",FALSE,TRUE),exact(metadata!E75,"256318"))</f>
        <v>0</v>
      </c>
    </row>
    <row r="76" spans="1:19">
      <c r="A76" s="4">
        <f>IF(B76=" "," ",HYPERLINK(CONCATENATE("#metadata!",ADDRESS(INDEX($K$2:$K$1001,MATCH(ROWS($I$2:I76),$I$2:$I$1001,0),0),1)),INDEX($N$2:$N$1001,MATCH(ROWS($I$2:I76),$I$2:$I$1001,0),0)))</f>
        <v>0</v>
      </c>
      <c r="B76" s="3">
        <f>IF(OR(INDEX($J$2:$J$1001,MATCH(ROWS($I$2:I76),$I$2:$I$1001,0),1)&gt;=100000,INDEX($P$1005:$S$1005,1,MATCH(COLUMNS($P$1006:P1006),$P$1006:$S$1006,0))&gt;=100000), " ",IF(INDEX($P$2:$S$1001,MATCH(ROWS($I$2:I76),$I$2:$I$1001,0),MATCH(COLUMNS($P$1006:P1006),$P$1006:$S$1006,0)), HYPERLINK("#",""), HYPERLINK(CONCATENATE("#metadata!", ADDRESS(INDEX($K$2:$K$1001,MATCH(ROWS($I$2:I76),$I$2:$I$1001,0),0), INDEX($P$1004:$S$1004,1,MATCH(COLUMNS($P$1006:P1006),$P$1006:$S$1006,0)))),"Fix")))</f>
        <v>0</v>
      </c>
      <c r="C76" s="3">
        <f>IF(OR(INDEX($J$2:$J$1001,MATCH(ROWS($I$2:I76),$I$2:$I$1001,0),1)&gt;=100000,INDEX($P$1005:$S$1005,1,MATCH(COLUMNS($P$1006:Q1006),$P$1006:$S$1006,0))&gt;=100000), " ",IF(INDEX($P$2:$S$1001,MATCH(ROWS($I$2:I76),$I$2:$I$1001,0),MATCH(COLUMNS($P$1006:Q1006),$P$1006:$S$1006,0)), HYPERLINK("#",""), HYPERLINK(CONCATENATE("#metadata!", ADDRESS(INDEX($K$2:$K$1001,MATCH(ROWS($I$2:I76),$I$2:$I$1001,0),0), INDEX($P$1004:$S$1004,1,MATCH(COLUMNS($P$1006:Q1006),$P$1006:$S$1006,0)))),"Fix")))</f>
        <v>0</v>
      </c>
      <c r="D76" s="3">
        <f>IF(OR(INDEX($J$2:$J$1001,MATCH(ROWS($I$2:I76),$I$2:$I$1001,0),1)&gt;=100000,INDEX($P$1005:$S$1005,1,MATCH(COLUMNS($P$1006:R1006),$P$1006:$S$1006,0))&gt;=100000), " ",IF(INDEX($P$2:$S$1001,MATCH(ROWS($I$2:I76),$I$2:$I$1001,0),MATCH(COLUMNS($P$1006:R1006),$P$1006:$S$1006,0)), HYPERLINK("#",""), HYPERLINK(CONCATENATE("#metadata!", ADDRESS(INDEX($K$2:$K$1001,MATCH(ROWS($I$2:I76),$I$2:$I$1001,0),0), INDEX($P$1004:$S$1004,1,MATCH(COLUMNS($P$1006:R1006),$P$1006:$S$1006,0)))),"Fix")))</f>
        <v>0</v>
      </c>
      <c r="E76" s="3">
        <f>IF(OR(INDEX($J$2:$J$1001,MATCH(ROWS($I$2:I76),$I$2:$I$1001,0),1)&gt;=100000,INDEX($P$1005:$S$1005,1,MATCH(COLUMNS($P$1006:S1006),$P$1006:$S$1006,0))&gt;=100000), " ",IF(INDEX($P$2:$S$1001,MATCH(ROWS($I$2:I76),$I$2:$I$1001,0),MATCH(COLUMNS($P$1006:S1006),$P$1006:$S$1006,0)), HYPERLINK("#",""), HYPERLINK(CONCATENATE("#metadata!", ADDRESS(INDEX($K$2:$K$1001,MATCH(ROWS($I$2:I76),$I$2:$I$1001,0),0), INDEX($P$1004:$S$1004,1,MATCH(COLUMNS($P$1006:S1006),$P$1006:$S$1006,0)))),"Fix")))</f>
        <v>0</v>
      </c>
      <c r="I76">
        <v>0</v>
      </c>
      <c r="J76">
        <v>0</v>
      </c>
      <c r="K76">
        <v>0</v>
      </c>
      <c r="L76">
        <f>IF(M76,TRUE,AND(P76:S76))</f>
        <v>0</v>
      </c>
      <c r="M76">
        <f>COUNTBLANK(metadata!B76:E76)=COLUMNS(metadata!B76:E76)</f>
        <v>0</v>
      </c>
      <c r="N76">
        <v>0</v>
      </c>
      <c r="P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Q76">
        <f>AND(IF(metadata!C76="",FALSE,TRUE),exact(metadata!C76,"other"))</f>
        <v>0</v>
      </c>
      <c r="R76">
        <f>AND(IF(metadata!D76="",FALSE,TRUE),exact(metadata!D76,"metagenome"))</f>
        <v>0</v>
      </c>
      <c r="S76">
        <f>AND(IF(metadata!E76="",FALSE,TRUE),exact(metadata!E76,"256318"))</f>
        <v>0</v>
      </c>
    </row>
    <row r="77" spans="1:19">
      <c r="A77" s="4">
        <f>IF(B77=" "," ",HYPERLINK(CONCATENATE("#metadata!",ADDRESS(INDEX($K$2:$K$1001,MATCH(ROWS($I$2:I77),$I$2:$I$1001,0),0),1)),INDEX($N$2:$N$1001,MATCH(ROWS($I$2:I77),$I$2:$I$1001,0),0)))</f>
        <v>0</v>
      </c>
      <c r="B77" s="3">
        <f>IF(OR(INDEX($J$2:$J$1001,MATCH(ROWS($I$2:I77),$I$2:$I$1001,0),1)&gt;=100000,INDEX($P$1005:$S$1005,1,MATCH(COLUMNS($P$1006:P1006),$P$1006:$S$1006,0))&gt;=100000), " ",IF(INDEX($P$2:$S$1001,MATCH(ROWS($I$2:I77),$I$2:$I$1001,0),MATCH(COLUMNS($P$1006:P1006),$P$1006:$S$1006,0)), HYPERLINK("#",""), HYPERLINK(CONCATENATE("#metadata!", ADDRESS(INDEX($K$2:$K$1001,MATCH(ROWS($I$2:I77),$I$2:$I$1001,0),0), INDEX($P$1004:$S$1004,1,MATCH(COLUMNS($P$1006:P1006),$P$1006:$S$1006,0)))),"Fix")))</f>
        <v>0</v>
      </c>
      <c r="C77" s="3">
        <f>IF(OR(INDEX($J$2:$J$1001,MATCH(ROWS($I$2:I77),$I$2:$I$1001,0),1)&gt;=100000,INDEX($P$1005:$S$1005,1,MATCH(COLUMNS($P$1006:Q1006),$P$1006:$S$1006,0))&gt;=100000), " ",IF(INDEX($P$2:$S$1001,MATCH(ROWS($I$2:I77),$I$2:$I$1001,0),MATCH(COLUMNS($P$1006:Q1006),$P$1006:$S$1006,0)), HYPERLINK("#",""), HYPERLINK(CONCATENATE("#metadata!", ADDRESS(INDEX($K$2:$K$1001,MATCH(ROWS($I$2:I77),$I$2:$I$1001,0),0), INDEX($P$1004:$S$1004,1,MATCH(COLUMNS($P$1006:Q1006),$P$1006:$S$1006,0)))),"Fix")))</f>
        <v>0</v>
      </c>
      <c r="D77" s="3">
        <f>IF(OR(INDEX($J$2:$J$1001,MATCH(ROWS($I$2:I77),$I$2:$I$1001,0),1)&gt;=100000,INDEX($P$1005:$S$1005,1,MATCH(COLUMNS($P$1006:R1006),$P$1006:$S$1006,0))&gt;=100000), " ",IF(INDEX($P$2:$S$1001,MATCH(ROWS($I$2:I77),$I$2:$I$1001,0),MATCH(COLUMNS($P$1006:R1006),$P$1006:$S$1006,0)), HYPERLINK("#",""), HYPERLINK(CONCATENATE("#metadata!", ADDRESS(INDEX($K$2:$K$1001,MATCH(ROWS($I$2:I77),$I$2:$I$1001,0),0), INDEX($P$1004:$S$1004,1,MATCH(COLUMNS($P$1006:R1006),$P$1006:$S$1006,0)))),"Fix")))</f>
        <v>0</v>
      </c>
      <c r="E77" s="3">
        <f>IF(OR(INDEX($J$2:$J$1001,MATCH(ROWS($I$2:I77),$I$2:$I$1001,0),1)&gt;=100000,INDEX($P$1005:$S$1005,1,MATCH(COLUMNS($P$1006:S1006),$P$1006:$S$1006,0))&gt;=100000), " ",IF(INDEX($P$2:$S$1001,MATCH(ROWS($I$2:I77),$I$2:$I$1001,0),MATCH(COLUMNS($P$1006:S1006),$P$1006:$S$1006,0)), HYPERLINK("#",""), HYPERLINK(CONCATENATE("#metadata!", ADDRESS(INDEX($K$2:$K$1001,MATCH(ROWS($I$2:I77),$I$2:$I$1001,0),0), INDEX($P$1004:$S$1004,1,MATCH(COLUMNS($P$1006:S1006),$P$1006:$S$1006,0)))),"Fix")))</f>
        <v>0</v>
      </c>
      <c r="I77">
        <v>0</v>
      </c>
      <c r="J77">
        <v>0</v>
      </c>
      <c r="K77">
        <v>0</v>
      </c>
      <c r="L77">
        <f>IF(M77,TRUE,AND(P77:S77))</f>
        <v>0</v>
      </c>
      <c r="M77">
        <f>COUNTBLANK(metadata!B77:E77)=COLUMNS(metadata!B77:E77)</f>
        <v>0</v>
      </c>
      <c r="N77">
        <v>0</v>
      </c>
      <c r="P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Q77">
        <f>AND(IF(metadata!C77="",FALSE,TRUE),exact(metadata!C77,"other"))</f>
        <v>0</v>
      </c>
      <c r="R77">
        <f>AND(IF(metadata!D77="",FALSE,TRUE),exact(metadata!D77,"metagenome"))</f>
        <v>0</v>
      </c>
      <c r="S77">
        <f>AND(IF(metadata!E77="",FALSE,TRUE),exact(metadata!E77,"256318"))</f>
        <v>0</v>
      </c>
    </row>
    <row r="78" spans="1:19">
      <c r="A78" s="4">
        <f>IF(B78=" "," ",HYPERLINK(CONCATENATE("#metadata!",ADDRESS(INDEX($K$2:$K$1001,MATCH(ROWS($I$2:I78),$I$2:$I$1001,0),0),1)),INDEX($N$2:$N$1001,MATCH(ROWS($I$2:I78),$I$2:$I$1001,0),0)))</f>
        <v>0</v>
      </c>
      <c r="B78" s="3">
        <f>IF(OR(INDEX($J$2:$J$1001,MATCH(ROWS($I$2:I78),$I$2:$I$1001,0),1)&gt;=100000,INDEX($P$1005:$S$1005,1,MATCH(COLUMNS($P$1006:P1006),$P$1006:$S$1006,0))&gt;=100000), " ",IF(INDEX($P$2:$S$1001,MATCH(ROWS($I$2:I78),$I$2:$I$1001,0),MATCH(COLUMNS($P$1006:P1006),$P$1006:$S$1006,0)), HYPERLINK("#",""), HYPERLINK(CONCATENATE("#metadata!", ADDRESS(INDEX($K$2:$K$1001,MATCH(ROWS($I$2:I78),$I$2:$I$1001,0),0), INDEX($P$1004:$S$1004,1,MATCH(COLUMNS($P$1006:P1006),$P$1006:$S$1006,0)))),"Fix")))</f>
        <v>0</v>
      </c>
      <c r="C78" s="3">
        <f>IF(OR(INDEX($J$2:$J$1001,MATCH(ROWS($I$2:I78),$I$2:$I$1001,0),1)&gt;=100000,INDEX($P$1005:$S$1005,1,MATCH(COLUMNS($P$1006:Q1006),$P$1006:$S$1006,0))&gt;=100000), " ",IF(INDEX($P$2:$S$1001,MATCH(ROWS($I$2:I78),$I$2:$I$1001,0),MATCH(COLUMNS($P$1006:Q1006),$P$1006:$S$1006,0)), HYPERLINK("#",""), HYPERLINK(CONCATENATE("#metadata!", ADDRESS(INDEX($K$2:$K$1001,MATCH(ROWS($I$2:I78),$I$2:$I$1001,0),0), INDEX($P$1004:$S$1004,1,MATCH(COLUMNS($P$1006:Q1006),$P$1006:$S$1006,0)))),"Fix")))</f>
        <v>0</v>
      </c>
      <c r="D78" s="3">
        <f>IF(OR(INDEX($J$2:$J$1001,MATCH(ROWS($I$2:I78),$I$2:$I$1001,0),1)&gt;=100000,INDEX($P$1005:$S$1005,1,MATCH(COLUMNS($P$1006:R1006),$P$1006:$S$1006,0))&gt;=100000), " ",IF(INDEX($P$2:$S$1001,MATCH(ROWS($I$2:I78),$I$2:$I$1001,0),MATCH(COLUMNS($P$1006:R1006),$P$1006:$S$1006,0)), HYPERLINK("#",""), HYPERLINK(CONCATENATE("#metadata!", ADDRESS(INDEX($K$2:$K$1001,MATCH(ROWS($I$2:I78),$I$2:$I$1001,0),0), INDEX($P$1004:$S$1004,1,MATCH(COLUMNS($P$1006:R1006),$P$1006:$S$1006,0)))),"Fix")))</f>
        <v>0</v>
      </c>
      <c r="E78" s="3">
        <f>IF(OR(INDEX($J$2:$J$1001,MATCH(ROWS($I$2:I78),$I$2:$I$1001,0),1)&gt;=100000,INDEX($P$1005:$S$1005,1,MATCH(COLUMNS($P$1006:S1006),$P$1006:$S$1006,0))&gt;=100000), " ",IF(INDEX($P$2:$S$1001,MATCH(ROWS($I$2:I78),$I$2:$I$1001,0),MATCH(COLUMNS($P$1006:S1006),$P$1006:$S$1006,0)), HYPERLINK("#",""), HYPERLINK(CONCATENATE("#metadata!", ADDRESS(INDEX($K$2:$K$1001,MATCH(ROWS($I$2:I78),$I$2:$I$1001,0),0), INDEX($P$1004:$S$1004,1,MATCH(COLUMNS($P$1006:S1006),$P$1006:$S$1006,0)))),"Fix")))</f>
        <v>0</v>
      </c>
      <c r="I78">
        <v>0</v>
      </c>
      <c r="J78">
        <v>0</v>
      </c>
      <c r="K78">
        <v>0</v>
      </c>
      <c r="L78">
        <f>IF(M78,TRUE,AND(P78:S78))</f>
        <v>0</v>
      </c>
      <c r="M78">
        <f>COUNTBLANK(metadata!B78:E78)=COLUMNS(metadata!B78:E78)</f>
        <v>0</v>
      </c>
      <c r="N78">
        <v>0</v>
      </c>
      <c r="P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Q78">
        <f>AND(IF(metadata!C78="",FALSE,TRUE),exact(metadata!C78,"other"))</f>
        <v>0</v>
      </c>
      <c r="R78">
        <f>AND(IF(metadata!D78="",FALSE,TRUE),exact(metadata!D78,"metagenome"))</f>
        <v>0</v>
      </c>
      <c r="S78">
        <f>AND(IF(metadata!E78="",FALSE,TRUE),exact(metadata!E78,"256318"))</f>
        <v>0</v>
      </c>
    </row>
    <row r="79" spans="1:19">
      <c r="A79" s="4">
        <f>IF(B79=" "," ",HYPERLINK(CONCATENATE("#metadata!",ADDRESS(INDEX($K$2:$K$1001,MATCH(ROWS($I$2:I79),$I$2:$I$1001,0),0),1)),INDEX($N$2:$N$1001,MATCH(ROWS($I$2:I79),$I$2:$I$1001,0),0)))</f>
        <v>0</v>
      </c>
      <c r="B79" s="3">
        <f>IF(OR(INDEX($J$2:$J$1001,MATCH(ROWS($I$2:I79),$I$2:$I$1001,0),1)&gt;=100000,INDEX($P$1005:$S$1005,1,MATCH(COLUMNS($P$1006:P1006),$P$1006:$S$1006,0))&gt;=100000), " ",IF(INDEX($P$2:$S$1001,MATCH(ROWS($I$2:I79),$I$2:$I$1001,0),MATCH(COLUMNS($P$1006:P1006),$P$1006:$S$1006,0)), HYPERLINK("#",""), HYPERLINK(CONCATENATE("#metadata!", ADDRESS(INDEX($K$2:$K$1001,MATCH(ROWS($I$2:I79),$I$2:$I$1001,0),0), INDEX($P$1004:$S$1004,1,MATCH(COLUMNS($P$1006:P1006),$P$1006:$S$1006,0)))),"Fix")))</f>
        <v>0</v>
      </c>
      <c r="C79" s="3">
        <f>IF(OR(INDEX($J$2:$J$1001,MATCH(ROWS($I$2:I79),$I$2:$I$1001,0),1)&gt;=100000,INDEX($P$1005:$S$1005,1,MATCH(COLUMNS($P$1006:Q1006),$P$1006:$S$1006,0))&gt;=100000), " ",IF(INDEX($P$2:$S$1001,MATCH(ROWS($I$2:I79),$I$2:$I$1001,0),MATCH(COLUMNS($P$1006:Q1006),$P$1006:$S$1006,0)), HYPERLINK("#",""), HYPERLINK(CONCATENATE("#metadata!", ADDRESS(INDEX($K$2:$K$1001,MATCH(ROWS($I$2:I79),$I$2:$I$1001,0),0), INDEX($P$1004:$S$1004,1,MATCH(COLUMNS($P$1006:Q1006),$P$1006:$S$1006,0)))),"Fix")))</f>
        <v>0</v>
      </c>
      <c r="D79" s="3">
        <f>IF(OR(INDEX($J$2:$J$1001,MATCH(ROWS($I$2:I79),$I$2:$I$1001,0),1)&gt;=100000,INDEX($P$1005:$S$1005,1,MATCH(COLUMNS($P$1006:R1006),$P$1006:$S$1006,0))&gt;=100000), " ",IF(INDEX($P$2:$S$1001,MATCH(ROWS($I$2:I79),$I$2:$I$1001,0),MATCH(COLUMNS($P$1006:R1006),$P$1006:$S$1006,0)), HYPERLINK("#",""), HYPERLINK(CONCATENATE("#metadata!", ADDRESS(INDEX($K$2:$K$1001,MATCH(ROWS($I$2:I79),$I$2:$I$1001,0),0), INDEX($P$1004:$S$1004,1,MATCH(COLUMNS($P$1006:R1006),$P$1006:$S$1006,0)))),"Fix")))</f>
        <v>0</v>
      </c>
      <c r="E79" s="3">
        <f>IF(OR(INDEX($J$2:$J$1001,MATCH(ROWS($I$2:I79),$I$2:$I$1001,0),1)&gt;=100000,INDEX($P$1005:$S$1005,1,MATCH(COLUMNS($P$1006:S1006),$P$1006:$S$1006,0))&gt;=100000), " ",IF(INDEX($P$2:$S$1001,MATCH(ROWS($I$2:I79),$I$2:$I$1001,0),MATCH(COLUMNS($P$1006:S1006),$P$1006:$S$1006,0)), HYPERLINK("#",""), HYPERLINK(CONCATENATE("#metadata!", ADDRESS(INDEX($K$2:$K$1001,MATCH(ROWS($I$2:I79),$I$2:$I$1001,0),0), INDEX($P$1004:$S$1004,1,MATCH(COLUMNS($P$1006:S1006),$P$1006:$S$1006,0)))),"Fix")))</f>
        <v>0</v>
      </c>
      <c r="I79">
        <v>0</v>
      </c>
      <c r="J79">
        <v>0</v>
      </c>
      <c r="K79">
        <v>0</v>
      </c>
      <c r="L79">
        <f>IF(M79,TRUE,AND(P79:S79))</f>
        <v>0</v>
      </c>
      <c r="M79">
        <f>COUNTBLANK(metadata!B79:E79)=COLUMNS(metadata!B79:E79)</f>
        <v>0</v>
      </c>
      <c r="N79">
        <v>0</v>
      </c>
      <c r="P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Q79">
        <f>AND(IF(metadata!C79="",FALSE,TRUE),exact(metadata!C79,"other"))</f>
        <v>0</v>
      </c>
      <c r="R79">
        <f>AND(IF(metadata!D79="",FALSE,TRUE),exact(metadata!D79,"metagenome"))</f>
        <v>0</v>
      </c>
      <c r="S79">
        <f>AND(IF(metadata!E79="",FALSE,TRUE),exact(metadata!E79,"256318"))</f>
        <v>0</v>
      </c>
    </row>
    <row r="80" spans="1:19">
      <c r="A80" s="4">
        <f>IF(B80=" "," ",HYPERLINK(CONCATENATE("#metadata!",ADDRESS(INDEX($K$2:$K$1001,MATCH(ROWS($I$2:I80),$I$2:$I$1001,0),0),1)),INDEX($N$2:$N$1001,MATCH(ROWS($I$2:I80),$I$2:$I$1001,0),0)))</f>
        <v>0</v>
      </c>
      <c r="B80" s="3">
        <f>IF(OR(INDEX($J$2:$J$1001,MATCH(ROWS($I$2:I80),$I$2:$I$1001,0),1)&gt;=100000,INDEX($P$1005:$S$1005,1,MATCH(COLUMNS($P$1006:P1006),$P$1006:$S$1006,0))&gt;=100000), " ",IF(INDEX($P$2:$S$1001,MATCH(ROWS($I$2:I80),$I$2:$I$1001,0),MATCH(COLUMNS($P$1006:P1006),$P$1006:$S$1006,0)), HYPERLINK("#",""), HYPERLINK(CONCATENATE("#metadata!", ADDRESS(INDEX($K$2:$K$1001,MATCH(ROWS($I$2:I80),$I$2:$I$1001,0),0), INDEX($P$1004:$S$1004,1,MATCH(COLUMNS($P$1006:P1006),$P$1006:$S$1006,0)))),"Fix")))</f>
        <v>0</v>
      </c>
      <c r="C80" s="3">
        <f>IF(OR(INDEX($J$2:$J$1001,MATCH(ROWS($I$2:I80),$I$2:$I$1001,0),1)&gt;=100000,INDEX($P$1005:$S$1005,1,MATCH(COLUMNS($P$1006:Q1006),$P$1006:$S$1006,0))&gt;=100000), " ",IF(INDEX($P$2:$S$1001,MATCH(ROWS($I$2:I80),$I$2:$I$1001,0),MATCH(COLUMNS($P$1006:Q1006),$P$1006:$S$1006,0)), HYPERLINK("#",""), HYPERLINK(CONCATENATE("#metadata!", ADDRESS(INDEX($K$2:$K$1001,MATCH(ROWS($I$2:I80),$I$2:$I$1001,0),0), INDEX($P$1004:$S$1004,1,MATCH(COLUMNS($P$1006:Q1006),$P$1006:$S$1006,0)))),"Fix")))</f>
        <v>0</v>
      </c>
      <c r="D80" s="3">
        <f>IF(OR(INDEX($J$2:$J$1001,MATCH(ROWS($I$2:I80),$I$2:$I$1001,0),1)&gt;=100000,INDEX($P$1005:$S$1005,1,MATCH(COLUMNS($P$1006:R1006),$P$1006:$S$1006,0))&gt;=100000), " ",IF(INDEX($P$2:$S$1001,MATCH(ROWS($I$2:I80),$I$2:$I$1001,0),MATCH(COLUMNS($P$1006:R1006),$P$1006:$S$1006,0)), HYPERLINK("#",""), HYPERLINK(CONCATENATE("#metadata!", ADDRESS(INDEX($K$2:$K$1001,MATCH(ROWS($I$2:I80),$I$2:$I$1001,0),0), INDEX($P$1004:$S$1004,1,MATCH(COLUMNS($P$1006:R1006),$P$1006:$S$1006,0)))),"Fix")))</f>
        <v>0</v>
      </c>
      <c r="E80" s="3">
        <f>IF(OR(INDEX($J$2:$J$1001,MATCH(ROWS($I$2:I80),$I$2:$I$1001,0),1)&gt;=100000,INDEX($P$1005:$S$1005,1,MATCH(COLUMNS($P$1006:S1006),$P$1006:$S$1006,0))&gt;=100000), " ",IF(INDEX($P$2:$S$1001,MATCH(ROWS($I$2:I80),$I$2:$I$1001,0),MATCH(COLUMNS($P$1006:S1006),$P$1006:$S$1006,0)), HYPERLINK("#",""), HYPERLINK(CONCATENATE("#metadata!", ADDRESS(INDEX($K$2:$K$1001,MATCH(ROWS($I$2:I80),$I$2:$I$1001,0),0), INDEX($P$1004:$S$1004,1,MATCH(COLUMNS($P$1006:S1006),$P$1006:$S$1006,0)))),"Fix")))</f>
        <v>0</v>
      </c>
      <c r="I80">
        <v>0</v>
      </c>
      <c r="J80">
        <v>0</v>
      </c>
      <c r="K80">
        <v>0</v>
      </c>
      <c r="L80">
        <f>IF(M80,TRUE,AND(P80:S80))</f>
        <v>0</v>
      </c>
      <c r="M80">
        <f>COUNTBLANK(metadata!B80:E80)=COLUMNS(metadata!B80:E80)</f>
        <v>0</v>
      </c>
      <c r="N80">
        <v>0</v>
      </c>
      <c r="P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Q80">
        <f>AND(IF(metadata!C80="",FALSE,TRUE),exact(metadata!C80,"other"))</f>
        <v>0</v>
      </c>
      <c r="R80">
        <f>AND(IF(metadata!D80="",FALSE,TRUE),exact(metadata!D80,"metagenome"))</f>
        <v>0</v>
      </c>
      <c r="S80">
        <f>AND(IF(metadata!E80="",FALSE,TRUE),exact(metadata!E80,"256318"))</f>
        <v>0</v>
      </c>
    </row>
    <row r="81" spans="1:19">
      <c r="A81" s="4">
        <f>IF(B81=" "," ",HYPERLINK(CONCATENATE("#metadata!",ADDRESS(INDEX($K$2:$K$1001,MATCH(ROWS($I$2:I81),$I$2:$I$1001,0),0),1)),INDEX($N$2:$N$1001,MATCH(ROWS($I$2:I81),$I$2:$I$1001,0),0)))</f>
        <v>0</v>
      </c>
      <c r="B81" s="3">
        <f>IF(OR(INDEX($J$2:$J$1001,MATCH(ROWS($I$2:I81),$I$2:$I$1001,0),1)&gt;=100000,INDEX($P$1005:$S$1005,1,MATCH(COLUMNS($P$1006:P1006),$P$1006:$S$1006,0))&gt;=100000), " ",IF(INDEX($P$2:$S$1001,MATCH(ROWS($I$2:I81),$I$2:$I$1001,0),MATCH(COLUMNS($P$1006:P1006),$P$1006:$S$1006,0)), HYPERLINK("#",""), HYPERLINK(CONCATENATE("#metadata!", ADDRESS(INDEX($K$2:$K$1001,MATCH(ROWS($I$2:I81),$I$2:$I$1001,0),0), INDEX($P$1004:$S$1004,1,MATCH(COLUMNS($P$1006:P1006),$P$1006:$S$1006,0)))),"Fix")))</f>
        <v>0</v>
      </c>
      <c r="C81" s="3">
        <f>IF(OR(INDEX($J$2:$J$1001,MATCH(ROWS($I$2:I81),$I$2:$I$1001,0),1)&gt;=100000,INDEX($P$1005:$S$1005,1,MATCH(COLUMNS($P$1006:Q1006),$P$1006:$S$1006,0))&gt;=100000), " ",IF(INDEX($P$2:$S$1001,MATCH(ROWS($I$2:I81),$I$2:$I$1001,0),MATCH(COLUMNS($P$1006:Q1006),$P$1006:$S$1006,0)), HYPERLINK("#",""), HYPERLINK(CONCATENATE("#metadata!", ADDRESS(INDEX($K$2:$K$1001,MATCH(ROWS($I$2:I81),$I$2:$I$1001,0),0), INDEX($P$1004:$S$1004,1,MATCH(COLUMNS($P$1006:Q1006),$P$1006:$S$1006,0)))),"Fix")))</f>
        <v>0</v>
      </c>
      <c r="D81" s="3">
        <f>IF(OR(INDEX($J$2:$J$1001,MATCH(ROWS($I$2:I81),$I$2:$I$1001,0),1)&gt;=100000,INDEX($P$1005:$S$1005,1,MATCH(COLUMNS($P$1006:R1006),$P$1006:$S$1006,0))&gt;=100000), " ",IF(INDEX($P$2:$S$1001,MATCH(ROWS($I$2:I81),$I$2:$I$1001,0),MATCH(COLUMNS($P$1006:R1006),$P$1006:$S$1006,0)), HYPERLINK("#",""), HYPERLINK(CONCATENATE("#metadata!", ADDRESS(INDEX($K$2:$K$1001,MATCH(ROWS($I$2:I81),$I$2:$I$1001,0),0), INDEX($P$1004:$S$1004,1,MATCH(COLUMNS($P$1006:R1006),$P$1006:$S$1006,0)))),"Fix")))</f>
        <v>0</v>
      </c>
      <c r="E81" s="3">
        <f>IF(OR(INDEX($J$2:$J$1001,MATCH(ROWS($I$2:I81),$I$2:$I$1001,0),1)&gt;=100000,INDEX($P$1005:$S$1005,1,MATCH(COLUMNS($P$1006:S1006),$P$1006:$S$1006,0))&gt;=100000), " ",IF(INDEX($P$2:$S$1001,MATCH(ROWS($I$2:I81),$I$2:$I$1001,0),MATCH(COLUMNS($P$1006:S1006),$P$1006:$S$1006,0)), HYPERLINK("#",""), HYPERLINK(CONCATENATE("#metadata!", ADDRESS(INDEX($K$2:$K$1001,MATCH(ROWS($I$2:I81),$I$2:$I$1001,0),0), INDEX($P$1004:$S$1004,1,MATCH(COLUMNS($P$1006:S1006),$P$1006:$S$1006,0)))),"Fix")))</f>
        <v>0</v>
      </c>
      <c r="I81">
        <v>0</v>
      </c>
      <c r="J81">
        <v>0</v>
      </c>
      <c r="K81">
        <v>0</v>
      </c>
      <c r="L81">
        <f>IF(M81,TRUE,AND(P81:S81))</f>
        <v>0</v>
      </c>
      <c r="M81">
        <f>COUNTBLANK(metadata!B81:E81)=COLUMNS(metadata!B81:E81)</f>
        <v>0</v>
      </c>
      <c r="N81">
        <v>0</v>
      </c>
      <c r="P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Q81">
        <f>AND(IF(metadata!C81="",FALSE,TRUE),exact(metadata!C81,"other"))</f>
        <v>0</v>
      </c>
      <c r="R81">
        <f>AND(IF(metadata!D81="",FALSE,TRUE),exact(metadata!D81,"metagenome"))</f>
        <v>0</v>
      </c>
      <c r="S81">
        <f>AND(IF(metadata!E81="",FALSE,TRUE),exact(metadata!E81,"256318"))</f>
        <v>0</v>
      </c>
    </row>
    <row r="82" spans="1:19">
      <c r="A82" s="4">
        <f>IF(B82=" "," ",HYPERLINK(CONCATENATE("#metadata!",ADDRESS(INDEX($K$2:$K$1001,MATCH(ROWS($I$2:I82),$I$2:$I$1001,0),0),1)),INDEX($N$2:$N$1001,MATCH(ROWS($I$2:I82),$I$2:$I$1001,0),0)))</f>
        <v>0</v>
      </c>
      <c r="B82" s="3">
        <f>IF(OR(INDEX($J$2:$J$1001,MATCH(ROWS($I$2:I82),$I$2:$I$1001,0),1)&gt;=100000,INDEX($P$1005:$S$1005,1,MATCH(COLUMNS($P$1006:P1006),$P$1006:$S$1006,0))&gt;=100000), " ",IF(INDEX($P$2:$S$1001,MATCH(ROWS($I$2:I82),$I$2:$I$1001,0),MATCH(COLUMNS($P$1006:P1006),$P$1006:$S$1006,0)), HYPERLINK("#",""), HYPERLINK(CONCATENATE("#metadata!", ADDRESS(INDEX($K$2:$K$1001,MATCH(ROWS($I$2:I82),$I$2:$I$1001,0),0), INDEX($P$1004:$S$1004,1,MATCH(COLUMNS($P$1006:P1006),$P$1006:$S$1006,0)))),"Fix")))</f>
        <v>0</v>
      </c>
      <c r="C82" s="3">
        <f>IF(OR(INDEX($J$2:$J$1001,MATCH(ROWS($I$2:I82),$I$2:$I$1001,0),1)&gt;=100000,INDEX($P$1005:$S$1005,1,MATCH(COLUMNS($P$1006:Q1006),$P$1006:$S$1006,0))&gt;=100000), " ",IF(INDEX($P$2:$S$1001,MATCH(ROWS($I$2:I82),$I$2:$I$1001,0),MATCH(COLUMNS($P$1006:Q1006),$P$1006:$S$1006,0)), HYPERLINK("#",""), HYPERLINK(CONCATENATE("#metadata!", ADDRESS(INDEX($K$2:$K$1001,MATCH(ROWS($I$2:I82),$I$2:$I$1001,0),0), INDEX($P$1004:$S$1004,1,MATCH(COLUMNS($P$1006:Q1006),$P$1006:$S$1006,0)))),"Fix")))</f>
        <v>0</v>
      </c>
      <c r="D82" s="3">
        <f>IF(OR(INDEX($J$2:$J$1001,MATCH(ROWS($I$2:I82),$I$2:$I$1001,0),1)&gt;=100000,INDEX($P$1005:$S$1005,1,MATCH(COLUMNS($P$1006:R1006),$P$1006:$S$1006,0))&gt;=100000), " ",IF(INDEX($P$2:$S$1001,MATCH(ROWS($I$2:I82),$I$2:$I$1001,0),MATCH(COLUMNS($P$1006:R1006),$P$1006:$S$1006,0)), HYPERLINK("#",""), HYPERLINK(CONCATENATE("#metadata!", ADDRESS(INDEX($K$2:$K$1001,MATCH(ROWS($I$2:I82),$I$2:$I$1001,0),0), INDEX($P$1004:$S$1004,1,MATCH(COLUMNS($P$1006:R1006),$P$1006:$S$1006,0)))),"Fix")))</f>
        <v>0</v>
      </c>
      <c r="E82" s="3">
        <f>IF(OR(INDEX($J$2:$J$1001,MATCH(ROWS($I$2:I82),$I$2:$I$1001,0),1)&gt;=100000,INDEX($P$1005:$S$1005,1,MATCH(COLUMNS($P$1006:S1006),$P$1006:$S$1006,0))&gt;=100000), " ",IF(INDEX($P$2:$S$1001,MATCH(ROWS($I$2:I82),$I$2:$I$1001,0),MATCH(COLUMNS($P$1006:S1006),$P$1006:$S$1006,0)), HYPERLINK("#",""), HYPERLINK(CONCATENATE("#metadata!", ADDRESS(INDEX($K$2:$K$1001,MATCH(ROWS($I$2:I82),$I$2:$I$1001,0),0), INDEX($P$1004:$S$1004,1,MATCH(COLUMNS($P$1006:S1006),$P$1006:$S$1006,0)))),"Fix")))</f>
        <v>0</v>
      </c>
      <c r="I82">
        <v>0</v>
      </c>
      <c r="J82">
        <v>0</v>
      </c>
      <c r="K82">
        <v>0</v>
      </c>
      <c r="L82">
        <f>IF(M82,TRUE,AND(P82:S82))</f>
        <v>0</v>
      </c>
      <c r="M82">
        <f>COUNTBLANK(metadata!B82:E82)=COLUMNS(metadata!B82:E82)</f>
        <v>0</v>
      </c>
      <c r="N82">
        <v>0</v>
      </c>
      <c r="P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Q82">
        <f>AND(IF(metadata!C82="",FALSE,TRUE),exact(metadata!C82,"other"))</f>
        <v>0</v>
      </c>
      <c r="R82">
        <f>AND(IF(metadata!D82="",FALSE,TRUE),exact(metadata!D82,"metagenome"))</f>
        <v>0</v>
      </c>
      <c r="S82">
        <f>AND(IF(metadata!E82="",FALSE,TRUE),exact(metadata!E82,"256318"))</f>
        <v>0</v>
      </c>
    </row>
    <row r="83" spans="1:19">
      <c r="A83" s="4">
        <f>IF(B83=" "," ",HYPERLINK(CONCATENATE("#metadata!",ADDRESS(INDEX($K$2:$K$1001,MATCH(ROWS($I$2:I83),$I$2:$I$1001,0),0),1)),INDEX($N$2:$N$1001,MATCH(ROWS($I$2:I83),$I$2:$I$1001,0),0)))</f>
        <v>0</v>
      </c>
      <c r="B83" s="3">
        <f>IF(OR(INDEX($J$2:$J$1001,MATCH(ROWS($I$2:I83),$I$2:$I$1001,0),1)&gt;=100000,INDEX($P$1005:$S$1005,1,MATCH(COLUMNS($P$1006:P1006),$P$1006:$S$1006,0))&gt;=100000), " ",IF(INDEX($P$2:$S$1001,MATCH(ROWS($I$2:I83),$I$2:$I$1001,0),MATCH(COLUMNS($P$1006:P1006),$P$1006:$S$1006,0)), HYPERLINK("#",""), HYPERLINK(CONCATENATE("#metadata!", ADDRESS(INDEX($K$2:$K$1001,MATCH(ROWS($I$2:I83),$I$2:$I$1001,0),0), INDEX($P$1004:$S$1004,1,MATCH(COLUMNS($P$1006:P1006),$P$1006:$S$1006,0)))),"Fix")))</f>
        <v>0</v>
      </c>
      <c r="C83" s="3">
        <f>IF(OR(INDEX($J$2:$J$1001,MATCH(ROWS($I$2:I83),$I$2:$I$1001,0),1)&gt;=100000,INDEX($P$1005:$S$1005,1,MATCH(COLUMNS($P$1006:Q1006),$P$1006:$S$1006,0))&gt;=100000), " ",IF(INDEX($P$2:$S$1001,MATCH(ROWS($I$2:I83),$I$2:$I$1001,0),MATCH(COLUMNS($P$1006:Q1006),$P$1006:$S$1006,0)), HYPERLINK("#",""), HYPERLINK(CONCATENATE("#metadata!", ADDRESS(INDEX($K$2:$K$1001,MATCH(ROWS($I$2:I83),$I$2:$I$1001,0),0), INDEX($P$1004:$S$1004,1,MATCH(COLUMNS($P$1006:Q1006),$P$1006:$S$1006,0)))),"Fix")))</f>
        <v>0</v>
      </c>
      <c r="D83" s="3">
        <f>IF(OR(INDEX($J$2:$J$1001,MATCH(ROWS($I$2:I83),$I$2:$I$1001,0),1)&gt;=100000,INDEX($P$1005:$S$1005,1,MATCH(COLUMNS($P$1006:R1006),$P$1006:$S$1006,0))&gt;=100000), " ",IF(INDEX($P$2:$S$1001,MATCH(ROWS($I$2:I83),$I$2:$I$1001,0),MATCH(COLUMNS($P$1006:R1006),$P$1006:$S$1006,0)), HYPERLINK("#",""), HYPERLINK(CONCATENATE("#metadata!", ADDRESS(INDEX($K$2:$K$1001,MATCH(ROWS($I$2:I83),$I$2:$I$1001,0),0), INDEX($P$1004:$S$1004,1,MATCH(COLUMNS($P$1006:R1006),$P$1006:$S$1006,0)))),"Fix")))</f>
        <v>0</v>
      </c>
      <c r="E83" s="3">
        <f>IF(OR(INDEX($J$2:$J$1001,MATCH(ROWS($I$2:I83),$I$2:$I$1001,0),1)&gt;=100000,INDEX($P$1005:$S$1005,1,MATCH(COLUMNS($P$1006:S1006),$P$1006:$S$1006,0))&gt;=100000), " ",IF(INDEX($P$2:$S$1001,MATCH(ROWS($I$2:I83),$I$2:$I$1001,0),MATCH(COLUMNS($P$1006:S1006),$P$1006:$S$1006,0)), HYPERLINK("#",""), HYPERLINK(CONCATENATE("#metadata!", ADDRESS(INDEX($K$2:$K$1001,MATCH(ROWS($I$2:I83),$I$2:$I$1001,0),0), INDEX($P$1004:$S$1004,1,MATCH(COLUMNS($P$1006:S1006),$P$1006:$S$1006,0)))),"Fix")))</f>
        <v>0</v>
      </c>
      <c r="I83">
        <v>0</v>
      </c>
      <c r="J83">
        <v>0</v>
      </c>
      <c r="K83">
        <v>0</v>
      </c>
      <c r="L83">
        <f>IF(M83,TRUE,AND(P83:S83))</f>
        <v>0</v>
      </c>
      <c r="M83">
        <f>COUNTBLANK(metadata!B83:E83)=COLUMNS(metadata!B83:E83)</f>
        <v>0</v>
      </c>
      <c r="N83">
        <v>0</v>
      </c>
      <c r="P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Q83">
        <f>AND(IF(metadata!C83="",FALSE,TRUE),exact(metadata!C83,"other"))</f>
        <v>0</v>
      </c>
      <c r="R83">
        <f>AND(IF(metadata!D83="",FALSE,TRUE),exact(metadata!D83,"metagenome"))</f>
        <v>0</v>
      </c>
      <c r="S83">
        <f>AND(IF(metadata!E83="",FALSE,TRUE),exact(metadata!E83,"256318"))</f>
        <v>0</v>
      </c>
    </row>
    <row r="84" spans="1:19">
      <c r="A84" s="4">
        <f>IF(B84=" "," ",HYPERLINK(CONCATENATE("#metadata!",ADDRESS(INDEX($K$2:$K$1001,MATCH(ROWS($I$2:I84),$I$2:$I$1001,0),0),1)),INDEX($N$2:$N$1001,MATCH(ROWS($I$2:I84),$I$2:$I$1001,0),0)))</f>
        <v>0</v>
      </c>
      <c r="B84" s="3">
        <f>IF(OR(INDEX($J$2:$J$1001,MATCH(ROWS($I$2:I84),$I$2:$I$1001,0),1)&gt;=100000,INDEX($P$1005:$S$1005,1,MATCH(COLUMNS($P$1006:P1006),$P$1006:$S$1006,0))&gt;=100000), " ",IF(INDEX($P$2:$S$1001,MATCH(ROWS($I$2:I84),$I$2:$I$1001,0),MATCH(COLUMNS($P$1006:P1006),$P$1006:$S$1006,0)), HYPERLINK("#",""), HYPERLINK(CONCATENATE("#metadata!", ADDRESS(INDEX($K$2:$K$1001,MATCH(ROWS($I$2:I84),$I$2:$I$1001,0),0), INDEX($P$1004:$S$1004,1,MATCH(COLUMNS($P$1006:P1006),$P$1006:$S$1006,0)))),"Fix")))</f>
        <v>0</v>
      </c>
      <c r="C84" s="3">
        <f>IF(OR(INDEX($J$2:$J$1001,MATCH(ROWS($I$2:I84),$I$2:$I$1001,0),1)&gt;=100000,INDEX($P$1005:$S$1005,1,MATCH(COLUMNS($P$1006:Q1006),$P$1006:$S$1006,0))&gt;=100000), " ",IF(INDEX($P$2:$S$1001,MATCH(ROWS($I$2:I84),$I$2:$I$1001,0),MATCH(COLUMNS($P$1006:Q1006),$P$1006:$S$1006,0)), HYPERLINK("#",""), HYPERLINK(CONCATENATE("#metadata!", ADDRESS(INDEX($K$2:$K$1001,MATCH(ROWS($I$2:I84),$I$2:$I$1001,0),0), INDEX($P$1004:$S$1004,1,MATCH(COLUMNS($P$1006:Q1006),$P$1006:$S$1006,0)))),"Fix")))</f>
        <v>0</v>
      </c>
      <c r="D84" s="3">
        <f>IF(OR(INDEX($J$2:$J$1001,MATCH(ROWS($I$2:I84),$I$2:$I$1001,0),1)&gt;=100000,INDEX($P$1005:$S$1005,1,MATCH(COLUMNS($P$1006:R1006),$P$1006:$S$1006,0))&gt;=100000), " ",IF(INDEX($P$2:$S$1001,MATCH(ROWS($I$2:I84),$I$2:$I$1001,0),MATCH(COLUMNS($P$1006:R1006),$P$1006:$S$1006,0)), HYPERLINK("#",""), HYPERLINK(CONCATENATE("#metadata!", ADDRESS(INDEX($K$2:$K$1001,MATCH(ROWS($I$2:I84),$I$2:$I$1001,0),0), INDEX($P$1004:$S$1004,1,MATCH(COLUMNS($P$1006:R1006),$P$1006:$S$1006,0)))),"Fix")))</f>
        <v>0</v>
      </c>
      <c r="E84" s="3">
        <f>IF(OR(INDEX($J$2:$J$1001,MATCH(ROWS($I$2:I84),$I$2:$I$1001,0),1)&gt;=100000,INDEX($P$1005:$S$1005,1,MATCH(COLUMNS($P$1006:S1006),$P$1006:$S$1006,0))&gt;=100000), " ",IF(INDEX($P$2:$S$1001,MATCH(ROWS($I$2:I84),$I$2:$I$1001,0),MATCH(COLUMNS($P$1006:S1006),$P$1006:$S$1006,0)), HYPERLINK("#",""), HYPERLINK(CONCATENATE("#metadata!", ADDRESS(INDEX($K$2:$K$1001,MATCH(ROWS($I$2:I84),$I$2:$I$1001,0),0), INDEX($P$1004:$S$1004,1,MATCH(COLUMNS($P$1006:S1006),$P$1006:$S$1006,0)))),"Fix")))</f>
        <v>0</v>
      </c>
      <c r="I84">
        <v>0</v>
      </c>
      <c r="J84">
        <v>0</v>
      </c>
      <c r="K84">
        <v>0</v>
      </c>
      <c r="L84">
        <f>IF(M84,TRUE,AND(P84:S84))</f>
        <v>0</v>
      </c>
      <c r="M84">
        <f>COUNTBLANK(metadata!B84:E84)=COLUMNS(metadata!B84:E84)</f>
        <v>0</v>
      </c>
      <c r="N84">
        <v>0</v>
      </c>
      <c r="P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Q84">
        <f>AND(IF(metadata!C84="",FALSE,TRUE),exact(metadata!C84,"other"))</f>
        <v>0</v>
      </c>
      <c r="R84">
        <f>AND(IF(metadata!D84="",FALSE,TRUE),exact(metadata!D84,"metagenome"))</f>
        <v>0</v>
      </c>
      <c r="S84">
        <f>AND(IF(metadata!E84="",FALSE,TRUE),exact(metadata!E84,"256318"))</f>
        <v>0</v>
      </c>
    </row>
    <row r="85" spans="1:19">
      <c r="A85" s="4">
        <f>IF(B85=" "," ",HYPERLINK(CONCATENATE("#metadata!",ADDRESS(INDEX($K$2:$K$1001,MATCH(ROWS($I$2:I85),$I$2:$I$1001,0),0),1)),INDEX($N$2:$N$1001,MATCH(ROWS($I$2:I85),$I$2:$I$1001,0),0)))</f>
        <v>0</v>
      </c>
      <c r="B85" s="3">
        <f>IF(OR(INDEX($J$2:$J$1001,MATCH(ROWS($I$2:I85),$I$2:$I$1001,0),1)&gt;=100000,INDEX($P$1005:$S$1005,1,MATCH(COLUMNS($P$1006:P1006),$P$1006:$S$1006,0))&gt;=100000), " ",IF(INDEX($P$2:$S$1001,MATCH(ROWS($I$2:I85),$I$2:$I$1001,0),MATCH(COLUMNS($P$1006:P1006),$P$1006:$S$1006,0)), HYPERLINK("#",""), HYPERLINK(CONCATENATE("#metadata!", ADDRESS(INDEX($K$2:$K$1001,MATCH(ROWS($I$2:I85),$I$2:$I$1001,0),0), INDEX($P$1004:$S$1004,1,MATCH(COLUMNS($P$1006:P1006),$P$1006:$S$1006,0)))),"Fix")))</f>
        <v>0</v>
      </c>
      <c r="C85" s="3">
        <f>IF(OR(INDEX($J$2:$J$1001,MATCH(ROWS($I$2:I85),$I$2:$I$1001,0),1)&gt;=100000,INDEX($P$1005:$S$1005,1,MATCH(COLUMNS($P$1006:Q1006),$P$1006:$S$1006,0))&gt;=100000), " ",IF(INDEX($P$2:$S$1001,MATCH(ROWS($I$2:I85),$I$2:$I$1001,0),MATCH(COLUMNS($P$1006:Q1006),$P$1006:$S$1006,0)), HYPERLINK("#",""), HYPERLINK(CONCATENATE("#metadata!", ADDRESS(INDEX($K$2:$K$1001,MATCH(ROWS($I$2:I85),$I$2:$I$1001,0),0), INDEX($P$1004:$S$1004,1,MATCH(COLUMNS($P$1006:Q1006),$P$1006:$S$1006,0)))),"Fix")))</f>
        <v>0</v>
      </c>
      <c r="D85" s="3">
        <f>IF(OR(INDEX($J$2:$J$1001,MATCH(ROWS($I$2:I85),$I$2:$I$1001,0),1)&gt;=100000,INDEX($P$1005:$S$1005,1,MATCH(COLUMNS($P$1006:R1006),$P$1006:$S$1006,0))&gt;=100000), " ",IF(INDEX($P$2:$S$1001,MATCH(ROWS($I$2:I85),$I$2:$I$1001,0),MATCH(COLUMNS($P$1006:R1006),$P$1006:$S$1006,0)), HYPERLINK("#",""), HYPERLINK(CONCATENATE("#metadata!", ADDRESS(INDEX($K$2:$K$1001,MATCH(ROWS($I$2:I85),$I$2:$I$1001,0),0), INDEX($P$1004:$S$1004,1,MATCH(COLUMNS($P$1006:R1006),$P$1006:$S$1006,0)))),"Fix")))</f>
        <v>0</v>
      </c>
      <c r="E85" s="3">
        <f>IF(OR(INDEX($J$2:$J$1001,MATCH(ROWS($I$2:I85),$I$2:$I$1001,0),1)&gt;=100000,INDEX($P$1005:$S$1005,1,MATCH(COLUMNS($P$1006:S1006),$P$1006:$S$1006,0))&gt;=100000), " ",IF(INDEX($P$2:$S$1001,MATCH(ROWS($I$2:I85),$I$2:$I$1001,0),MATCH(COLUMNS($P$1006:S1006),$P$1006:$S$1006,0)), HYPERLINK("#",""), HYPERLINK(CONCATENATE("#metadata!", ADDRESS(INDEX($K$2:$K$1001,MATCH(ROWS($I$2:I85),$I$2:$I$1001,0),0), INDEX($P$1004:$S$1004,1,MATCH(COLUMNS($P$1006:S1006),$P$1006:$S$1006,0)))),"Fix")))</f>
        <v>0</v>
      </c>
      <c r="I85">
        <v>0</v>
      </c>
      <c r="J85">
        <v>0</v>
      </c>
      <c r="K85">
        <v>0</v>
      </c>
      <c r="L85">
        <f>IF(M85,TRUE,AND(P85:S85))</f>
        <v>0</v>
      </c>
      <c r="M85">
        <f>COUNTBLANK(metadata!B85:E85)=COLUMNS(metadata!B85:E85)</f>
        <v>0</v>
      </c>
      <c r="N85">
        <v>0</v>
      </c>
      <c r="P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Q85">
        <f>AND(IF(metadata!C85="",FALSE,TRUE),exact(metadata!C85,"other"))</f>
        <v>0</v>
      </c>
      <c r="R85">
        <f>AND(IF(metadata!D85="",FALSE,TRUE),exact(metadata!D85,"metagenome"))</f>
        <v>0</v>
      </c>
      <c r="S85">
        <f>AND(IF(metadata!E85="",FALSE,TRUE),exact(metadata!E85,"256318"))</f>
        <v>0</v>
      </c>
    </row>
    <row r="86" spans="1:19">
      <c r="A86" s="4">
        <f>IF(B86=" "," ",HYPERLINK(CONCATENATE("#metadata!",ADDRESS(INDEX($K$2:$K$1001,MATCH(ROWS($I$2:I86),$I$2:$I$1001,0),0),1)),INDEX($N$2:$N$1001,MATCH(ROWS($I$2:I86),$I$2:$I$1001,0),0)))</f>
        <v>0</v>
      </c>
      <c r="B86" s="3">
        <f>IF(OR(INDEX($J$2:$J$1001,MATCH(ROWS($I$2:I86),$I$2:$I$1001,0),1)&gt;=100000,INDEX($P$1005:$S$1005,1,MATCH(COLUMNS($P$1006:P1006),$P$1006:$S$1006,0))&gt;=100000), " ",IF(INDEX($P$2:$S$1001,MATCH(ROWS($I$2:I86),$I$2:$I$1001,0),MATCH(COLUMNS($P$1006:P1006),$P$1006:$S$1006,0)), HYPERLINK("#",""), HYPERLINK(CONCATENATE("#metadata!", ADDRESS(INDEX($K$2:$K$1001,MATCH(ROWS($I$2:I86),$I$2:$I$1001,0),0), INDEX($P$1004:$S$1004,1,MATCH(COLUMNS($P$1006:P1006),$P$1006:$S$1006,0)))),"Fix")))</f>
        <v>0</v>
      </c>
      <c r="C86" s="3">
        <f>IF(OR(INDEX($J$2:$J$1001,MATCH(ROWS($I$2:I86),$I$2:$I$1001,0),1)&gt;=100000,INDEX($P$1005:$S$1005,1,MATCH(COLUMNS($P$1006:Q1006),$P$1006:$S$1006,0))&gt;=100000), " ",IF(INDEX($P$2:$S$1001,MATCH(ROWS($I$2:I86),$I$2:$I$1001,0),MATCH(COLUMNS($P$1006:Q1006),$P$1006:$S$1006,0)), HYPERLINK("#",""), HYPERLINK(CONCATENATE("#metadata!", ADDRESS(INDEX($K$2:$K$1001,MATCH(ROWS($I$2:I86),$I$2:$I$1001,0),0), INDEX($P$1004:$S$1004,1,MATCH(COLUMNS($P$1006:Q1006),$P$1006:$S$1006,0)))),"Fix")))</f>
        <v>0</v>
      </c>
      <c r="D86" s="3">
        <f>IF(OR(INDEX($J$2:$J$1001,MATCH(ROWS($I$2:I86),$I$2:$I$1001,0),1)&gt;=100000,INDEX($P$1005:$S$1005,1,MATCH(COLUMNS($P$1006:R1006),$P$1006:$S$1006,0))&gt;=100000), " ",IF(INDEX($P$2:$S$1001,MATCH(ROWS($I$2:I86),$I$2:$I$1001,0),MATCH(COLUMNS($P$1006:R1006),$P$1006:$S$1006,0)), HYPERLINK("#",""), HYPERLINK(CONCATENATE("#metadata!", ADDRESS(INDEX($K$2:$K$1001,MATCH(ROWS($I$2:I86),$I$2:$I$1001,0),0), INDEX($P$1004:$S$1004,1,MATCH(COLUMNS($P$1006:R1006),$P$1006:$S$1006,0)))),"Fix")))</f>
        <v>0</v>
      </c>
      <c r="E86" s="3">
        <f>IF(OR(INDEX($J$2:$J$1001,MATCH(ROWS($I$2:I86),$I$2:$I$1001,0),1)&gt;=100000,INDEX($P$1005:$S$1005,1,MATCH(COLUMNS($P$1006:S1006),$P$1006:$S$1006,0))&gt;=100000), " ",IF(INDEX($P$2:$S$1001,MATCH(ROWS($I$2:I86),$I$2:$I$1001,0),MATCH(COLUMNS($P$1006:S1006),$P$1006:$S$1006,0)), HYPERLINK("#",""), HYPERLINK(CONCATENATE("#metadata!", ADDRESS(INDEX($K$2:$K$1001,MATCH(ROWS($I$2:I86),$I$2:$I$1001,0),0), INDEX($P$1004:$S$1004,1,MATCH(COLUMNS($P$1006:S1006),$P$1006:$S$1006,0)))),"Fix")))</f>
        <v>0</v>
      </c>
      <c r="I86">
        <v>0</v>
      </c>
      <c r="J86">
        <v>0</v>
      </c>
      <c r="K86">
        <v>0</v>
      </c>
      <c r="L86">
        <f>IF(M86,TRUE,AND(P86:S86))</f>
        <v>0</v>
      </c>
      <c r="M86">
        <f>COUNTBLANK(metadata!B86:E86)=COLUMNS(metadata!B86:E86)</f>
        <v>0</v>
      </c>
      <c r="N86">
        <v>0</v>
      </c>
      <c r="P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Q86">
        <f>AND(IF(metadata!C86="",FALSE,TRUE),exact(metadata!C86,"other"))</f>
        <v>0</v>
      </c>
      <c r="R86">
        <f>AND(IF(metadata!D86="",FALSE,TRUE),exact(metadata!D86,"metagenome"))</f>
        <v>0</v>
      </c>
      <c r="S86">
        <f>AND(IF(metadata!E86="",FALSE,TRUE),exact(metadata!E86,"256318"))</f>
        <v>0</v>
      </c>
    </row>
    <row r="87" spans="1:19">
      <c r="A87" s="4">
        <f>IF(B87=" "," ",HYPERLINK(CONCATENATE("#metadata!",ADDRESS(INDEX($K$2:$K$1001,MATCH(ROWS($I$2:I87),$I$2:$I$1001,0),0),1)),INDEX($N$2:$N$1001,MATCH(ROWS($I$2:I87),$I$2:$I$1001,0),0)))</f>
        <v>0</v>
      </c>
      <c r="B87" s="3">
        <f>IF(OR(INDEX($J$2:$J$1001,MATCH(ROWS($I$2:I87),$I$2:$I$1001,0),1)&gt;=100000,INDEX($P$1005:$S$1005,1,MATCH(COLUMNS($P$1006:P1006),$P$1006:$S$1006,0))&gt;=100000), " ",IF(INDEX($P$2:$S$1001,MATCH(ROWS($I$2:I87),$I$2:$I$1001,0),MATCH(COLUMNS($P$1006:P1006),$P$1006:$S$1006,0)), HYPERLINK("#",""), HYPERLINK(CONCATENATE("#metadata!", ADDRESS(INDEX($K$2:$K$1001,MATCH(ROWS($I$2:I87),$I$2:$I$1001,0),0), INDEX($P$1004:$S$1004,1,MATCH(COLUMNS($P$1006:P1006),$P$1006:$S$1006,0)))),"Fix")))</f>
        <v>0</v>
      </c>
      <c r="C87" s="3">
        <f>IF(OR(INDEX($J$2:$J$1001,MATCH(ROWS($I$2:I87),$I$2:$I$1001,0),1)&gt;=100000,INDEX($P$1005:$S$1005,1,MATCH(COLUMNS($P$1006:Q1006),$P$1006:$S$1006,0))&gt;=100000), " ",IF(INDEX($P$2:$S$1001,MATCH(ROWS($I$2:I87),$I$2:$I$1001,0),MATCH(COLUMNS($P$1006:Q1006),$P$1006:$S$1006,0)), HYPERLINK("#",""), HYPERLINK(CONCATENATE("#metadata!", ADDRESS(INDEX($K$2:$K$1001,MATCH(ROWS($I$2:I87),$I$2:$I$1001,0),0), INDEX($P$1004:$S$1004,1,MATCH(COLUMNS($P$1006:Q1006),$P$1006:$S$1006,0)))),"Fix")))</f>
        <v>0</v>
      </c>
      <c r="D87" s="3">
        <f>IF(OR(INDEX($J$2:$J$1001,MATCH(ROWS($I$2:I87),$I$2:$I$1001,0),1)&gt;=100000,INDEX($P$1005:$S$1005,1,MATCH(COLUMNS($P$1006:R1006),$P$1006:$S$1006,0))&gt;=100000), " ",IF(INDEX($P$2:$S$1001,MATCH(ROWS($I$2:I87),$I$2:$I$1001,0),MATCH(COLUMNS($P$1006:R1006),$P$1006:$S$1006,0)), HYPERLINK("#",""), HYPERLINK(CONCATENATE("#metadata!", ADDRESS(INDEX($K$2:$K$1001,MATCH(ROWS($I$2:I87),$I$2:$I$1001,0),0), INDEX($P$1004:$S$1004,1,MATCH(COLUMNS($P$1006:R1006),$P$1006:$S$1006,0)))),"Fix")))</f>
        <v>0</v>
      </c>
      <c r="E87" s="3">
        <f>IF(OR(INDEX($J$2:$J$1001,MATCH(ROWS($I$2:I87),$I$2:$I$1001,0),1)&gt;=100000,INDEX($P$1005:$S$1005,1,MATCH(COLUMNS($P$1006:S1006),$P$1006:$S$1006,0))&gt;=100000), " ",IF(INDEX($P$2:$S$1001,MATCH(ROWS($I$2:I87),$I$2:$I$1001,0),MATCH(COLUMNS($P$1006:S1006),$P$1006:$S$1006,0)), HYPERLINK("#",""), HYPERLINK(CONCATENATE("#metadata!", ADDRESS(INDEX($K$2:$K$1001,MATCH(ROWS($I$2:I87),$I$2:$I$1001,0),0), INDEX($P$1004:$S$1004,1,MATCH(COLUMNS($P$1006:S1006),$P$1006:$S$1006,0)))),"Fix")))</f>
        <v>0</v>
      </c>
      <c r="I87">
        <v>0</v>
      </c>
      <c r="J87">
        <v>0</v>
      </c>
      <c r="K87">
        <v>0</v>
      </c>
      <c r="L87">
        <f>IF(M87,TRUE,AND(P87:S87))</f>
        <v>0</v>
      </c>
      <c r="M87">
        <f>COUNTBLANK(metadata!B87:E87)=COLUMNS(metadata!B87:E87)</f>
        <v>0</v>
      </c>
      <c r="N87">
        <v>0</v>
      </c>
      <c r="P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Q87">
        <f>AND(IF(metadata!C87="",FALSE,TRUE),exact(metadata!C87,"other"))</f>
        <v>0</v>
      </c>
      <c r="R87">
        <f>AND(IF(metadata!D87="",FALSE,TRUE),exact(metadata!D87,"metagenome"))</f>
        <v>0</v>
      </c>
      <c r="S87">
        <f>AND(IF(metadata!E87="",FALSE,TRUE),exact(metadata!E87,"256318"))</f>
        <v>0</v>
      </c>
    </row>
    <row r="88" spans="1:19">
      <c r="A88" s="4">
        <f>IF(B88=" "," ",HYPERLINK(CONCATENATE("#metadata!",ADDRESS(INDEX($K$2:$K$1001,MATCH(ROWS($I$2:I88),$I$2:$I$1001,0),0),1)),INDEX($N$2:$N$1001,MATCH(ROWS($I$2:I88),$I$2:$I$1001,0),0)))</f>
        <v>0</v>
      </c>
      <c r="B88" s="3">
        <f>IF(OR(INDEX($J$2:$J$1001,MATCH(ROWS($I$2:I88),$I$2:$I$1001,0),1)&gt;=100000,INDEX($P$1005:$S$1005,1,MATCH(COLUMNS($P$1006:P1006),$P$1006:$S$1006,0))&gt;=100000), " ",IF(INDEX($P$2:$S$1001,MATCH(ROWS($I$2:I88),$I$2:$I$1001,0),MATCH(COLUMNS($P$1006:P1006),$P$1006:$S$1006,0)), HYPERLINK("#",""), HYPERLINK(CONCATENATE("#metadata!", ADDRESS(INDEX($K$2:$K$1001,MATCH(ROWS($I$2:I88),$I$2:$I$1001,0),0), INDEX($P$1004:$S$1004,1,MATCH(COLUMNS($P$1006:P1006),$P$1006:$S$1006,0)))),"Fix")))</f>
        <v>0</v>
      </c>
      <c r="C88" s="3">
        <f>IF(OR(INDEX($J$2:$J$1001,MATCH(ROWS($I$2:I88),$I$2:$I$1001,0),1)&gt;=100000,INDEX($P$1005:$S$1005,1,MATCH(COLUMNS($P$1006:Q1006),$P$1006:$S$1006,0))&gt;=100000), " ",IF(INDEX($P$2:$S$1001,MATCH(ROWS($I$2:I88),$I$2:$I$1001,0),MATCH(COLUMNS($P$1006:Q1006),$P$1006:$S$1006,0)), HYPERLINK("#",""), HYPERLINK(CONCATENATE("#metadata!", ADDRESS(INDEX($K$2:$K$1001,MATCH(ROWS($I$2:I88),$I$2:$I$1001,0),0), INDEX($P$1004:$S$1004,1,MATCH(COLUMNS($P$1006:Q1006),$P$1006:$S$1006,0)))),"Fix")))</f>
        <v>0</v>
      </c>
      <c r="D88" s="3">
        <f>IF(OR(INDEX($J$2:$J$1001,MATCH(ROWS($I$2:I88),$I$2:$I$1001,0),1)&gt;=100000,INDEX($P$1005:$S$1005,1,MATCH(COLUMNS($P$1006:R1006),$P$1006:$S$1006,0))&gt;=100000), " ",IF(INDEX($P$2:$S$1001,MATCH(ROWS($I$2:I88),$I$2:$I$1001,0),MATCH(COLUMNS($P$1006:R1006),$P$1006:$S$1006,0)), HYPERLINK("#",""), HYPERLINK(CONCATENATE("#metadata!", ADDRESS(INDEX($K$2:$K$1001,MATCH(ROWS($I$2:I88),$I$2:$I$1001,0),0), INDEX($P$1004:$S$1004,1,MATCH(COLUMNS($P$1006:R1006),$P$1006:$S$1006,0)))),"Fix")))</f>
        <v>0</v>
      </c>
      <c r="E88" s="3">
        <f>IF(OR(INDEX($J$2:$J$1001,MATCH(ROWS($I$2:I88),$I$2:$I$1001,0),1)&gt;=100000,INDEX($P$1005:$S$1005,1,MATCH(COLUMNS($P$1006:S1006),$P$1006:$S$1006,0))&gt;=100000), " ",IF(INDEX($P$2:$S$1001,MATCH(ROWS($I$2:I88),$I$2:$I$1001,0),MATCH(COLUMNS($P$1006:S1006),$P$1006:$S$1006,0)), HYPERLINK("#",""), HYPERLINK(CONCATENATE("#metadata!", ADDRESS(INDEX($K$2:$K$1001,MATCH(ROWS($I$2:I88),$I$2:$I$1001,0),0), INDEX($P$1004:$S$1004,1,MATCH(COLUMNS($P$1006:S1006),$P$1006:$S$1006,0)))),"Fix")))</f>
        <v>0</v>
      </c>
      <c r="I88">
        <v>0</v>
      </c>
      <c r="J88">
        <v>0</v>
      </c>
      <c r="K88">
        <v>0</v>
      </c>
      <c r="L88">
        <f>IF(M88,TRUE,AND(P88:S88))</f>
        <v>0</v>
      </c>
      <c r="M88">
        <f>COUNTBLANK(metadata!B88:E88)=COLUMNS(metadata!B88:E88)</f>
        <v>0</v>
      </c>
      <c r="N88">
        <v>0</v>
      </c>
      <c r="P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Q88">
        <f>AND(IF(metadata!C88="",FALSE,TRUE),exact(metadata!C88,"other"))</f>
        <v>0</v>
      </c>
      <c r="R88">
        <f>AND(IF(metadata!D88="",FALSE,TRUE),exact(metadata!D88,"metagenome"))</f>
        <v>0</v>
      </c>
      <c r="S88">
        <f>AND(IF(metadata!E88="",FALSE,TRUE),exact(metadata!E88,"256318"))</f>
        <v>0</v>
      </c>
    </row>
    <row r="89" spans="1:19">
      <c r="A89" s="4">
        <f>IF(B89=" "," ",HYPERLINK(CONCATENATE("#metadata!",ADDRESS(INDEX($K$2:$K$1001,MATCH(ROWS($I$2:I89),$I$2:$I$1001,0),0),1)),INDEX($N$2:$N$1001,MATCH(ROWS($I$2:I89),$I$2:$I$1001,0),0)))</f>
        <v>0</v>
      </c>
      <c r="B89" s="3">
        <f>IF(OR(INDEX($J$2:$J$1001,MATCH(ROWS($I$2:I89),$I$2:$I$1001,0),1)&gt;=100000,INDEX($P$1005:$S$1005,1,MATCH(COLUMNS($P$1006:P1006),$P$1006:$S$1006,0))&gt;=100000), " ",IF(INDEX($P$2:$S$1001,MATCH(ROWS($I$2:I89),$I$2:$I$1001,0),MATCH(COLUMNS($P$1006:P1006),$P$1006:$S$1006,0)), HYPERLINK("#",""), HYPERLINK(CONCATENATE("#metadata!", ADDRESS(INDEX($K$2:$K$1001,MATCH(ROWS($I$2:I89),$I$2:$I$1001,0),0), INDEX($P$1004:$S$1004,1,MATCH(COLUMNS($P$1006:P1006),$P$1006:$S$1006,0)))),"Fix")))</f>
        <v>0</v>
      </c>
      <c r="C89" s="3">
        <f>IF(OR(INDEX($J$2:$J$1001,MATCH(ROWS($I$2:I89),$I$2:$I$1001,0),1)&gt;=100000,INDEX($P$1005:$S$1005,1,MATCH(COLUMNS($P$1006:Q1006),$P$1006:$S$1006,0))&gt;=100000), " ",IF(INDEX($P$2:$S$1001,MATCH(ROWS($I$2:I89),$I$2:$I$1001,0),MATCH(COLUMNS($P$1006:Q1006),$P$1006:$S$1006,0)), HYPERLINK("#",""), HYPERLINK(CONCATENATE("#metadata!", ADDRESS(INDEX($K$2:$K$1001,MATCH(ROWS($I$2:I89),$I$2:$I$1001,0),0), INDEX($P$1004:$S$1004,1,MATCH(COLUMNS($P$1006:Q1006),$P$1006:$S$1006,0)))),"Fix")))</f>
        <v>0</v>
      </c>
      <c r="D89" s="3">
        <f>IF(OR(INDEX($J$2:$J$1001,MATCH(ROWS($I$2:I89),$I$2:$I$1001,0),1)&gt;=100000,INDEX($P$1005:$S$1005,1,MATCH(COLUMNS($P$1006:R1006),$P$1006:$S$1006,0))&gt;=100000), " ",IF(INDEX($P$2:$S$1001,MATCH(ROWS($I$2:I89),$I$2:$I$1001,0),MATCH(COLUMNS($P$1006:R1006),$P$1006:$S$1006,0)), HYPERLINK("#",""), HYPERLINK(CONCATENATE("#metadata!", ADDRESS(INDEX($K$2:$K$1001,MATCH(ROWS($I$2:I89),$I$2:$I$1001,0),0), INDEX($P$1004:$S$1004,1,MATCH(COLUMNS($P$1006:R1006),$P$1006:$S$1006,0)))),"Fix")))</f>
        <v>0</v>
      </c>
      <c r="E89" s="3">
        <f>IF(OR(INDEX($J$2:$J$1001,MATCH(ROWS($I$2:I89),$I$2:$I$1001,0),1)&gt;=100000,INDEX($P$1005:$S$1005,1,MATCH(COLUMNS($P$1006:S1006),$P$1006:$S$1006,0))&gt;=100000), " ",IF(INDEX($P$2:$S$1001,MATCH(ROWS($I$2:I89),$I$2:$I$1001,0),MATCH(COLUMNS($P$1006:S1006),$P$1006:$S$1006,0)), HYPERLINK("#",""), HYPERLINK(CONCATENATE("#metadata!", ADDRESS(INDEX($K$2:$K$1001,MATCH(ROWS($I$2:I89),$I$2:$I$1001,0),0), INDEX($P$1004:$S$1004,1,MATCH(COLUMNS($P$1006:S1006),$P$1006:$S$1006,0)))),"Fix")))</f>
        <v>0</v>
      </c>
      <c r="I89">
        <v>0</v>
      </c>
      <c r="J89">
        <v>0</v>
      </c>
      <c r="K89">
        <v>0</v>
      </c>
      <c r="L89">
        <f>IF(M89,TRUE,AND(P89:S89))</f>
        <v>0</v>
      </c>
      <c r="M89">
        <f>COUNTBLANK(metadata!B89:E89)=COLUMNS(metadata!B89:E89)</f>
        <v>0</v>
      </c>
      <c r="N89">
        <v>0</v>
      </c>
      <c r="P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Q89">
        <f>AND(IF(metadata!C89="",FALSE,TRUE),exact(metadata!C89,"other"))</f>
        <v>0</v>
      </c>
      <c r="R89">
        <f>AND(IF(metadata!D89="",FALSE,TRUE),exact(metadata!D89,"metagenome"))</f>
        <v>0</v>
      </c>
      <c r="S89">
        <f>AND(IF(metadata!E89="",FALSE,TRUE),exact(metadata!E89,"256318"))</f>
        <v>0</v>
      </c>
    </row>
    <row r="90" spans="1:19">
      <c r="A90" s="4">
        <f>IF(B90=" "," ",HYPERLINK(CONCATENATE("#metadata!",ADDRESS(INDEX($K$2:$K$1001,MATCH(ROWS($I$2:I90),$I$2:$I$1001,0),0),1)),INDEX($N$2:$N$1001,MATCH(ROWS($I$2:I90),$I$2:$I$1001,0),0)))</f>
        <v>0</v>
      </c>
      <c r="B90" s="3">
        <f>IF(OR(INDEX($J$2:$J$1001,MATCH(ROWS($I$2:I90),$I$2:$I$1001,0),1)&gt;=100000,INDEX($P$1005:$S$1005,1,MATCH(COLUMNS($P$1006:P1006),$P$1006:$S$1006,0))&gt;=100000), " ",IF(INDEX($P$2:$S$1001,MATCH(ROWS($I$2:I90),$I$2:$I$1001,0),MATCH(COLUMNS($P$1006:P1006),$P$1006:$S$1006,0)), HYPERLINK("#",""), HYPERLINK(CONCATENATE("#metadata!", ADDRESS(INDEX($K$2:$K$1001,MATCH(ROWS($I$2:I90),$I$2:$I$1001,0),0), INDEX($P$1004:$S$1004,1,MATCH(COLUMNS($P$1006:P1006),$P$1006:$S$1006,0)))),"Fix")))</f>
        <v>0</v>
      </c>
      <c r="C90" s="3">
        <f>IF(OR(INDEX($J$2:$J$1001,MATCH(ROWS($I$2:I90),$I$2:$I$1001,0),1)&gt;=100000,INDEX($P$1005:$S$1005,1,MATCH(COLUMNS($P$1006:Q1006),$P$1006:$S$1006,0))&gt;=100000), " ",IF(INDEX($P$2:$S$1001,MATCH(ROWS($I$2:I90),$I$2:$I$1001,0),MATCH(COLUMNS($P$1006:Q1006),$P$1006:$S$1006,0)), HYPERLINK("#",""), HYPERLINK(CONCATENATE("#metadata!", ADDRESS(INDEX($K$2:$K$1001,MATCH(ROWS($I$2:I90),$I$2:$I$1001,0),0), INDEX($P$1004:$S$1004,1,MATCH(COLUMNS($P$1006:Q1006),$P$1006:$S$1006,0)))),"Fix")))</f>
        <v>0</v>
      </c>
      <c r="D90" s="3">
        <f>IF(OR(INDEX($J$2:$J$1001,MATCH(ROWS($I$2:I90),$I$2:$I$1001,0),1)&gt;=100000,INDEX($P$1005:$S$1005,1,MATCH(COLUMNS($P$1006:R1006),$P$1006:$S$1006,0))&gt;=100000), " ",IF(INDEX($P$2:$S$1001,MATCH(ROWS($I$2:I90),$I$2:$I$1001,0),MATCH(COLUMNS($P$1006:R1006),$P$1006:$S$1006,0)), HYPERLINK("#",""), HYPERLINK(CONCATENATE("#metadata!", ADDRESS(INDEX($K$2:$K$1001,MATCH(ROWS($I$2:I90),$I$2:$I$1001,0),0), INDEX($P$1004:$S$1004,1,MATCH(COLUMNS($P$1006:R1006),$P$1006:$S$1006,0)))),"Fix")))</f>
        <v>0</v>
      </c>
      <c r="E90" s="3">
        <f>IF(OR(INDEX($J$2:$J$1001,MATCH(ROWS($I$2:I90),$I$2:$I$1001,0),1)&gt;=100000,INDEX($P$1005:$S$1005,1,MATCH(COLUMNS($P$1006:S1006),$P$1006:$S$1006,0))&gt;=100000), " ",IF(INDEX($P$2:$S$1001,MATCH(ROWS($I$2:I90),$I$2:$I$1001,0),MATCH(COLUMNS($P$1006:S1006),$P$1006:$S$1006,0)), HYPERLINK("#",""), HYPERLINK(CONCATENATE("#metadata!", ADDRESS(INDEX($K$2:$K$1001,MATCH(ROWS($I$2:I90),$I$2:$I$1001,0),0), INDEX($P$1004:$S$1004,1,MATCH(COLUMNS($P$1006:S1006),$P$1006:$S$1006,0)))),"Fix")))</f>
        <v>0</v>
      </c>
      <c r="I90">
        <v>0</v>
      </c>
      <c r="J90">
        <v>0</v>
      </c>
      <c r="K90">
        <v>0</v>
      </c>
      <c r="L90">
        <f>IF(M90,TRUE,AND(P90:S90))</f>
        <v>0</v>
      </c>
      <c r="M90">
        <f>COUNTBLANK(metadata!B90:E90)=COLUMNS(metadata!B90:E90)</f>
        <v>0</v>
      </c>
      <c r="N90">
        <v>0</v>
      </c>
      <c r="P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Q90">
        <f>AND(IF(metadata!C90="",FALSE,TRUE),exact(metadata!C90,"other"))</f>
        <v>0</v>
      </c>
      <c r="R90">
        <f>AND(IF(metadata!D90="",FALSE,TRUE),exact(metadata!D90,"metagenome"))</f>
        <v>0</v>
      </c>
      <c r="S90">
        <f>AND(IF(metadata!E90="",FALSE,TRUE),exact(metadata!E90,"256318"))</f>
        <v>0</v>
      </c>
    </row>
    <row r="91" spans="1:19">
      <c r="A91" s="4">
        <f>IF(B91=" "," ",HYPERLINK(CONCATENATE("#metadata!",ADDRESS(INDEX($K$2:$K$1001,MATCH(ROWS($I$2:I91),$I$2:$I$1001,0),0),1)),INDEX($N$2:$N$1001,MATCH(ROWS($I$2:I91),$I$2:$I$1001,0),0)))</f>
        <v>0</v>
      </c>
      <c r="B91" s="3">
        <f>IF(OR(INDEX($J$2:$J$1001,MATCH(ROWS($I$2:I91),$I$2:$I$1001,0),1)&gt;=100000,INDEX($P$1005:$S$1005,1,MATCH(COLUMNS($P$1006:P1006),$P$1006:$S$1006,0))&gt;=100000), " ",IF(INDEX($P$2:$S$1001,MATCH(ROWS($I$2:I91),$I$2:$I$1001,0),MATCH(COLUMNS($P$1006:P1006),$P$1006:$S$1006,0)), HYPERLINK("#",""), HYPERLINK(CONCATENATE("#metadata!", ADDRESS(INDEX($K$2:$K$1001,MATCH(ROWS($I$2:I91),$I$2:$I$1001,0),0), INDEX($P$1004:$S$1004,1,MATCH(COLUMNS($P$1006:P1006),$P$1006:$S$1006,0)))),"Fix")))</f>
        <v>0</v>
      </c>
      <c r="C91" s="3">
        <f>IF(OR(INDEX($J$2:$J$1001,MATCH(ROWS($I$2:I91),$I$2:$I$1001,0),1)&gt;=100000,INDEX($P$1005:$S$1005,1,MATCH(COLUMNS($P$1006:Q1006),$P$1006:$S$1006,0))&gt;=100000), " ",IF(INDEX($P$2:$S$1001,MATCH(ROWS($I$2:I91),$I$2:$I$1001,0),MATCH(COLUMNS($P$1006:Q1006),$P$1006:$S$1006,0)), HYPERLINK("#",""), HYPERLINK(CONCATENATE("#metadata!", ADDRESS(INDEX($K$2:$K$1001,MATCH(ROWS($I$2:I91),$I$2:$I$1001,0),0), INDEX($P$1004:$S$1004,1,MATCH(COLUMNS($P$1006:Q1006),$P$1006:$S$1006,0)))),"Fix")))</f>
        <v>0</v>
      </c>
      <c r="D91" s="3">
        <f>IF(OR(INDEX($J$2:$J$1001,MATCH(ROWS($I$2:I91),$I$2:$I$1001,0),1)&gt;=100000,INDEX($P$1005:$S$1005,1,MATCH(COLUMNS($P$1006:R1006),$P$1006:$S$1006,0))&gt;=100000), " ",IF(INDEX($P$2:$S$1001,MATCH(ROWS($I$2:I91),$I$2:$I$1001,0),MATCH(COLUMNS($P$1006:R1006),$P$1006:$S$1006,0)), HYPERLINK("#",""), HYPERLINK(CONCATENATE("#metadata!", ADDRESS(INDEX($K$2:$K$1001,MATCH(ROWS($I$2:I91),$I$2:$I$1001,0),0), INDEX($P$1004:$S$1004,1,MATCH(COLUMNS($P$1006:R1006),$P$1006:$S$1006,0)))),"Fix")))</f>
        <v>0</v>
      </c>
      <c r="E91" s="3">
        <f>IF(OR(INDEX($J$2:$J$1001,MATCH(ROWS($I$2:I91),$I$2:$I$1001,0),1)&gt;=100000,INDEX($P$1005:$S$1005,1,MATCH(COLUMNS($P$1006:S1006),$P$1006:$S$1006,0))&gt;=100000), " ",IF(INDEX($P$2:$S$1001,MATCH(ROWS($I$2:I91),$I$2:$I$1001,0),MATCH(COLUMNS($P$1006:S1006),$P$1006:$S$1006,0)), HYPERLINK("#",""), HYPERLINK(CONCATENATE("#metadata!", ADDRESS(INDEX($K$2:$K$1001,MATCH(ROWS($I$2:I91),$I$2:$I$1001,0),0), INDEX($P$1004:$S$1004,1,MATCH(COLUMNS($P$1006:S1006),$P$1006:$S$1006,0)))),"Fix")))</f>
        <v>0</v>
      </c>
      <c r="I91">
        <v>0</v>
      </c>
      <c r="J91">
        <v>0</v>
      </c>
      <c r="K91">
        <v>0</v>
      </c>
      <c r="L91">
        <f>IF(M91,TRUE,AND(P91:S91))</f>
        <v>0</v>
      </c>
      <c r="M91">
        <f>COUNTBLANK(metadata!B91:E91)=COLUMNS(metadata!B91:E91)</f>
        <v>0</v>
      </c>
      <c r="N91">
        <v>0</v>
      </c>
      <c r="P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Q91">
        <f>AND(IF(metadata!C91="",FALSE,TRUE),exact(metadata!C91,"other"))</f>
        <v>0</v>
      </c>
      <c r="R91">
        <f>AND(IF(metadata!D91="",FALSE,TRUE),exact(metadata!D91,"metagenome"))</f>
        <v>0</v>
      </c>
      <c r="S91">
        <f>AND(IF(metadata!E91="",FALSE,TRUE),exact(metadata!E91,"256318"))</f>
        <v>0</v>
      </c>
    </row>
    <row r="92" spans="1:19">
      <c r="A92" s="4">
        <f>IF(B92=" "," ",HYPERLINK(CONCATENATE("#metadata!",ADDRESS(INDEX($K$2:$K$1001,MATCH(ROWS($I$2:I92),$I$2:$I$1001,0),0),1)),INDEX($N$2:$N$1001,MATCH(ROWS($I$2:I92),$I$2:$I$1001,0),0)))</f>
        <v>0</v>
      </c>
      <c r="B92" s="3">
        <f>IF(OR(INDEX($J$2:$J$1001,MATCH(ROWS($I$2:I92),$I$2:$I$1001,0),1)&gt;=100000,INDEX($P$1005:$S$1005,1,MATCH(COLUMNS($P$1006:P1006),$P$1006:$S$1006,0))&gt;=100000), " ",IF(INDEX($P$2:$S$1001,MATCH(ROWS($I$2:I92),$I$2:$I$1001,0),MATCH(COLUMNS($P$1006:P1006),$P$1006:$S$1006,0)), HYPERLINK("#",""), HYPERLINK(CONCATENATE("#metadata!", ADDRESS(INDEX($K$2:$K$1001,MATCH(ROWS($I$2:I92),$I$2:$I$1001,0),0), INDEX($P$1004:$S$1004,1,MATCH(COLUMNS($P$1006:P1006),$P$1006:$S$1006,0)))),"Fix")))</f>
        <v>0</v>
      </c>
      <c r="C92" s="3">
        <f>IF(OR(INDEX($J$2:$J$1001,MATCH(ROWS($I$2:I92),$I$2:$I$1001,0),1)&gt;=100000,INDEX($P$1005:$S$1005,1,MATCH(COLUMNS($P$1006:Q1006),$P$1006:$S$1006,0))&gt;=100000), " ",IF(INDEX($P$2:$S$1001,MATCH(ROWS($I$2:I92),$I$2:$I$1001,0),MATCH(COLUMNS($P$1006:Q1006),$P$1006:$S$1006,0)), HYPERLINK("#",""), HYPERLINK(CONCATENATE("#metadata!", ADDRESS(INDEX($K$2:$K$1001,MATCH(ROWS($I$2:I92),$I$2:$I$1001,0),0), INDEX($P$1004:$S$1004,1,MATCH(COLUMNS($P$1006:Q1006),$P$1006:$S$1006,0)))),"Fix")))</f>
        <v>0</v>
      </c>
      <c r="D92" s="3">
        <f>IF(OR(INDEX($J$2:$J$1001,MATCH(ROWS($I$2:I92),$I$2:$I$1001,0),1)&gt;=100000,INDEX($P$1005:$S$1005,1,MATCH(COLUMNS($P$1006:R1006),$P$1006:$S$1006,0))&gt;=100000), " ",IF(INDEX($P$2:$S$1001,MATCH(ROWS($I$2:I92),$I$2:$I$1001,0),MATCH(COLUMNS($P$1006:R1006),$P$1006:$S$1006,0)), HYPERLINK("#",""), HYPERLINK(CONCATENATE("#metadata!", ADDRESS(INDEX($K$2:$K$1001,MATCH(ROWS($I$2:I92),$I$2:$I$1001,0),0), INDEX($P$1004:$S$1004,1,MATCH(COLUMNS($P$1006:R1006),$P$1006:$S$1006,0)))),"Fix")))</f>
        <v>0</v>
      </c>
      <c r="E92" s="3">
        <f>IF(OR(INDEX($J$2:$J$1001,MATCH(ROWS($I$2:I92),$I$2:$I$1001,0),1)&gt;=100000,INDEX($P$1005:$S$1005,1,MATCH(COLUMNS($P$1006:S1006),$P$1006:$S$1006,0))&gt;=100000), " ",IF(INDEX($P$2:$S$1001,MATCH(ROWS($I$2:I92),$I$2:$I$1001,0),MATCH(COLUMNS($P$1006:S1006),$P$1006:$S$1006,0)), HYPERLINK("#",""), HYPERLINK(CONCATENATE("#metadata!", ADDRESS(INDEX($K$2:$K$1001,MATCH(ROWS($I$2:I92),$I$2:$I$1001,0),0), INDEX($P$1004:$S$1004,1,MATCH(COLUMNS($P$1006:S1006),$P$1006:$S$1006,0)))),"Fix")))</f>
        <v>0</v>
      </c>
      <c r="I92">
        <v>0</v>
      </c>
      <c r="J92">
        <v>0</v>
      </c>
      <c r="K92">
        <v>0</v>
      </c>
      <c r="L92">
        <f>IF(M92,TRUE,AND(P92:S92))</f>
        <v>0</v>
      </c>
      <c r="M92">
        <f>COUNTBLANK(metadata!B92:E92)=COLUMNS(metadata!B92:E92)</f>
        <v>0</v>
      </c>
      <c r="N92">
        <v>0</v>
      </c>
      <c r="P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Q92">
        <f>AND(IF(metadata!C92="",FALSE,TRUE),exact(metadata!C92,"other"))</f>
        <v>0</v>
      </c>
      <c r="R92">
        <f>AND(IF(metadata!D92="",FALSE,TRUE),exact(metadata!D92,"metagenome"))</f>
        <v>0</v>
      </c>
      <c r="S92">
        <f>AND(IF(metadata!E92="",FALSE,TRUE),exact(metadata!E92,"256318"))</f>
        <v>0</v>
      </c>
    </row>
    <row r="93" spans="1:19">
      <c r="A93" s="4">
        <f>IF(B93=" "," ",HYPERLINK(CONCATENATE("#metadata!",ADDRESS(INDEX($K$2:$K$1001,MATCH(ROWS($I$2:I93),$I$2:$I$1001,0),0),1)),INDEX($N$2:$N$1001,MATCH(ROWS($I$2:I93),$I$2:$I$1001,0),0)))</f>
        <v>0</v>
      </c>
      <c r="B93" s="3">
        <f>IF(OR(INDEX($J$2:$J$1001,MATCH(ROWS($I$2:I93),$I$2:$I$1001,0),1)&gt;=100000,INDEX($P$1005:$S$1005,1,MATCH(COLUMNS($P$1006:P1006),$P$1006:$S$1006,0))&gt;=100000), " ",IF(INDEX($P$2:$S$1001,MATCH(ROWS($I$2:I93),$I$2:$I$1001,0),MATCH(COLUMNS($P$1006:P1006),$P$1006:$S$1006,0)), HYPERLINK("#",""), HYPERLINK(CONCATENATE("#metadata!", ADDRESS(INDEX($K$2:$K$1001,MATCH(ROWS($I$2:I93),$I$2:$I$1001,0),0), INDEX($P$1004:$S$1004,1,MATCH(COLUMNS($P$1006:P1006),$P$1006:$S$1006,0)))),"Fix")))</f>
        <v>0</v>
      </c>
      <c r="C93" s="3">
        <f>IF(OR(INDEX($J$2:$J$1001,MATCH(ROWS($I$2:I93),$I$2:$I$1001,0),1)&gt;=100000,INDEX($P$1005:$S$1005,1,MATCH(COLUMNS($P$1006:Q1006),$P$1006:$S$1006,0))&gt;=100000), " ",IF(INDEX($P$2:$S$1001,MATCH(ROWS($I$2:I93),$I$2:$I$1001,0),MATCH(COLUMNS($P$1006:Q1006),$P$1006:$S$1006,0)), HYPERLINK("#",""), HYPERLINK(CONCATENATE("#metadata!", ADDRESS(INDEX($K$2:$K$1001,MATCH(ROWS($I$2:I93),$I$2:$I$1001,0),0), INDEX($P$1004:$S$1004,1,MATCH(COLUMNS($P$1006:Q1006),$P$1006:$S$1006,0)))),"Fix")))</f>
        <v>0</v>
      </c>
      <c r="D93" s="3">
        <f>IF(OR(INDEX($J$2:$J$1001,MATCH(ROWS($I$2:I93),$I$2:$I$1001,0),1)&gt;=100000,INDEX($P$1005:$S$1005,1,MATCH(COLUMNS($P$1006:R1006),$P$1006:$S$1006,0))&gt;=100000), " ",IF(INDEX($P$2:$S$1001,MATCH(ROWS($I$2:I93),$I$2:$I$1001,0),MATCH(COLUMNS($P$1006:R1006),$P$1006:$S$1006,0)), HYPERLINK("#",""), HYPERLINK(CONCATENATE("#metadata!", ADDRESS(INDEX($K$2:$K$1001,MATCH(ROWS($I$2:I93),$I$2:$I$1001,0),0), INDEX($P$1004:$S$1004,1,MATCH(COLUMNS($P$1006:R1006),$P$1006:$S$1006,0)))),"Fix")))</f>
        <v>0</v>
      </c>
      <c r="E93" s="3">
        <f>IF(OR(INDEX($J$2:$J$1001,MATCH(ROWS($I$2:I93),$I$2:$I$1001,0),1)&gt;=100000,INDEX($P$1005:$S$1005,1,MATCH(COLUMNS($P$1006:S1006),$P$1006:$S$1006,0))&gt;=100000), " ",IF(INDEX($P$2:$S$1001,MATCH(ROWS($I$2:I93),$I$2:$I$1001,0),MATCH(COLUMNS($P$1006:S1006),$P$1006:$S$1006,0)), HYPERLINK("#",""), HYPERLINK(CONCATENATE("#metadata!", ADDRESS(INDEX($K$2:$K$1001,MATCH(ROWS($I$2:I93),$I$2:$I$1001,0),0), INDEX($P$1004:$S$1004,1,MATCH(COLUMNS($P$1006:S1006),$P$1006:$S$1006,0)))),"Fix")))</f>
        <v>0</v>
      </c>
      <c r="I93">
        <v>0</v>
      </c>
      <c r="J93">
        <v>0</v>
      </c>
      <c r="K93">
        <v>0</v>
      </c>
      <c r="L93">
        <f>IF(M93,TRUE,AND(P93:S93))</f>
        <v>0</v>
      </c>
      <c r="M93">
        <f>COUNTBLANK(metadata!B93:E93)=COLUMNS(metadata!B93:E93)</f>
        <v>0</v>
      </c>
      <c r="N93">
        <v>0</v>
      </c>
      <c r="P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Q93">
        <f>AND(IF(metadata!C93="",FALSE,TRUE),exact(metadata!C93,"other"))</f>
        <v>0</v>
      </c>
      <c r="R93">
        <f>AND(IF(metadata!D93="",FALSE,TRUE),exact(metadata!D93,"metagenome"))</f>
        <v>0</v>
      </c>
      <c r="S93">
        <f>AND(IF(metadata!E93="",FALSE,TRUE),exact(metadata!E93,"256318"))</f>
        <v>0</v>
      </c>
    </row>
    <row r="94" spans="1:19">
      <c r="A94" s="4">
        <f>IF(B94=" "," ",HYPERLINK(CONCATENATE("#metadata!",ADDRESS(INDEX($K$2:$K$1001,MATCH(ROWS($I$2:I94),$I$2:$I$1001,0),0),1)),INDEX($N$2:$N$1001,MATCH(ROWS($I$2:I94),$I$2:$I$1001,0),0)))</f>
        <v>0</v>
      </c>
      <c r="B94" s="3">
        <f>IF(OR(INDEX($J$2:$J$1001,MATCH(ROWS($I$2:I94),$I$2:$I$1001,0),1)&gt;=100000,INDEX($P$1005:$S$1005,1,MATCH(COLUMNS($P$1006:P1006),$P$1006:$S$1006,0))&gt;=100000), " ",IF(INDEX($P$2:$S$1001,MATCH(ROWS($I$2:I94),$I$2:$I$1001,0),MATCH(COLUMNS($P$1006:P1006),$P$1006:$S$1006,0)), HYPERLINK("#",""), HYPERLINK(CONCATENATE("#metadata!", ADDRESS(INDEX($K$2:$K$1001,MATCH(ROWS($I$2:I94),$I$2:$I$1001,0),0), INDEX($P$1004:$S$1004,1,MATCH(COLUMNS($P$1006:P1006),$P$1006:$S$1006,0)))),"Fix")))</f>
        <v>0</v>
      </c>
      <c r="C94" s="3">
        <f>IF(OR(INDEX($J$2:$J$1001,MATCH(ROWS($I$2:I94),$I$2:$I$1001,0),1)&gt;=100000,INDEX($P$1005:$S$1005,1,MATCH(COLUMNS($P$1006:Q1006),$P$1006:$S$1006,0))&gt;=100000), " ",IF(INDEX($P$2:$S$1001,MATCH(ROWS($I$2:I94),$I$2:$I$1001,0),MATCH(COLUMNS($P$1006:Q1006),$P$1006:$S$1006,0)), HYPERLINK("#",""), HYPERLINK(CONCATENATE("#metadata!", ADDRESS(INDEX($K$2:$K$1001,MATCH(ROWS($I$2:I94),$I$2:$I$1001,0),0), INDEX($P$1004:$S$1004,1,MATCH(COLUMNS($P$1006:Q1006),$P$1006:$S$1006,0)))),"Fix")))</f>
        <v>0</v>
      </c>
      <c r="D94" s="3">
        <f>IF(OR(INDEX($J$2:$J$1001,MATCH(ROWS($I$2:I94),$I$2:$I$1001,0),1)&gt;=100000,INDEX($P$1005:$S$1005,1,MATCH(COLUMNS($P$1006:R1006),$P$1006:$S$1006,0))&gt;=100000), " ",IF(INDEX($P$2:$S$1001,MATCH(ROWS($I$2:I94),$I$2:$I$1001,0),MATCH(COLUMNS($P$1006:R1006),$P$1006:$S$1006,0)), HYPERLINK("#",""), HYPERLINK(CONCATENATE("#metadata!", ADDRESS(INDEX($K$2:$K$1001,MATCH(ROWS($I$2:I94),$I$2:$I$1001,0),0), INDEX($P$1004:$S$1004,1,MATCH(COLUMNS($P$1006:R1006),$P$1006:$S$1006,0)))),"Fix")))</f>
        <v>0</v>
      </c>
      <c r="E94" s="3">
        <f>IF(OR(INDEX($J$2:$J$1001,MATCH(ROWS($I$2:I94),$I$2:$I$1001,0),1)&gt;=100000,INDEX($P$1005:$S$1005,1,MATCH(COLUMNS($P$1006:S1006),$P$1006:$S$1006,0))&gt;=100000), " ",IF(INDEX($P$2:$S$1001,MATCH(ROWS($I$2:I94),$I$2:$I$1001,0),MATCH(COLUMNS($P$1006:S1006),$P$1006:$S$1006,0)), HYPERLINK("#",""), HYPERLINK(CONCATENATE("#metadata!", ADDRESS(INDEX($K$2:$K$1001,MATCH(ROWS($I$2:I94),$I$2:$I$1001,0),0), INDEX($P$1004:$S$1004,1,MATCH(COLUMNS($P$1006:S1006),$P$1006:$S$1006,0)))),"Fix")))</f>
        <v>0</v>
      </c>
      <c r="I94">
        <v>0</v>
      </c>
      <c r="J94">
        <v>0</v>
      </c>
      <c r="K94">
        <v>0</v>
      </c>
      <c r="L94">
        <f>IF(M94,TRUE,AND(P94:S94))</f>
        <v>0</v>
      </c>
      <c r="M94">
        <f>COUNTBLANK(metadata!B94:E94)=COLUMNS(metadata!B94:E94)</f>
        <v>0</v>
      </c>
      <c r="N94">
        <v>0</v>
      </c>
      <c r="P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Q94">
        <f>AND(IF(metadata!C94="",FALSE,TRUE),exact(metadata!C94,"other"))</f>
        <v>0</v>
      </c>
      <c r="R94">
        <f>AND(IF(metadata!D94="",FALSE,TRUE),exact(metadata!D94,"metagenome"))</f>
        <v>0</v>
      </c>
      <c r="S94">
        <f>AND(IF(metadata!E94="",FALSE,TRUE),exact(metadata!E94,"256318"))</f>
        <v>0</v>
      </c>
    </row>
    <row r="95" spans="1:19">
      <c r="A95" s="4">
        <f>IF(B95=" "," ",HYPERLINK(CONCATENATE("#metadata!",ADDRESS(INDEX($K$2:$K$1001,MATCH(ROWS($I$2:I95),$I$2:$I$1001,0),0),1)),INDEX($N$2:$N$1001,MATCH(ROWS($I$2:I95),$I$2:$I$1001,0),0)))</f>
        <v>0</v>
      </c>
      <c r="B95" s="3">
        <f>IF(OR(INDEX($J$2:$J$1001,MATCH(ROWS($I$2:I95),$I$2:$I$1001,0),1)&gt;=100000,INDEX($P$1005:$S$1005,1,MATCH(COLUMNS($P$1006:P1006),$P$1006:$S$1006,0))&gt;=100000), " ",IF(INDEX($P$2:$S$1001,MATCH(ROWS($I$2:I95),$I$2:$I$1001,0),MATCH(COLUMNS($P$1006:P1006),$P$1006:$S$1006,0)), HYPERLINK("#",""), HYPERLINK(CONCATENATE("#metadata!", ADDRESS(INDEX($K$2:$K$1001,MATCH(ROWS($I$2:I95),$I$2:$I$1001,0),0), INDEX($P$1004:$S$1004,1,MATCH(COLUMNS($P$1006:P1006),$P$1006:$S$1006,0)))),"Fix")))</f>
        <v>0</v>
      </c>
      <c r="C95" s="3">
        <f>IF(OR(INDEX($J$2:$J$1001,MATCH(ROWS($I$2:I95),$I$2:$I$1001,0),1)&gt;=100000,INDEX($P$1005:$S$1005,1,MATCH(COLUMNS($P$1006:Q1006),$P$1006:$S$1006,0))&gt;=100000), " ",IF(INDEX($P$2:$S$1001,MATCH(ROWS($I$2:I95),$I$2:$I$1001,0),MATCH(COLUMNS($P$1006:Q1006),$P$1006:$S$1006,0)), HYPERLINK("#",""), HYPERLINK(CONCATENATE("#metadata!", ADDRESS(INDEX($K$2:$K$1001,MATCH(ROWS($I$2:I95),$I$2:$I$1001,0),0), INDEX($P$1004:$S$1004,1,MATCH(COLUMNS($P$1006:Q1006),$P$1006:$S$1006,0)))),"Fix")))</f>
        <v>0</v>
      </c>
      <c r="D95" s="3">
        <f>IF(OR(INDEX($J$2:$J$1001,MATCH(ROWS($I$2:I95),$I$2:$I$1001,0),1)&gt;=100000,INDEX($P$1005:$S$1005,1,MATCH(COLUMNS($P$1006:R1006),$P$1006:$S$1006,0))&gt;=100000), " ",IF(INDEX($P$2:$S$1001,MATCH(ROWS($I$2:I95),$I$2:$I$1001,0),MATCH(COLUMNS($P$1006:R1006),$P$1006:$S$1006,0)), HYPERLINK("#",""), HYPERLINK(CONCATENATE("#metadata!", ADDRESS(INDEX($K$2:$K$1001,MATCH(ROWS($I$2:I95),$I$2:$I$1001,0),0), INDEX($P$1004:$S$1004,1,MATCH(COLUMNS($P$1006:R1006),$P$1006:$S$1006,0)))),"Fix")))</f>
        <v>0</v>
      </c>
      <c r="E95" s="3">
        <f>IF(OR(INDEX($J$2:$J$1001,MATCH(ROWS($I$2:I95),$I$2:$I$1001,0),1)&gt;=100000,INDEX($P$1005:$S$1005,1,MATCH(COLUMNS($P$1006:S1006),$P$1006:$S$1006,0))&gt;=100000), " ",IF(INDEX($P$2:$S$1001,MATCH(ROWS($I$2:I95),$I$2:$I$1001,0),MATCH(COLUMNS($P$1006:S1006),$P$1006:$S$1006,0)), HYPERLINK("#",""), HYPERLINK(CONCATENATE("#metadata!", ADDRESS(INDEX($K$2:$K$1001,MATCH(ROWS($I$2:I95),$I$2:$I$1001,0),0), INDEX($P$1004:$S$1004,1,MATCH(COLUMNS($P$1006:S1006),$P$1006:$S$1006,0)))),"Fix")))</f>
        <v>0</v>
      </c>
      <c r="I95">
        <v>0</v>
      </c>
      <c r="J95">
        <v>0</v>
      </c>
      <c r="K95">
        <v>0</v>
      </c>
      <c r="L95">
        <f>IF(M95,TRUE,AND(P95:S95))</f>
        <v>0</v>
      </c>
      <c r="M95">
        <f>COUNTBLANK(metadata!B95:E95)=COLUMNS(metadata!B95:E95)</f>
        <v>0</v>
      </c>
      <c r="N95">
        <v>0</v>
      </c>
      <c r="P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Q95">
        <f>AND(IF(metadata!C95="",FALSE,TRUE),exact(metadata!C95,"other"))</f>
        <v>0</v>
      </c>
      <c r="R95">
        <f>AND(IF(metadata!D95="",FALSE,TRUE),exact(metadata!D95,"metagenome"))</f>
        <v>0</v>
      </c>
      <c r="S95">
        <f>AND(IF(metadata!E95="",FALSE,TRUE),exact(metadata!E95,"256318"))</f>
        <v>0</v>
      </c>
    </row>
    <row r="96" spans="1:19">
      <c r="A96" s="4">
        <f>IF(B96=" "," ",HYPERLINK(CONCATENATE("#metadata!",ADDRESS(INDEX($K$2:$K$1001,MATCH(ROWS($I$2:I96),$I$2:$I$1001,0),0),1)),INDEX($N$2:$N$1001,MATCH(ROWS($I$2:I96),$I$2:$I$1001,0),0)))</f>
        <v>0</v>
      </c>
      <c r="B96" s="3">
        <f>IF(OR(INDEX($J$2:$J$1001,MATCH(ROWS($I$2:I96),$I$2:$I$1001,0),1)&gt;=100000,INDEX($P$1005:$S$1005,1,MATCH(COLUMNS($P$1006:P1006),$P$1006:$S$1006,0))&gt;=100000), " ",IF(INDEX($P$2:$S$1001,MATCH(ROWS($I$2:I96),$I$2:$I$1001,0),MATCH(COLUMNS($P$1006:P1006),$P$1006:$S$1006,0)), HYPERLINK("#",""), HYPERLINK(CONCATENATE("#metadata!", ADDRESS(INDEX($K$2:$K$1001,MATCH(ROWS($I$2:I96),$I$2:$I$1001,0),0), INDEX($P$1004:$S$1004,1,MATCH(COLUMNS($P$1006:P1006),$P$1006:$S$1006,0)))),"Fix")))</f>
        <v>0</v>
      </c>
      <c r="C96" s="3">
        <f>IF(OR(INDEX($J$2:$J$1001,MATCH(ROWS($I$2:I96),$I$2:$I$1001,0),1)&gt;=100000,INDEX($P$1005:$S$1005,1,MATCH(COLUMNS($P$1006:Q1006),$P$1006:$S$1006,0))&gt;=100000), " ",IF(INDEX($P$2:$S$1001,MATCH(ROWS($I$2:I96),$I$2:$I$1001,0),MATCH(COLUMNS($P$1006:Q1006),$P$1006:$S$1006,0)), HYPERLINK("#",""), HYPERLINK(CONCATENATE("#metadata!", ADDRESS(INDEX($K$2:$K$1001,MATCH(ROWS($I$2:I96),$I$2:$I$1001,0),0), INDEX($P$1004:$S$1004,1,MATCH(COLUMNS($P$1006:Q1006),$P$1006:$S$1006,0)))),"Fix")))</f>
        <v>0</v>
      </c>
      <c r="D96" s="3">
        <f>IF(OR(INDEX($J$2:$J$1001,MATCH(ROWS($I$2:I96),$I$2:$I$1001,0),1)&gt;=100000,INDEX($P$1005:$S$1005,1,MATCH(COLUMNS($P$1006:R1006),$P$1006:$S$1006,0))&gt;=100000), " ",IF(INDEX($P$2:$S$1001,MATCH(ROWS($I$2:I96),$I$2:$I$1001,0),MATCH(COLUMNS($P$1006:R1006),$P$1006:$S$1006,0)), HYPERLINK("#",""), HYPERLINK(CONCATENATE("#metadata!", ADDRESS(INDEX($K$2:$K$1001,MATCH(ROWS($I$2:I96),$I$2:$I$1001,0),0), INDEX($P$1004:$S$1004,1,MATCH(COLUMNS($P$1006:R1006),$P$1006:$S$1006,0)))),"Fix")))</f>
        <v>0</v>
      </c>
      <c r="E96" s="3">
        <f>IF(OR(INDEX($J$2:$J$1001,MATCH(ROWS($I$2:I96),$I$2:$I$1001,0),1)&gt;=100000,INDEX($P$1005:$S$1005,1,MATCH(COLUMNS($P$1006:S1006),$P$1006:$S$1006,0))&gt;=100000), " ",IF(INDEX($P$2:$S$1001,MATCH(ROWS($I$2:I96),$I$2:$I$1001,0),MATCH(COLUMNS($P$1006:S1006),$P$1006:$S$1006,0)), HYPERLINK("#",""), HYPERLINK(CONCATENATE("#metadata!", ADDRESS(INDEX($K$2:$K$1001,MATCH(ROWS($I$2:I96),$I$2:$I$1001,0),0), INDEX($P$1004:$S$1004,1,MATCH(COLUMNS($P$1006:S1006),$P$1006:$S$1006,0)))),"Fix")))</f>
        <v>0</v>
      </c>
      <c r="I96">
        <v>0</v>
      </c>
      <c r="J96">
        <v>0</v>
      </c>
      <c r="K96">
        <v>0</v>
      </c>
      <c r="L96">
        <f>IF(M96,TRUE,AND(P96:S96))</f>
        <v>0</v>
      </c>
      <c r="M96">
        <f>COUNTBLANK(metadata!B96:E96)=COLUMNS(metadata!B96:E96)</f>
        <v>0</v>
      </c>
      <c r="N96">
        <v>0</v>
      </c>
      <c r="P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Q96">
        <f>AND(IF(metadata!C96="",FALSE,TRUE),exact(metadata!C96,"other"))</f>
        <v>0</v>
      </c>
      <c r="R96">
        <f>AND(IF(metadata!D96="",FALSE,TRUE),exact(metadata!D96,"metagenome"))</f>
        <v>0</v>
      </c>
      <c r="S96">
        <f>AND(IF(metadata!E96="",FALSE,TRUE),exact(metadata!E96,"256318"))</f>
        <v>0</v>
      </c>
    </row>
    <row r="97" spans="1:19">
      <c r="A97" s="4">
        <f>IF(B97=" "," ",HYPERLINK(CONCATENATE("#metadata!",ADDRESS(INDEX($K$2:$K$1001,MATCH(ROWS($I$2:I97),$I$2:$I$1001,0),0),1)),INDEX($N$2:$N$1001,MATCH(ROWS($I$2:I97),$I$2:$I$1001,0),0)))</f>
        <v>0</v>
      </c>
      <c r="B97" s="3">
        <f>IF(OR(INDEX($J$2:$J$1001,MATCH(ROWS($I$2:I97),$I$2:$I$1001,0),1)&gt;=100000,INDEX($P$1005:$S$1005,1,MATCH(COLUMNS($P$1006:P1006),$P$1006:$S$1006,0))&gt;=100000), " ",IF(INDEX($P$2:$S$1001,MATCH(ROWS($I$2:I97),$I$2:$I$1001,0),MATCH(COLUMNS($P$1006:P1006),$P$1006:$S$1006,0)), HYPERLINK("#",""), HYPERLINK(CONCATENATE("#metadata!", ADDRESS(INDEX($K$2:$K$1001,MATCH(ROWS($I$2:I97),$I$2:$I$1001,0),0), INDEX($P$1004:$S$1004,1,MATCH(COLUMNS($P$1006:P1006),$P$1006:$S$1006,0)))),"Fix")))</f>
        <v>0</v>
      </c>
      <c r="C97" s="3">
        <f>IF(OR(INDEX($J$2:$J$1001,MATCH(ROWS($I$2:I97),$I$2:$I$1001,0),1)&gt;=100000,INDEX($P$1005:$S$1005,1,MATCH(COLUMNS($P$1006:Q1006),$P$1006:$S$1006,0))&gt;=100000), " ",IF(INDEX($P$2:$S$1001,MATCH(ROWS($I$2:I97),$I$2:$I$1001,0),MATCH(COLUMNS($P$1006:Q1006),$P$1006:$S$1006,0)), HYPERLINK("#",""), HYPERLINK(CONCATENATE("#metadata!", ADDRESS(INDEX($K$2:$K$1001,MATCH(ROWS($I$2:I97),$I$2:$I$1001,0),0), INDEX($P$1004:$S$1004,1,MATCH(COLUMNS($P$1006:Q1006),$P$1006:$S$1006,0)))),"Fix")))</f>
        <v>0</v>
      </c>
      <c r="D97" s="3">
        <f>IF(OR(INDEX($J$2:$J$1001,MATCH(ROWS($I$2:I97),$I$2:$I$1001,0),1)&gt;=100000,INDEX($P$1005:$S$1005,1,MATCH(COLUMNS($P$1006:R1006),$P$1006:$S$1006,0))&gt;=100000), " ",IF(INDEX($P$2:$S$1001,MATCH(ROWS($I$2:I97),$I$2:$I$1001,0),MATCH(COLUMNS($P$1006:R1006),$P$1006:$S$1006,0)), HYPERLINK("#",""), HYPERLINK(CONCATENATE("#metadata!", ADDRESS(INDEX($K$2:$K$1001,MATCH(ROWS($I$2:I97),$I$2:$I$1001,0),0), INDEX($P$1004:$S$1004,1,MATCH(COLUMNS($P$1006:R1006),$P$1006:$S$1006,0)))),"Fix")))</f>
        <v>0</v>
      </c>
      <c r="E97" s="3">
        <f>IF(OR(INDEX($J$2:$J$1001,MATCH(ROWS($I$2:I97),$I$2:$I$1001,0),1)&gt;=100000,INDEX($P$1005:$S$1005,1,MATCH(COLUMNS($P$1006:S1006),$P$1006:$S$1006,0))&gt;=100000), " ",IF(INDEX($P$2:$S$1001,MATCH(ROWS($I$2:I97),$I$2:$I$1001,0),MATCH(COLUMNS($P$1006:S1006),$P$1006:$S$1006,0)), HYPERLINK("#",""), HYPERLINK(CONCATENATE("#metadata!", ADDRESS(INDEX($K$2:$K$1001,MATCH(ROWS($I$2:I97),$I$2:$I$1001,0),0), INDEX($P$1004:$S$1004,1,MATCH(COLUMNS($P$1006:S1006),$P$1006:$S$1006,0)))),"Fix")))</f>
        <v>0</v>
      </c>
      <c r="I97">
        <v>0</v>
      </c>
      <c r="J97">
        <v>0</v>
      </c>
      <c r="K97">
        <v>0</v>
      </c>
      <c r="L97">
        <f>IF(M97,TRUE,AND(P97:S97))</f>
        <v>0</v>
      </c>
      <c r="M97">
        <f>COUNTBLANK(metadata!B97:E97)=COLUMNS(metadata!B97:E97)</f>
        <v>0</v>
      </c>
      <c r="N97">
        <v>0</v>
      </c>
      <c r="P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Q97">
        <f>AND(IF(metadata!C97="",FALSE,TRUE),exact(metadata!C97,"other"))</f>
        <v>0</v>
      </c>
      <c r="R97">
        <f>AND(IF(metadata!D97="",FALSE,TRUE),exact(metadata!D97,"metagenome"))</f>
        <v>0</v>
      </c>
      <c r="S97">
        <f>AND(IF(metadata!E97="",FALSE,TRUE),exact(metadata!E97,"256318"))</f>
        <v>0</v>
      </c>
    </row>
    <row r="98" spans="1:19">
      <c r="A98" s="4">
        <f>IF(B98=" "," ",HYPERLINK(CONCATENATE("#metadata!",ADDRESS(INDEX($K$2:$K$1001,MATCH(ROWS($I$2:I98),$I$2:$I$1001,0),0),1)),INDEX($N$2:$N$1001,MATCH(ROWS($I$2:I98),$I$2:$I$1001,0),0)))</f>
        <v>0</v>
      </c>
      <c r="B98" s="3">
        <f>IF(OR(INDEX($J$2:$J$1001,MATCH(ROWS($I$2:I98),$I$2:$I$1001,0),1)&gt;=100000,INDEX($P$1005:$S$1005,1,MATCH(COLUMNS($P$1006:P1006),$P$1006:$S$1006,0))&gt;=100000), " ",IF(INDEX($P$2:$S$1001,MATCH(ROWS($I$2:I98),$I$2:$I$1001,0),MATCH(COLUMNS($P$1006:P1006),$P$1006:$S$1006,0)), HYPERLINK("#",""), HYPERLINK(CONCATENATE("#metadata!", ADDRESS(INDEX($K$2:$K$1001,MATCH(ROWS($I$2:I98),$I$2:$I$1001,0),0), INDEX($P$1004:$S$1004,1,MATCH(COLUMNS($P$1006:P1006),$P$1006:$S$1006,0)))),"Fix")))</f>
        <v>0</v>
      </c>
      <c r="C98" s="3">
        <f>IF(OR(INDEX($J$2:$J$1001,MATCH(ROWS($I$2:I98),$I$2:$I$1001,0),1)&gt;=100000,INDEX($P$1005:$S$1005,1,MATCH(COLUMNS($P$1006:Q1006),$P$1006:$S$1006,0))&gt;=100000), " ",IF(INDEX($P$2:$S$1001,MATCH(ROWS($I$2:I98),$I$2:$I$1001,0),MATCH(COLUMNS($P$1006:Q1006),$P$1006:$S$1006,0)), HYPERLINK("#",""), HYPERLINK(CONCATENATE("#metadata!", ADDRESS(INDEX($K$2:$K$1001,MATCH(ROWS($I$2:I98),$I$2:$I$1001,0),0), INDEX($P$1004:$S$1004,1,MATCH(COLUMNS($P$1006:Q1006),$P$1006:$S$1006,0)))),"Fix")))</f>
        <v>0</v>
      </c>
      <c r="D98" s="3">
        <f>IF(OR(INDEX($J$2:$J$1001,MATCH(ROWS($I$2:I98),$I$2:$I$1001,0),1)&gt;=100000,INDEX($P$1005:$S$1005,1,MATCH(COLUMNS($P$1006:R1006),$P$1006:$S$1006,0))&gt;=100000), " ",IF(INDEX($P$2:$S$1001,MATCH(ROWS($I$2:I98),$I$2:$I$1001,0),MATCH(COLUMNS($P$1006:R1006),$P$1006:$S$1006,0)), HYPERLINK("#",""), HYPERLINK(CONCATENATE("#metadata!", ADDRESS(INDEX($K$2:$K$1001,MATCH(ROWS($I$2:I98),$I$2:$I$1001,0),0), INDEX($P$1004:$S$1004,1,MATCH(COLUMNS($P$1006:R1006),$P$1006:$S$1006,0)))),"Fix")))</f>
        <v>0</v>
      </c>
      <c r="E98" s="3">
        <f>IF(OR(INDEX($J$2:$J$1001,MATCH(ROWS($I$2:I98),$I$2:$I$1001,0),1)&gt;=100000,INDEX($P$1005:$S$1005,1,MATCH(COLUMNS($P$1006:S1006),$P$1006:$S$1006,0))&gt;=100000), " ",IF(INDEX($P$2:$S$1001,MATCH(ROWS($I$2:I98),$I$2:$I$1001,0),MATCH(COLUMNS($P$1006:S1006),$P$1006:$S$1006,0)), HYPERLINK("#",""), HYPERLINK(CONCATENATE("#metadata!", ADDRESS(INDEX($K$2:$K$1001,MATCH(ROWS($I$2:I98),$I$2:$I$1001,0),0), INDEX($P$1004:$S$1004,1,MATCH(COLUMNS($P$1006:S1006),$P$1006:$S$1006,0)))),"Fix")))</f>
        <v>0</v>
      </c>
      <c r="I98">
        <v>0</v>
      </c>
      <c r="J98">
        <v>0</v>
      </c>
      <c r="K98">
        <v>0</v>
      </c>
      <c r="L98">
        <f>IF(M98,TRUE,AND(P98:S98))</f>
        <v>0</v>
      </c>
      <c r="M98">
        <f>COUNTBLANK(metadata!B98:E98)=COLUMNS(metadata!B98:E98)</f>
        <v>0</v>
      </c>
      <c r="N98">
        <v>0</v>
      </c>
      <c r="P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Q98">
        <f>AND(IF(metadata!C98="",FALSE,TRUE),exact(metadata!C98,"other"))</f>
        <v>0</v>
      </c>
      <c r="R98">
        <f>AND(IF(metadata!D98="",FALSE,TRUE),exact(metadata!D98,"metagenome"))</f>
        <v>0</v>
      </c>
      <c r="S98">
        <f>AND(IF(metadata!E98="",FALSE,TRUE),exact(metadata!E98,"256318"))</f>
        <v>0</v>
      </c>
    </row>
    <row r="99" spans="1:19">
      <c r="A99" s="4">
        <f>IF(B99=" "," ",HYPERLINK(CONCATENATE("#metadata!",ADDRESS(INDEX($K$2:$K$1001,MATCH(ROWS($I$2:I99),$I$2:$I$1001,0),0),1)),INDEX($N$2:$N$1001,MATCH(ROWS($I$2:I99),$I$2:$I$1001,0),0)))</f>
        <v>0</v>
      </c>
      <c r="B99" s="3">
        <f>IF(OR(INDEX($J$2:$J$1001,MATCH(ROWS($I$2:I99),$I$2:$I$1001,0),1)&gt;=100000,INDEX($P$1005:$S$1005,1,MATCH(COLUMNS($P$1006:P1006),$P$1006:$S$1006,0))&gt;=100000), " ",IF(INDEX($P$2:$S$1001,MATCH(ROWS($I$2:I99),$I$2:$I$1001,0),MATCH(COLUMNS($P$1006:P1006),$P$1006:$S$1006,0)), HYPERLINK("#",""), HYPERLINK(CONCATENATE("#metadata!", ADDRESS(INDEX($K$2:$K$1001,MATCH(ROWS($I$2:I99),$I$2:$I$1001,0),0), INDEX($P$1004:$S$1004,1,MATCH(COLUMNS($P$1006:P1006),$P$1006:$S$1006,0)))),"Fix")))</f>
        <v>0</v>
      </c>
      <c r="C99" s="3">
        <f>IF(OR(INDEX($J$2:$J$1001,MATCH(ROWS($I$2:I99),$I$2:$I$1001,0),1)&gt;=100000,INDEX($P$1005:$S$1005,1,MATCH(COLUMNS($P$1006:Q1006),$P$1006:$S$1006,0))&gt;=100000), " ",IF(INDEX($P$2:$S$1001,MATCH(ROWS($I$2:I99),$I$2:$I$1001,0),MATCH(COLUMNS($P$1006:Q1006),$P$1006:$S$1006,0)), HYPERLINK("#",""), HYPERLINK(CONCATENATE("#metadata!", ADDRESS(INDEX($K$2:$K$1001,MATCH(ROWS($I$2:I99),$I$2:$I$1001,0),0), INDEX($P$1004:$S$1004,1,MATCH(COLUMNS($P$1006:Q1006),$P$1006:$S$1006,0)))),"Fix")))</f>
        <v>0</v>
      </c>
      <c r="D99" s="3">
        <f>IF(OR(INDEX($J$2:$J$1001,MATCH(ROWS($I$2:I99),$I$2:$I$1001,0),1)&gt;=100000,INDEX($P$1005:$S$1005,1,MATCH(COLUMNS($P$1006:R1006),$P$1006:$S$1006,0))&gt;=100000), " ",IF(INDEX($P$2:$S$1001,MATCH(ROWS($I$2:I99),$I$2:$I$1001,0),MATCH(COLUMNS($P$1006:R1006),$P$1006:$S$1006,0)), HYPERLINK("#",""), HYPERLINK(CONCATENATE("#metadata!", ADDRESS(INDEX($K$2:$K$1001,MATCH(ROWS($I$2:I99),$I$2:$I$1001,0),0), INDEX($P$1004:$S$1004,1,MATCH(COLUMNS($P$1006:R1006),$P$1006:$S$1006,0)))),"Fix")))</f>
        <v>0</v>
      </c>
      <c r="E99" s="3">
        <f>IF(OR(INDEX($J$2:$J$1001,MATCH(ROWS($I$2:I99),$I$2:$I$1001,0),1)&gt;=100000,INDEX($P$1005:$S$1005,1,MATCH(COLUMNS($P$1006:S1006),$P$1006:$S$1006,0))&gt;=100000), " ",IF(INDEX($P$2:$S$1001,MATCH(ROWS($I$2:I99),$I$2:$I$1001,0),MATCH(COLUMNS($P$1006:S1006),$P$1006:$S$1006,0)), HYPERLINK("#",""), HYPERLINK(CONCATENATE("#metadata!", ADDRESS(INDEX($K$2:$K$1001,MATCH(ROWS($I$2:I99),$I$2:$I$1001,0),0), INDEX($P$1004:$S$1004,1,MATCH(COLUMNS($P$1006:S1006),$P$1006:$S$1006,0)))),"Fix")))</f>
        <v>0</v>
      </c>
      <c r="I99">
        <v>0</v>
      </c>
      <c r="J99">
        <v>0</v>
      </c>
      <c r="K99">
        <v>0</v>
      </c>
      <c r="L99">
        <f>IF(M99,TRUE,AND(P99:S99))</f>
        <v>0</v>
      </c>
      <c r="M99">
        <f>COUNTBLANK(metadata!B99:E99)=COLUMNS(metadata!B99:E99)</f>
        <v>0</v>
      </c>
      <c r="N99">
        <v>0</v>
      </c>
      <c r="P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Q99">
        <f>AND(IF(metadata!C99="",FALSE,TRUE),exact(metadata!C99,"other"))</f>
        <v>0</v>
      </c>
      <c r="R99">
        <f>AND(IF(metadata!D99="",FALSE,TRUE),exact(metadata!D99,"metagenome"))</f>
        <v>0</v>
      </c>
      <c r="S99">
        <f>AND(IF(metadata!E99="",FALSE,TRUE),exact(metadata!E99,"256318"))</f>
        <v>0</v>
      </c>
    </row>
    <row r="100" spans="1:19">
      <c r="A100" s="4">
        <f>IF(B100=" "," ",HYPERLINK(CONCATENATE("#metadata!",ADDRESS(INDEX($K$2:$K$1001,MATCH(ROWS($I$2:I100),$I$2:$I$1001,0),0),1)),INDEX($N$2:$N$1001,MATCH(ROWS($I$2:I100),$I$2:$I$1001,0),0)))</f>
        <v>0</v>
      </c>
      <c r="B100" s="3">
        <f>IF(OR(INDEX($J$2:$J$1001,MATCH(ROWS($I$2:I100),$I$2:$I$1001,0),1)&gt;=100000,INDEX($P$1005:$S$1005,1,MATCH(COLUMNS($P$1006:P1006),$P$1006:$S$1006,0))&gt;=100000), " ",IF(INDEX($P$2:$S$1001,MATCH(ROWS($I$2:I100),$I$2:$I$1001,0),MATCH(COLUMNS($P$1006:P1006),$P$1006:$S$1006,0)), HYPERLINK("#",""), HYPERLINK(CONCATENATE("#metadata!", ADDRESS(INDEX($K$2:$K$1001,MATCH(ROWS($I$2:I100),$I$2:$I$1001,0),0), INDEX($P$1004:$S$1004,1,MATCH(COLUMNS($P$1006:P1006),$P$1006:$S$1006,0)))),"Fix")))</f>
        <v>0</v>
      </c>
      <c r="C100" s="3">
        <f>IF(OR(INDEX($J$2:$J$1001,MATCH(ROWS($I$2:I100),$I$2:$I$1001,0),1)&gt;=100000,INDEX($P$1005:$S$1005,1,MATCH(COLUMNS($P$1006:Q1006),$P$1006:$S$1006,0))&gt;=100000), " ",IF(INDEX($P$2:$S$1001,MATCH(ROWS($I$2:I100),$I$2:$I$1001,0),MATCH(COLUMNS($P$1006:Q1006),$P$1006:$S$1006,0)), HYPERLINK("#",""), HYPERLINK(CONCATENATE("#metadata!", ADDRESS(INDEX($K$2:$K$1001,MATCH(ROWS($I$2:I100),$I$2:$I$1001,0),0), INDEX($P$1004:$S$1004,1,MATCH(COLUMNS($P$1006:Q1006),$P$1006:$S$1006,0)))),"Fix")))</f>
        <v>0</v>
      </c>
      <c r="D100" s="3">
        <f>IF(OR(INDEX($J$2:$J$1001,MATCH(ROWS($I$2:I100),$I$2:$I$1001,0),1)&gt;=100000,INDEX($P$1005:$S$1005,1,MATCH(COLUMNS($P$1006:R1006),$P$1006:$S$1006,0))&gt;=100000), " ",IF(INDEX($P$2:$S$1001,MATCH(ROWS($I$2:I100),$I$2:$I$1001,0),MATCH(COLUMNS($P$1006:R1006),$P$1006:$S$1006,0)), HYPERLINK("#",""), HYPERLINK(CONCATENATE("#metadata!", ADDRESS(INDEX($K$2:$K$1001,MATCH(ROWS($I$2:I100),$I$2:$I$1001,0),0), INDEX($P$1004:$S$1004,1,MATCH(COLUMNS($P$1006:R1006),$P$1006:$S$1006,0)))),"Fix")))</f>
        <v>0</v>
      </c>
      <c r="E100" s="3">
        <f>IF(OR(INDEX($J$2:$J$1001,MATCH(ROWS($I$2:I100),$I$2:$I$1001,0),1)&gt;=100000,INDEX($P$1005:$S$1005,1,MATCH(COLUMNS($P$1006:S1006),$P$1006:$S$1006,0))&gt;=100000), " ",IF(INDEX($P$2:$S$1001,MATCH(ROWS($I$2:I100),$I$2:$I$1001,0),MATCH(COLUMNS($P$1006:S1006),$P$1006:$S$1006,0)), HYPERLINK("#",""), HYPERLINK(CONCATENATE("#metadata!", ADDRESS(INDEX($K$2:$K$1001,MATCH(ROWS($I$2:I100),$I$2:$I$1001,0),0), INDEX($P$1004:$S$1004,1,MATCH(COLUMNS($P$1006:S1006),$P$1006:$S$1006,0)))),"Fix")))</f>
        <v>0</v>
      </c>
      <c r="I100">
        <v>0</v>
      </c>
      <c r="J100">
        <v>0</v>
      </c>
      <c r="K100">
        <v>0</v>
      </c>
      <c r="L100">
        <f>IF(M100,TRUE,AND(P100:S100))</f>
        <v>0</v>
      </c>
      <c r="M100">
        <f>COUNTBLANK(metadata!B100:E100)=COLUMNS(metadata!B100:E100)</f>
        <v>0</v>
      </c>
      <c r="N100">
        <v>0</v>
      </c>
      <c r="P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Q100">
        <f>AND(IF(metadata!C100="",FALSE,TRUE),exact(metadata!C100,"other"))</f>
        <v>0</v>
      </c>
      <c r="R100">
        <f>AND(IF(metadata!D100="",FALSE,TRUE),exact(metadata!D100,"metagenome"))</f>
        <v>0</v>
      </c>
      <c r="S100">
        <f>AND(IF(metadata!E100="",FALSE,TRUE),exact(metadata!E100,"256318"))</f>
        <v>0</v>
      </c>
    </row>
    <row r="101" spans="1:19">
      <c r="A101" s="4">
        <f>IF(B101=" "," ",HYPERLINK(CONCATENATE("#metadata!",ADDRESS(INDEX($K$2:$K$1001,MATCH(ROWS($I$2:I101),$I$2:$I$1001,0),0),1)),INDEX($N$2:$N$1001,MATCH(ROWS($I$2:I101),$I$2:$I$1001,0),0)))</f>
        <v>0</v>
      </c>
      <c r="B101" s="3">
        <f>IF(OR(INDEX($J$2:$J$1001,MATCH(ROWS($I$2:I101),$I$2:$I$1001,0),1)&gt;=100000,INDEX($P$1005:$S$1005,1,MATCH(COLUMNS($P$1006:P1006),$P$1006:$S$1006,0))&gt;=100000), " ",IF(INDEX($P$2:$S$1001,MATCH(ROWS($I$2:I101),$I$2:$I$1001,0),MATCH(COLUMNS($P$1006:P1006),$P$1006:$S$1006,0)), HYPERLINK("#",""), HYPERLINK(CONCATENATE("#metadata!", ADDRESS(INDEX($K$2:$K$1001,MATCH(ROWS($I$2:I101),$I$2:$I$1001,0),0), INDEX($P$1004:$S$1004,1,MATCH(COLUMNS($P$1006:P1006),$P$1006:$S$1006,0)))),"Fix")))</f>
        <v>0</v>
      </c>
      <c r="C101" s="3">
        <f>IF(OR(INDEX($J$2:$J$1001,MATCH(ROWS($I$2:I101),$I$2:$I$1001,0),1)&gt;=100000,INDEX($P$1005:$S$1005,1,MATCH(COLUMNS($P$1006:Q1006),$P$1006:$S$1006,0))&gt;=100000), " ",IF(INDEX($P$2:$S$1001,MATCH(ROWS($I$2:I101),$I$2:$I$1001,0),MATCH(COLUMNS($P$1006:Q1006),$P$1006:$S$1006,0)), HYPERLINK("#",""), HYPERLINK(CONCATENATE("#metadata!", ADDRESS(INDEX($K$2:$K$1001,MATCH(ROWS($I$2:I101),$I$2:$I$1001,0),0), INDEX($P$1004:$S$1004,1,MATCH(COLUMNS($P$1006:Q1006),$P$1006:$S$1006,0)))),"Fix")))</f>
        <v>0</v>
      </c>
      <c r="D101" s="3">
        <f>IF(OR(INDEX($J$2:$J$1001,MATCH(ROWS($I$2:I101),$I$2:$I$1001,0),1)&gt;=100000,INDEX($P$1005:$S$1005,1,MATCH(COLUMNS($P$1006:R1006),$P$1006:$S$1006,0))&gt;=100000), " ",IF(INDEX($P$2:$S$1001,MATCH(ROWS($I$2:I101),$I$2:$I$1001,0),MATCH(COLUMNS($P$1006:R1006),$P$1006:$S$1006,0)), HYPERLINK("#",""), HYPERLINK(CONCATENATE("#metadata!", ADDRESS(INDEX($K$2:$K$1001,MATCH(ROWS($I$2:I101),$I$2:$I$1001,0),0), INDEX($P$1004:$S$1004,1,MATCH(COLUMNS($P$1006:R1006),$P$1006:$S$1006,0)))),"Fix")))</f>
        <v>0</v>
      </c>
      <c r="E101" s="3">
        <f>IF(OR(INDEX($J$2:$J$1001,MATCH(ROWS($I$2:I101),$I$2:$I$1001,0),1)&gt;=100000,INDEX($P$1005:$S$1005,1,MATCH(COLUMNS($P$1006:S1006),$P$1006:$S$1006,0))&gt;=100000), " ",IF(INDEX($P$2:$S$1001,MATCH(ROWS($I$2:I101),$I$2:$I$1001,0),MATCH(COLUMNS($P$1006:S1006),$P$1006:$S$1006,0)), HYPERLINK("#",""), HYPERLINK(CONCATENATE("#metadata!", ADDRESS(INDEX($K$2:$K$1001,MATCH(ROWS($I$2:I101),$I$2:$I$1001,0),0), INDEX($P$1004:$S$1004,1,MATCH(COLUMNS($P$1006:S1006),$P$1006:$S$1006,0)))),"Fix")))</f>
        <v>0</v>
      </c>
      <c r="I101">
        <v>0</v>
      </c>
      <c r="J101">
        <v>0</v>
      </c>
      <c r="K101">
        <v>0</v>
      </c>
      <c r="L101">
        <f>IF(M101,TRUE,AND(P101:S101))</f>
        <v>0</v>
      </c>
      <c r="M101">
        <f>COUNTBLANK(metadata!B101:E101)=COLUMNS(metadata!B101:E101)</f>
        <v>0</v>
      </c>
      <c r="N101">
        <v>0</v>
      </c>
      <c r="P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Q101">
        <f>AND(IF(metadata!C101="",FALSE,TRUE),exact(metadata!C101,"other"))</f>
        <v>0</v>
      </c>
      <c r="R101">
        <f>AND(IF(metadata!D101="",FALSE,TRUE),exact(metadata!D101,"metagenome"))</f>
        <v>0</v>
      </c>
      <c r="S101">
        <f>AND(IF(metadata!E101="",FALSE,TRUE),exact(metadata!E101,"256318"))</f>
        <v>0</v>
      </c>
    </row>
    <row r="102" spans="1:19">
      <c r="A102" s="4">
        <f>IF(B102=" "," ",HYPERLINK(CONCATENATE("#metadata!",ADDRESS(INDEX($K$2:$K$1001,MATCH(ROWS($I$2:I102),$I$2:$I$1001,0),0),1)),INDEX($N$2:$N$1001,MATCH(ROWS($I$2:I102),$I$2:$I$1001,0),0)))</f>
        <v>0</v>
      </c>
      <c r="B102" s="3">
        <f>IF(OR(INDEX($J$2:$J$1001,MATCH(ROWS($I$2:I102),$I$2:$I$1001,0),1)&gt;=100000,INDEX($P$1005:$S$1005,1,MATCH(COLUMNS($P$1006:P1006),$P$1006:$S$1006,0))&gt;=100000), " ",IF(INDEX($P$2:$S$1001,MATCH(ROWS($I$2:I102),$I$2:$I$1001,0),MATCH(COLUMNS($P$1006:P1006),$P$1006:$S$1006,0)), HYPERLINK("#",""), HYPERLINK(CONCATENATE("#metadata!", ADDRESS(INDEX($K$2:$K$1001,MATCH(ROWS($I$2:I102),$I$2:$I$1001,0),0), INDEX($P$1004:$S$1004,1,MATCH(COLUMNS($P$1006:P1006),$P$1006:$S$1006,0)))),"Fix")))</f>
        <v>0</v>
      </c>
      <c r="C102" s="3">
        <f>IF(OR(INDEX($J$2:$J$1001,MATCH(ROWS($I$2:I102),$I$2:$I$1001,0),1)&gt;=100000,INDEX($P$1005:$S$1005,1,MATCH(COLUMNS($P$1006:Q1006),$P$1006:$S$1006,0))&gt;=100000), " ",IF(INDEX($P$2:$S$1001,MATCH(ROWS($I$2:I102),$I$2:$I$1001,0),MATCH(COLUMNS($P$1006:Q1006),$P$1006:$S$1006,0)), HYPERLINK("#",""), HYPERLINK(CONCATENATE("#metadata!", ADDRESS(INDEX($K$2:$K$1001,MATCH(ROWS($I$2:I102),$I$2:$I$1001,0),0), INDEX($P$1004:$S$1004,1,MATCH(COLUMNS($P$1006:Q1006),$P$1006:$S$1006,0)))),"Fix")))</f>
        <v>0</v>
      </c>
      <c r="D102" s="3">
        <f>IF(OR(INDEX($J$2:$J$1001,MATCH(ROWS($I$2:I102),$I$2:$I$1001,0),1)&gt;=100000,INDEX($P$1005:$S$1005,1,MATCH(COLUMNS($P$1006:R1006),$P$1006:$S$1006,0))&gt;=100000), " ",IF(INDEX($P$2:$S$1001,MATCH(ROWS($I$2:I102),$I$2:$I$1001,0),MATCH(COLUMNS($P$1006:R1006),$P$1006:$S$1006,0)), HYPERLINK("#",""), HYPERLINK(CONCATENATE("#metadata!", ADDRESS(INDEX($K$2:$K$1001,MATCH(ROWS($I$2:I102),$I$2:$I$1001,0),0), INDEX($P$1004:$S$1004,1,MATCH(COLUMNS($P$1006:R1006),$P$1006:$S$1006,0)))),"Fix")))</f>
        <v>0</v>
      </c>
      <c r="E102" s="3">
        <f>IF(OR(INDEX($J$2:$J$1001,MATCH(ROWS($I$2:I102),$I$2:$I$1001,0),1)&gt;=100000,INDEX($P$1005:$S$1005,1,MATCH(COLUMNS($P$1006:S1006),$P$1006:$S$1006,0))&gt;=100000), " ",IF(INDEX($P$2:$S$1001,MATCH(ROWS($I$2:I102),$I$2:$I$1001,0),MATCH(COLUMNS($P$1006:S1006),$P$1006:$S$1006,0)), HYPERLINK("#",""), HYPERLINK(CONCATENATE("#metadata!", ADDRESS(INDEX($K$2:$K$1001,MATCH(ROWS($I$2:I102),$I$2:$I$1001,0),0), INDEX($P$1004:$S$1004,1,MATCH(COLUMNS($P$1006:S1006),$P$1006:$S$1006,0)))),"Fix")))</f>
        <v>0</v>
      </c>
      <c r="I102">
        <v>0</v>
      </c>
      <c r="J102">
        <v>0</v>
      </c>
      <c r="K102">
        <v>0</v>
      </c>
      <c r="L102">
        <f>IF(M102,TRUE,AND(P102:S102))</f>
        <v>0</v>
      </c>
      <c r="M102">
        <f>COUNTBLANK(metadata!B102:E102)=COLUMNS(metadata!B102:E102)</f>
        <v>0</v>
      </c>
      <c r="N102">
        <v>0</v>
      </c>
      <c r="P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Q102">
        <f>AND(IF(metadata!C102="",FALSE,TRUE),exact(metadata!C102,"other"))</f>
        <v>0</v>
      </c>
      <c r="R102">
        <f>AND(IF(metadata!D102="",FALSE,TRUE),exact(metadata!D102,"metagenome"))</f>
        <v>0</v>
      </c>
      <c r="S102">
        <f>AND(IF(metadata!E102="",FALSE,TRUE),exact(metadata!E102,"256318"))</f>
        <v>0</v>
      </c>
    </row>
    <row r="103" spans="1:19">
      <c r="A103" s="4">
        <f>IF(B103=" "," ",HYPERLINK(CONCATENATE("#metadata!",ADDRESS(INDEX($K$2:$K$1001,MATCH(ROWS($I$2:I103),$I$2:$I$1001,0),0),1)),INDEX($N$2:$N$1001,MATCH(ROWS($I$2:I103),$I$2:$I$1001,0),0)))</f>
        <v>0</v>
      </c>
      <c r="B103" s="3">
        <f>IF(OR(INDEX($J$2:$J$1001,MATCH(ROWS($I$2:I103),$I$2:$I$1001,0),1)&gt;=100000,INDEX($P$1005:$S$1005,1,MATCH(COLUMNS($P$1006:P1006),$P$1006:$S$1006,0))&gt;=100000), " ",IF(INDEX($P$2:$S$1001,MATCH(ROWS($I$2:I103),$I$2:$I$1001,0),MATCH(COLUMNS($P$1006:P1006),$P$1006:$S$1006,0)), HYPERLINK("#",""), HYPERLINK(CONCATENATE("#metadata!", ADDRESS(INDEX($K$2:$K$1001,MATCH(ROWS($I$2:I103),$I$2:$I$1001,0),0), INDEX($P$1004:$S$1004,1,MATCH(COLUMNS($P$1006:P1006),$P$1006:$S$1006,0)))),"Fix")))</f>
        <v>0</v>
      </c>
      <c r="C103" s="3">
        <f>IF(OR(INDEX($J$2:$J$1001,MATCH(ROWS($I$2:I103),$I$2:$I$1001,0),1)&gt;=100000,INDEX($P$1005:$S$1005,1,MATCH(COLUMNS($P$1006:Q1006),$P$1006:$S$1006,0))&gt;=100000), " ",IF(INDEX($P$2:$S$1001,MATCH(ROWS($I$2:I103),$I$2:$I$1001,0),MATCH(COLUMNS($P$1006:Q1006),$P$1006:$S$1006,0)), HYPERLINK("#",""), HYPERLINK(CONCATENATE("#metadata!", ADDRESS(INDEX($K$2:$K$1001,MATCH(ROWS($I$2:I103),$I$2:$I$1001,0),0), INDEX($P$1004:$S$1004,1,MATCH(COLUMNS($P$1006:Q1006),$P$1006:$S$1006,0)))),"Fix")))</f>
        <v>0</v>
      </c>
      <c r="D103" s="3">
        <f>IF(OR(INDEX($J$2:$J$1001,MATCH(ROWS($I$2:I103),$I$2:$I$1001,0),1)&gt;=100000,INDEX($P$1005:$S$1005,1,MATCH(COLUMNS($P$1006:R1006),$P$1006:$S$1006,0))&gt;=100000), " ",IF(INDEX($P$2:$S$1001,MATCH(ROWS($I$2:I103),$I$2:$I$1001,0),MATCH(COLUMNS($P$1006:R1006),$P$1006:$S$1006,0)), HYPERLINK("#",""), HYPERLINK(CONCATENATE("#metadata!", ADDRESS(INDEX($K$2:$K$1001,MATCH(ROWS($I$2:I103),$I$2:$I$1001,0),0), INDEX($P$1004:$S$1004,1,MATCH(COLUMNS($P$1006:R1006),$P$1006:$S$1006,0)))),"Fix")))</f>
        <v>0</v>
      </c>
      <c r="E103" s="3">
        <f>IF(OR(INDEX($J$2:$J$1001,MATCH(ROWS($I$2:I103),$I$2:$I$1001,0),1)&gt;=100000,INDEX($P$1005:$S$1005,1,MATCH(COLUMNS($P$1006:S1006),$P$1006:$S$1006,0))&gt;=100000), " ",IF(INDEX($P$2:$S$1001,MATCH(ROWS($I$2:I103),$I$2:$I$1001,0),MATCH(COLUMNS($P$1006:S1006),$P$1006:$S$1006,0)), HYPERLINK("#",""), HYPERLINK(CONCATENATE("#metadata!", ADDRESS(INDEX($K$2:$K$1001,MATCH(ROWS($I$2:I103),$I$2:$I$1001,0),0), INDEX($P$1004:$S$1004,1,MATCH(COLUMNS($P$1006:S1006),$P$1006:$S$1006,0)))),"Fix")))</f>
        <v>0</v>
      </c>
      <c r="I103">
        <v>0</v>
      </c>
      <c r="J103">
        <v>0</v>
      </c>
      <c r="K103">
        <v>0</v>
      </c>
      <c r="L103">
        <f>IF(M103,TRUE,AND(P103:S103))</f>
        <v>0</v>
      </c>
      <c r="M103">
        <f>COUNTBLANK(metadata!B103:E103)=COLUMNS(metadata!B103:E103)</f>
        <v>0</v>
      </c>
      <c r="N103">
        <v>0</v>
      </c>
      <c r="P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Q103">
        <f>AND(IF(metadata!C103="",FALSE,TRUE),exact(metadata!C103,"other"))</f>
        <v>0</v>
      </c>
      <c r="R103">
        <f>AND(IF(metadata!D103="",FALSE,TRUE),exact(metadata!D103,"metagenome"))</f>
        <v>0</v>
      </c>
      <c r="S103">
        <f>AND(IF(metadata!E103="",FALSE,TRUE),exact(metadata!E103,"256318"))</f>
        <v>0</v>
      </c>
    </row>
    <row r="104" spans="1:19">
      <c r="A104" s="4">
        <f>IF(B104=" "," ",HYPERLINK(CONCATENATE("#metadata!",ADDRESS(INDEX($K$2:$K$1001,MATCH(ROWS($I$2:I104),$I$2:$I$1001,0),0),1)),INDEX($N$2:$N$1001,MATCH(ROWS($I$2:I104),$I$2:$I$1001,0),0)))</f>
        <v>0</v>
      </c>
      <c r="B104" s="3">
        <f>IF(OR(INDEX($J$2:$J$1001,MATCH(ROWS($I$2:I104),$I$2:$I$1001,0),1)&gt;=100000,INDEX($P$1005:$S$1005,1,MATCH(COLUMNS($P$1006:P1006),$P$1006:$S$1006,0))&gt;=100000), " ",IF(INDEX($P$2:$S$1001,MATCH(ROWS($I$2:I104),$I$2:$I$1001,0),MATCH(COLUMNS($P$1006:P1006),$P$1006:$S$1006,0)), HYPERLINK("#",""), HYPERLINK(CONCATENATE("#metadata!", ADDRESS(INDEX($K$2:$K$1001,MATCH(ROWS($I$2:I104),$I$2:$I$1001,0),0), INDEX($P$1004:$S$1004,1,MATCH(COLUMNS($P$1006:P1006),$P$1006:$S$1006,0)))),"Fix")))</f>
        <v>0</v>
      </c>
      <c r="C104" s="3">
        <f>IF(OR(INDEX($J$2:$J$1001,MATCH(ROWS($I$2:I104),$I$2:$I$1001,0),1)&gt;=100000,INDEX($P$1005:$S$1005,1,MATCH(COLUMNS($P$1006:Q1006),$P$1006:$S$1006,0))&gt;=100000), " ",IF(INDEX($P$2:$S$1001,MATCH(ROWS($I$2:I104),$I$2:$I$1001,0),MATCH(COLUMNS($P$1006:Q1006),$P$1006:$S$1006,0)), HYPERLINK("#",""), HYPERLINK(CONCATENATE("#metadata!", ADDRESS(INDEX($K$2:$K$1001,MATCH(ROWS($I$2:I104),$I$2:$I$1001,0),0), INDEX($P$1004:$S$1004,1,MATCH(COLUMNS($P$1006:Q1006),$P$1006:$S$1006,0)))),"Fix")))</f>
        <v>0</v>
      </c>
      <c r="D104" s="3">
        <f>IF(OR(INDEX($J$2:$J$1001,MATCH(ROWS($I$2:I104),$I$2:$I$1001,0),1)&gt;=100000,INDEX($P$1005:$S$1005,1,MATCH(COLUMNS($P$1006:R1006),$P$1006:$S$1006,0))&gt;=100000), " ",IF(INDEX($P$2:$S$1001,MATCH(ROWS($I$2:I104),$I$2:$I$1001,0),MATCH(COLUMNS($P$1006:R1006),$P$1006:$S$1006,0)), HYPERLINK("#",""), HYPERLINK(CONCATENATE("#metadata!", ADDRESS(INDEX($K$2:$K$1001,MATCH(ROWS($I$2:I104),$I$2:$I$1001,0),0), INDEX($P$1004:$S$1004,1,MATCH(COLUMNS($P$1006:R1006),$P$1006:$S$1006,0)))),"Fix")))</f>
        <v>0</v>
      </c>
      <c r="E104" s="3">
        <f>IF(OR(INDEX($J$2:$J$1001,MATCH(ROWS($I$2:I104),$I$2:$I$1001,0),1)&gt;=100000,INDEX($P$1005:$S$1005,1,MATCH(COLUMNS($P$1006:S1006),$P$1006:$S$1006,0))&gt;=100000), " ",IF(INDEX($P$2:$S$1001,MATCH(ROWS($I$2:I104),$I$2:$I$1001,0),MATCH(COLUMNS($P$1006:S1006),$P$1006:$S$1006,0)), HYPERLINK("#",""), HYPERLINK(CONCATENATE("#metadata!", ADDRESS(INDEX($K$2:$K$1001,MATCH(ROWS($I$2:I104),$I$2:$I$1001,0),0), INDEX($P$1004:$S$1004,1,MATCH(COLUMNS($P$1006:S1006),$P$1006:$S$1006,0)))),"Fix")))</f>
        <v>0</v>
      </c>
      <c r="I104">
        <v>0</v>
      </c>
      <c r="J104">
        <v>0</v>
      </c>
      <c r="K104">
        <v>0</v>
      </c>
      <c r="L104">
        <f>IF(M104,TRUE,AND(P104:S104))</f>
        <v>0</v>
      </c>
      <c r="M104">
        <f>COUNTBLANK(metadata!B104:E104)=COLUMNS(metadata!B104:E104)</f>
        <v>0</v>
      </c>
      <c r="N104">
        <v>0</v>
      </c>
      <c r="P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Q104">
        <f>AND(IF(metadata!C104="",FALSE,TRUE),exact(metadata!C104,"other"))</f>
        <v>0</v>
      </c>
      <c r="R104">
        <f>AND(IF(metadata!D104="",FALSE,TRUE),exact(metadata!D104,"metagenome"))</f>
        <v>0</v>
      </c>
      <c r="S104">
        <f>AND(IF(metadata!E104="",FALSE,TRUE),exact(metadata!E104,"256318"))</f>
        <v>0</v>
      </c>
    </row>
    <row r="105" spans="1:19">
      <c r="A105" s="4">
        <f>IF(B105=" "," ",HYPERLINK(CONCATENATE("#metadata!",ADDRESS(INDEX($K$2:$K$1001,MATCH(ROWS($I$2:I105),$I$2:$I$1001,0),0),1)),INDEX($N$2:$N$1001,MATCH(ROWS($I$2:I105),$I$2:$I$1001,0),0)))</f>
        <v>0</v>
      </c>
      <c r="B105" s="3">
        <f>IF(OR(INDEX($J$2:$J$1001,MATCH(ROWS($I$2:I105),$I$2:$I$1001,0),1)&gt;=100000,INDEX($P$1005:$S$1005,1,MATCH(COLUMNS($P$1006:P1006),$P$1006:$S$1006,0))&gt;=100000), " ",IF(INDEX($P$2:$S$1001,MATCH(ROWS($I$2:I105),$I$2:$I$1001,0),MATCH(COLUMNS($P$1006:P1006),$P$1006:$S$1006,0)), HYPERLINK("#",""), HYPERLINK(CONCATENATE("#metadata!", ADDRESS(INDEX($K$2:$K$1001,MATCH(ROWS($I$2:I105),$I$2:$I$1001,0),0), INDEX($P$1004:$S$1004,1,MATCH(COLUMNS($P$1006:P1006),$P$1006:$S$1006,0)))),"Fix")))</f>
        <v>0</v>
      </c>
      <c r="C105" s="3">
        <f>IF(OR(INDEX($J$2:$J$1001,MATCH(ROWS($I$2:I105),$I$2:$I$1001,0),1)&gt;=100000,INDEX($P$1005:$S$1005,1,MATCH(COLUMNS($P$1006:Q1006),$P$1006:$S$1006,0))&gt;=100000), " ",IF(INDEX($P$2:$S$1001,MATCH(ROWS($I$2:I105),$I$2:$I$1001,0),MATCH(COLUMNS($P$1006:Q1006),$P$1006:$S$1006,0)), HYPERLINK("#",""), HYPERLINK(CONCATENATE("#metadata!", ADDRESS(INDEX($K$2:$K$1001,MATCH(ROWS($I$2:I105),$I$2:$I$1001,0),0), INDEX($P$1004:$S$1004,1,MATCH(COLUMNS($P$1006:Q1006),$P$1006:$S$1006,0)))),"Fix")))</f>
        <v>0</v>
      </c>
      <c r="D105" s="3">
        <f>IF(OR(INDEX($J$2:$J$1001,MATCH(ROWS($I$2:I105),$I$2:$I$1001,0),1)&gt;=100000,INDEX($P$1005:$S$1005,1,MATCH(COLUMNS($P$1006:R1006),$P$1006:$S$1006,0))&gt;=100000), " ",IF(INDEX($P$2:$S$1001,MATCH(ROWS($I$2:I105),$I$2:$I$1001,0),MATCH(COLUMNS($P$1006:R1006),$P$1006:$S$1006,0)), HYPERLINK("#",""), HYPERLINK(CONCATENATE("#metadata!", ADDRESS(INDEX($K$2:$K$1001,MATCH(ROWS($I$2:I105),$I$2:$I$1001,0),0), INDEX($P$1004:$S$1004,1,MATCH(COLUMNS($P$1006:R1006),$P$1006:$S$1006,0)))),"Fix")))</f>
        <v>0</v>
      </c>
      <c r="E105" s="3">
        <f>IF(OR(INDEX($J$2:$J$1001,MATCH(ROWS($I$2:I105),$I$2:$I$1001,0),1)&gt;=100000,INDEX($P$1005:$S$1005,1,MATCH(COLUMNS($P$1006:S1006),$P$1006:$S$1006,0))&gt;=100000), " ",IF(INDEX($P$2:$S$1001,MATCH(ROWS($I$2:I105),$I$2:$I$1001,0),MATCH(COLUMNS($P$1006:S1006),$P$1006:$S$1006,0)), HYPERLINK("#",""), HYPERLINK(CONCATENATE("#metadata!", ADDRESS(INDEX($K$2:$K$1001,MATCH(ROWS($I$2:I105),$I$2:$I$1001,0),0), INDEX($P$1004:$S$1004,1,MATCH(COLUMNS($P$1006:S1006),$P$1006:$S$1006,0)))),"Fix")))</f>
        <v>0</v>
      </c>
      <c r="I105">
        <v>0</v>
      </c>
      <c r="J105">
        <v>0</v>
      </c>
      <c r="K105">
        <v>0</v>
      </c>
      <c r="L105">
        <f>IF(M105,TRUE,AND(P105:S105))</f>
        <v>0</v>
      </c>
      <c r="M105">
        <f>COUNTBLANK(metadata!B105:E105)=COLUMNS(metadata!B105:E105)</f>
        <v>0</v>
      </c>
      <c r="N105">
        <v>0</v>
      </c>
      <c r="P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Q105">
        <f>AND(IF(metadata!C105="",FALSE,TRUE),exact(metadata!C105,"other"))</f>
        <v>0</v>
      </c>
      <c r="R105">
        <f>AND(IF(metadata!D105="",FALSE,TRUE),exact(metadata!D105,"metagenome"))</f>
        <v>0</v>
      </c>
      <c r="S105">
        <f>AND(IF(metadata!E105="",FALSE,TRUE),exact(metadata!E105,"256318"))</f>
        <v>0</v>
      </c>
    </row>
    <row r="106" spans="1:19">
      <c r="A106" s="4">
        <f>IF(B106=" "," ",HYPERLINK(CONCATENATE("#metadata!",ADDRESS(INDEX($K$2:$K$1001,MATCH(ROWS($I$2:I106),$I$2:$I$1001,0),0),1)),INDEX($N$2:$N$1001,MATCH(ROWS($I$2:I106),$I$2:$I$1001,0),0)))</f>
        <v>0</v>
      </c>
      <c r="B106" s="3">
        <f>IF(OR(INDEX($J$2:$J$1001,MATCH(ROWS($I$2:I106),$I$2:$I$1001,0),1)&gt;=100000,INDEX($P$1005:$S$1005,1,MATCH(COLUMNS($P$1006:P1006),$P$1006:$S$1006,0))&gt;=100000), " ",IF(INDEX($P$2:$S$1001,MATCH(ROWS($I$2:I106),$I$2:$I$1001,0),MATCH(COLUMNS($P$1006:P1006),$P$1006:$S$1006,0)), HYPERLINK("#",""), HYPERLINK(CONCATENATE("#metadata!", ADDRESS(INDEX($K$2:$K$1001,MATCH(ROWS($I$2:I106),$I$2:$I$1001,0),0), INDEX($P$1004:$S$1004,1,MATCH(COLUMNS($P$1006:P1006),$P$1006:$S$1006,0)))),"Fix")))</f>
        <v>0</v>
      </c>
      <c r="C106" s="3">
        <f>IF(OR(INDEX($J$2:$J$1001,MATCH(ROWS($I$2:I106),$I$2:$I$1001,0),1)&gt;=100000,INDEX($P$1005:$S$1005,1,MATCH(COLUMNS($P$1006:Q1006),$P$1006:$S$1006,0))&gt;=100000), " ",IF(INDEX($P$2:$S$1001,MATCH(ROWS($I$2:I106),$I$2:$I$1001,0),MATCH(COLUMNS($P$1006:Q1006),$P$1006:$S$1006,0)), HYPERLINK("#",""), HYPERLINK(CONCATENATE("#metadata!", ADDRESS(INDEX($K$2:$K$1001,MATCH(ROWS($I$2:I106),$I$2:$I$1001,0),0), INDEX($P$1004:$S$1004,1,MATCH(COLUMNS($P$1006:Q1006),$P$1006:$S$1006,0)))),"Fix")))</f>
        <v>0</v>
      </c>
      <c r="D106" s="3">
        <f>IF(OR(INDEX($J$2:$J$1001,MATCH(ROWS($I$2:I106),$I$2:$I$1001,0),1)&gt;=100000,INDEX($P$1005:$S$1005,1,MATCH(COLUMNS($P$1006:R1006),$P$1006:$S$1006,0))&gt;=100000), " ",IF(INDEX($P$2:$S$1001,MATCH(ROWS($I$2:I106),$I$2:$I$1001,0),MATCH(COLUMNS($P$1006:R1006),$P$1006:$S$1006,0)), HYPERLINK("#",""), HYPERLINK(CONCATENATE("#metadata!", ADDRESS(INDEX($K$2:$K$1001,MATCH(ROWS($I$2:I106),$I$2:$I$1001,0),0), INDEX($P$1004:$S$1004,1,MATCH(COLUMNS($P$1006:R1006),$P$1006:$S$1006,0)))),"Fix")))</f>
        <v>0</v>
      </c>
      <c r="E106" s="3">
        <f>IF(OR(INDEX($J$2:$J$1001,MATCH(ROWS($I$2:I106),$I$2:$I$1001,0),1)&gt;=100000,INDEX($P$1005:$S$1005,1,MATCH(COLUMNS($P$1006:S1006),$P$1006:$S$1006,0))&gt;=100000), " ",IF(INDEX($P$2:$S$1001,MATCH(ROWS($I$2:I106),$I$2:$I$1001,0),MATCH(COLUMNS($P$1006:S1006),$P$1006:$S$1006,0)), HYPERLINK("#",""), HYPERLINK(CONCATENATE("#metadata!", ADDRESS(INDEX($K$2:$K$1001,MATCH(ROWS($I$2:I106),$I$2:$I$1001,0),0), INDEX($P$1004:$S$1004,1,MATCH(COLUMNS($P$1006:S1006),$P$1006:$S$1006,0)))),"Fix")))</f>
        <v>0</v>
      </c>
      <c r="I106">
        <v>0</v>
      </c>
      <c r="J106">
        <v>0</v>
      </c>
      <c r="K106">
        <v>0</v>
      </c>
      <c r="L106">
        <f>IF(M106,TRUE,AND(P106:S106))</f>
        <v>0</v>
      </c>
      <c r="M106">
        <f>COUNTBLANK(metadata!B106:E106)=COLUMNS(metadata!B106:E106)</f>
        <v>0</v>
      </c>
      <c r="N106">
        <v>0</v>
      </c>
      <c r="P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Q106">
        <f>AND(IF(metadata!C106="",FALSE,TRUE),exact(metadata!C106,"other"))</f>
        <v>0</v>
      </c>
      <c r="R106">
        <f>AND(IF(metadata!D106="",FALSE,TRUE),exact(metadata!D106,"metagenome"))</f>
        <v>0</v>
      </c>
      <c r="S106">
        <f>AND(IF(metadata!E106="",FALSE,TRUE),exact(metadata!E106,"256318"))</f>
        <v>0</v>
      </c>
    </row>
    <row r="107" spans="1:19">
      <c r="A107" s="4">
        <f>IF(B107=" "," ",HYPERLINK(CONCATENATE("#metadata!",ADDRESS(INDEX($K$2:$K$1001,MATCH(ROWS($I$2:I107),$I$2:$I$1001,0),0),1)),INDEX($N$2:$N$1001,MATCH(ROWS($I$2:I107),$I$2:$I$1001,0),0)))</f>
        <v>0</v>
      </c>
      <c r="B107" s="3">
        <f>IF(OR(INDEX($J$2:$J$1001,MATCH(ROWS($I$2:I107),$I$2:$I$1001,0),1)&gt;=100000,INDEX($P$1005:$S$1005,1,MATCH(COLUMNS($P$1006:P1006),$P$1006:$S$1006,0))&gt;=100000), " ",IF(INDEX($P$2:$S$1001,MATCH(ROWS($I$2:I107),$I$2:$I$1001,0),MATCH(COLUMNS($P$1006:P1006),$P$1006:$S$1006,0)), HYPERLINK("#",""), HYPERLINK(CONCATENATE("#metadata!", ADDRESS(INDEX($K$2:$K$1001,MATCH(ROWS($I$2:I107),$I$2:$I$1001,0),0), INDEX($P$1004:$S$1004,1,MATCH(COLUMNS($P$1006:P1006),$P$1006:$S$1006,0)))),"Fix")))</f>
        <v>0</v>
      </c>
      <c r="C107" s="3">
        <f>IF(OR(INDEX($J$2:$J$1001,MATCH(ROWS($I$2:I107),$I$2:$I$1001,0),1)&gt;=100000,INDEX($P$1005:$S$1005,1,MATCH(COLUMNS($P$1006:Q1006),$P$1006:$S$1006,0))&gt;=100000), " ",IF(INDEX($P$2:$S$1001,MATCH(ROWS($I$2:I107),$I$2:$I$1001,0),MATCH(COLUMNS($P$1006:Q1006),$P$1006:$S$1006,0)), HYPERLINK("#",""), HYPERLINK(CONCATENATE("#metadata!", ADDRESS(INDEX($K$2:$K$1001,MATCH(ROWS($I$2:I107),$I$2:$I$1001,0),0), INDEX($P$1004:$S$1004,1,MATCH(COLUMNS($P$1006:Q1006),$P$1006:$S$1006,0)))),"Fix")))</f>
        <v>0</v>
      </c>
      <c r="D107" s="3">
        <f>IF(OR(INDEX($J$2:$J$1001,MATCH(ROWS($I$2:I107),$I$2:$I$1001,0),1)&gt;=100000,INDEX($P$1005:$S$1005,1,MATCH(COLUMNS($P$1006:R1006),$P$1006:$S$1006,0))&gt;=100000), " ",IF(INDEX($P$2:$S$1001,MATCH(ROWS($I$2:I107),$I$2:$I$1001,0),MATCH(COLUMNS($P$1006:R1006),$P$1006:$S$1006,0)), HYPERLINK("#",""), HYPERLINK(CONCATENATE("#metadata!", ADDRESS(INDEX($K$2:$K$1001,MATCH(ROWS($I$2:I107),$I$2:$I$1001,0),0), INDEX($P$1004:$S$1004,1,MATCH(COLUMNS($P$1006:R1006),$P$1006:$S$1006,0)))),"Fix")))</f>
        <v>0</v>
      </c>
      <c r="E107" s="3">
        <f>IF(OR(INDEX($J$2:$J$1001,MATCH(ROWS($I$2:I107),$I$2:$I$1001,0),1)&gt;=100000,INDEX($P$1005:$S$1005,1,MATCH(COLUMNS($P$1006:S1006),$P$1006:$S$1006,0))&gt;=100000), " ",IF(INDEX($P$2:$S$1001,MATCH(ROWS($I$2:I107),$I$2:$I$1001,0),MATCH(COLUMNS($P$1006:S1006),$P$1006:$S$1006,0)), HYPERLINK("#",""), HYPERLINK(CONCATENATE("#metadata!", ADDRESS(INDEX($K$2:$K$1001,MATCH(ROWS($I$2:I107),$I$2:$I$1001,0),0), INDEX($P$1004:$S$1004,1,MATCH(COLUMNS($P$1006:S1006),$P$1006:$S$1006,0)))),"Fix")))</f>
        <v>0</v>
      </c>
      <c r="I107">
        <v>0</v>
      </c>
      <c r="J107">
        <v>0</v>
      </c>
      <c r="K107">
        <v>0</v>
      </c>
      <c r="L107">
        <f>IF(M107,TRUE,AND(P107:S107))</f>
        <v>0</v>
      </c>
      <c r="M107">
        <f>COUNTBLANK(metadata!B107:E107)=COLUMNS(metadata!B107:E107)</f>
        <v>0</v>
      </c>
      <c r="N107">
        <v>0</v>
      </c>
      <c r="P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Q107">
        <f>AND(IF(metadata!C107="",FALSE,TRUE),exact(metadata!C107,"other"))</f>
        <v>0</v>
      </c>
      <c r="R107">
        <f>AND(IF(metadata!D107="",FALSE,TRUE),exact(metadata!D107,"metagenome"))</f>
        <v>0</v>
      </c>
      <c r="S107">
        <f>AND(IF(metadata!E107="",FALSE,TRUE),exact(metadata!E107,"256318"))</f>
        <v>0</v>
      </c>
    </row>
    <row r="108" spans="1:19">
      <c r="A108" s="4">
        <f>IF(B108=" "," ",HYPERLINK(CONCATENATE("#metadata!",ADDRESS(INDEX($K$2:$K$1001,MATCH(ROWS($I$2:I108),$I$2:$I$1001,0),0),1)),INDEX($N$2:$N$1001,MATCH(ROWS($I$2:I108),$I$2:$I$1001,0),0)))</f>
        <v>0</v>
      </c>
      <c r="B108" s="3">
        <f>IF(OR(INDEX($J$2:$J$1001,MATCH(ROWS($I$2:I108),$I$2:$I$1001,0),1)&gt;=100000,INDEX($P$1005:$S$1005,1,MATCH(COLUMNS($P$1006:P1006),$P$1006:$S$1006,0))&gt;=100000), " ",IF(INDEX($P$2:$S$1001,MATCH(ROWS($I$2:I108),$I$2:$I$1001,0),MATCH(COLUMNS($P$1006:P1006),$P$1006:$S$1006,0)), HYPERLINK("#",""), HYPERLINK(CONCATENATE("#metadata!", ADDRESS(INDEX($K$2:$K$1001,MATCH(ROWS($I$2:I108),$I$2:$I$1001,0),0), INDEX($P$1004:$S$1004,1,MATCH(COLUMNS($P$1006:P1006),$P$1006:$S$1006,0)))),"Fix")))</f>
        <v>0</v>
      </c>
      <c r="C108" s="3">
        <f>IF(OR(INDEX($J$2:$J$1001,MATCH(ROWS($I$2:I108),$I$2:$I$1001,0),1)&gt;=100000,INDEX($P$1005:$S$1005,1,MATCH(COLUMNS($P$1006:Q1006),$P$1006:$S$1006,0))&gt;=100000), " ",IF(INDEX($P$2:$S$1001,MATCH(ROWS($I$2:I108),$I$2:$I$1001,0),MATCH(COLUMNS($P$1006:Q1006),$P$1006:$S$1006,0)), HYPERLINK("#",""), HYPERLINK(CONCATENATE("#metadata!", ADDRESS(INDEX($K$2:$K$1001,MATCH(ROWS($I$2:I108),$I$2:$I$1001,0),0), INDEX($P$1004:$S$1004,1,MATCH(COLUMNS($P$1006:Q1006),$P$1006:$S$1006,0)))),"Fix")))</f>
        <v>0</v>
      </c>
      <c r="D108" s="3">
        <f>IF(OR(INDEX($J$2:$J$1001,MATCH(ROWS($I$2:I108),$I$2:$I$1001,0),1)&gt;=100000,INDEX($P$1005:$S$1005,1,MATCH(COLUMNS($P$1006:R1006),$P$1006:$S$1006,0))&gt;=100000), " ",IF(INDEX($P$2:$S$1001,MATCH(ROWS($I$2:I108),$I$2:$I$1001,0),MATCH(COLUMNS($P$1006:R1006),$P$1006:$S$1006,0)), HYPERLINK("#",""), HYPERLINK(CONCATENATE("#metadata!", ADDRESS(INDEX($K$2:$K$1001,MATCH(ROWS($I$2:I108),$I$2:$I$1001,0),0), INDEX($P$1004:$S$1004,1,MATCH(COLUMNS($P$1006:R1006),$P$1006:$S$1006,0)))),"Fix")))</f>
        <v>0</v>
      </c>
      <c r="E108" s="3">
        <f>IF(OR(INDEX($J$2:$J$1001,MATCH(ROWS($I$2:I108),$I$2:$I$1001,0),1)&gt;=100000,INDEX($P$1005:$S$1005,1,MATCH(COLUMNS($P$1006:S1006),$P$1006:$S$1006,0))&gt;=100000), " ",IF(INDEX($P$2:$S$1001,MATCH(ROWS($I$2:I108),$I$2:$I$1001,0),MATCH(COLUMNS($P$1006:S1006),$P$1006:$S$1006,0)), HYPERLINK("#",""), HYPERLINK(CONCATENATE("#metadata!", ADDRESS(INDEX($K$2:$K$1001,MATCH(ROWS($I$2:I108),$I$2:$I$1001,0),0), INDEX($P$1004:$S$1004,1,MATCH(COLUMNS($P$1006:S1006),$P$1006:$S$1006,0)))),"Fix")))</f>
        <v>0</v>
      </c>
      <c r="I108">
        <v>0</v>
      </c>
      <c r="J108">
        <v>0</v>
      </c>
      <c r="K108">
        <v>0</v>
      </c>
      <c r="L108">
        <f>IF(M108,TRUE,AND(P108:S108))</f>
        <v>0</v>
      </c>
      <c r="M108">
        <f>COUNTBLANK(metadata!B108:E108)=COLUMNS(metadata!B108:E108)</f>
        <v>0</v>
      </c>
      <c r="N108">
        <v>0</v>
      </c>
      <c r="P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Q108">
        <f>AND(IF(metadata!C108="",FALSE,TRUE),exact(metadata!C108,"other"))</f>
        <v>0</v>
      </c>
      <c r="R108">
        <f>AND(IF(metadata!D108="",FALSE,TRUE),exact(metadata!D108,"metagenome"))</f>
        <v>0</v>
      </c>
      <c r="S108">
        <f>AND(IF(metadata!E108="",FALSE,TRUE),exact(metadata!E108,"256318"))</f>
        <v>0</v>
      </c>
    </row>
    <row r="109" spans="1:19">
      <c r="A109" s="4">
        <f>IF(B109=" "," ",HYPERLINK(CONCATENATE("#metadata!",ADDRESS(INDEX($K$2:$K$1001,MATCH(ROWS($I$2:I109),$I$2:$I$1001,0),0),1)),INDEX($N$2:$N$1001,MATCH(ROWS($I$2:I109),$I$2:$I$1001,0),0)))</f>
        <v>0</v>
      </c>
      <c r="B109" s="3">
        <f>IF(OR(INDEX($J$2:$J$1001,MATCH(ROWS($I$2:I109),$I$2:$I$1001,0),1)&gt;=100000,INDEX($P$1005:$S$1005,1,MATCH(COLUMNS($P$1006:P1006),$P$1006:$S$1006,0))&gt;=100000), " ",IF(INDEX($P$2:$S$1001,MATCH(ROWS($I$2:I109),$I$2:$I$1001,0),MATCH(COLUMNS($P$1006:P1006),$P$1006:$S$1006,0)), HYPERLINK("#",""), HYPERLINK(CONCATENATE("#metadata!", ADDRESS(INDEX($K$2:$K$1001,MATCH(ROWS($I$2:I109),$I$2:$I$1001,0),0), INDEX($P$1004:$S$1004,1,MATCH(COLUMNS($P$1006:P1006),$P$1006:$S$1006,0)))),"Fix")))</f>
        <v>0</v>
      </c>
      <c r="C109" s="3">
        <f>IF(OR(INDEX($J$2:$J$1001,MATCH(ROWS($I$2:I109),$I$2:$I$1001,0),1)&gt;=100000,INDEX($P$1005:$S$1005,1,MATCH(COLUMNS($P$1006:Q1006),$P$1006:$S$1006,0))&gt;=100000), " ",IF(INDEX($P$2:$S$1001,MATCH(ROWS($I$2:I109),$I$2:$I$1001,0),MATCH(COLUMNS($P$1006:Q1006),$P$1006:$S$1006,0)), HYPERLINK("#",""), HYPERLINK(CONCATENATE("#metadata!", ADDRESS(INDEX($K$2:$K$1001,MATCH(ROWS($I$2:I109),$I$2:$I$1001,0),0), INDEX($P$1004:$S$1004,1,MATCH(COLUMNS($P$1006:Q1006),$P$1006:$S$1006,0)))),"Fix")))</f>
        <v>0</v>
      </c>
      <c r="D109" s="3">
        <f>IF(OR(INDEX($J$2:$J$1001,MATCH(ROWS($I$2:I109),$I$2:$I$1001,0),1)&gt;=100000,INDEX($P$1005:$S$1005,1,MATCH(COLUMNS($P$1006:R1006),$P$1006:$S$1006,0))&gt;=100000), " ",IF(INDEX($P$2:$S$1001,MATCH(ROWS($I$2:I109),$I$2:$I$1001,0),MATCH(COLUMNS($P$1006:R1006),$P$1006:$S$1006,0)), HYPERLINK("#",""), HYPERLINK(CONCATENATE("#metadata!", ADDRESS(INDEX($K$2:$K$1001,MATCH(ROWS($I$2:I109),$I$2:$I$1001,0),0), INDEX($P$1004:$S$1004,1,MATCH(COLUMNS($P$1006:R1006),$P$1006:$S$1006,0)))),"Fix")))</f>
        <v>0</v>
      </c>
      <c r="E109" s="3">
        <f>IF(OR(INDEX($J$2:$J$1001,MATCH(ROWS($I$2:I109),$I$2:$I$1001,0),1)&gt;=100000,INDEX($P$1005:$S$1005,1,MATCH(COLUMNS($P$1006:S1006),$P$1006:$S$1006,0))&gt;=100000), " ",IF(INDEX($P$2:$S$1001,MATCH(ROWS($I$2:I109),$I$2:$I$1001,0),MATCH(COLUMNS($P$1006:S1006),$P$1006:$S$1006,0)), HYPERLINK("#",""), HYPERLINK(CONCATENATE("#metadata!", ADDRESS(INDEX($K$2:$K$1001,MATCH(ROWS($I$2:I109),$I$2:$I$1001,0),0), INDEX($P$1004:$S$1004,1,MATCH(COLUMNS($P$1006:S1006),$P$1006:$S$1006,0)))),"Fix")))</f>
        <v>0</v>
      </c>
      <c r="I109">
        <v>0</v>
      </c>
      <c r="J109">
        <v>0</v>
      </c>
      <c r="K109">
        <v>0</v>
      </c>
      <c r="L109">
        <f>IF(M109,TRUE,AND(P109:S109))</f>
        <v>0</v>
      </c>
      <c r="M109">
        <f>COUNTBLANK(metadata!B109:E109)=COLUMNS(metadata!B109:E109)</f>
        <v>0</v>
      </c>
      <c r="N109">
        <v>0</v>
      </c>
      <c r="P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Q109">
        <f>AND(IF(metadata!C109="",FALSE,TRUE),exact(metadata!C109,"other"))</f>
        <v>0</v>
      </c>
      <c r="R109">
        <f>AND(IF(metadata!D109="",FALSE,TRUE),exact(metadata!D109,"metagenome"))</f>
        <v>0</v>
      </c>
      <c r="S109">
        <f>AND(IF(metadata!E109="",FALSE,TRUE),exact(metadata!E109,"256318"))</f>
        <v>0</v>
      </c>
    </row>
    <row r="110" spans="1:19">
      <c r="A110" s="4">
        <f>IF(B110=" "," ",HYPERLINK(CONCATENATE("#metadata!",ADDRESS(INDEX($K$2:$K$1001,MATCH(ROWS($I$2:I110),$I$2:$I$1001,0),0),1)),INDEX($N$2:$N$1001,MATCH(ROWS($I$2:I110),$I$2:$I$1001,0),0)))</f>
        <v>0</v>
      </c>
      <c r="B110" s="3">
        <f>IF(OR(INDEX($J$2:$J$1001,MATCH(ROWS($I$2:I110),$I$2:$I$1001,0),1)&gt;=100000,INDEX($P$1005:$S$1005,1,MATCH(COLUMNS($P$1006:P1006),$P$1006:$S$1006,0))&gt;=100000), " ",IF(INDEX($P$2:$S$1001,MATCH(ROWS($I$2:I110),$I$2:$I$1001,0),MATCH(COLUMNS($P$1006:P1006),$P$1006:$S$1006,0)), HYPERLINK("#",""), HYPERLINK(CONCATENATE("#metadata!", ADDRESS(INDEX($K$2:$K$1001,MATCH(ROWS($I$2:I110),$I$2:$I$1001,0),0), INDEX($P$1004:$S$1004,1,MATCH(COLUMNS($P$1006:P1006),$P$1006:$S$1006,0)))),"Fix")))</f>
        <v>0</v>
      </c>
      <c r="C110" s="3">
        <f>IF(OR(INDEX($J$2:$J$1001,MATCH(ROWS($I$2:I110),$I$2:$I$1001,0),1)&gt;=100000,INDEX($P$1005:$S$1005,1,MATCH(COLUMNS($P$1006:Q1006),$P$1006:$S$1006,0))&gt;=100000), " ",IF(INDEX($P$2:$S$1001,MATCH(ROWS($I$2:I110),$I$2:$I$1001,0),MATCH(COLUMNS($P$1006:Q1006),$P$1006:$S$1006,0)), HYPERLINK("#",""), HYPERLINK(CONCATENATE("#metadata!", ADDRESS(INDEX($K$2:$K$1001,MATCH(ROWS($I$2:I110),$I$2:$I$1001,0),0), INDEX($P$1004:$S$1004,1,MATCH(COLUMNS($P$1006:Q1006),$P$1006:$S$1006,0)))),"Fix")))</f>
        <v>0</v>
      </c>
      <c r="D110" s="3">
        <f>IF(OR(INDEX($J$2:$J$1001,MATCH(ROWS($I$2:I110),$I$2:$I$1001,0),1)&gt;=100000,INDEX($P$1005:$S$1005,1,MATCH(COLUMNS($P$1006:R1006),$P$1006:$S$1006,0))&gt;=100000), " ",IF(INDEX($P$2:$S$1001,MATCH(ROWS($I$2:I110),$I$2:$I$1001,0),MATCH(COLUMNS($P$1006:R1006),$P$1006:$S$1006,0)), HYPERLINK("#",""), HYPERLINK(CONCATENATE("#metadata!", ADDRESS(INDEX($K$2:$K$1001,MATCH(ROWS($I$2:I110),$I$2:$I$1001,0),0), INDEX($P$1004:$S$1004,1,MATCH(COLUMNS($P$1006:R1006),$P$1006:$S$1006,0)))),"Fix")))</f>
        <v>0</v>
      </c>
      <c r="E110" s="3">
        <f>IF(OR(INDEX($J$2:$J$1001,MATCH(ROWS($I$2:I110),$I$2:$I$1001,0),1)&gt;=100000,INDEX($P$1005:$S$1005,1,MATCH(COLUMNS($P$1006:S1006),$P$1006:$S$1006,0))&gt;=100000), " ",IF(INDEX($P$2:$S$1001,MATCH(ROWS($I$2:I110),$I$2:$I$1001,0),MATCH(COLUMNS($P$1006:S1006),$P$1006:$S$1006,0)), HYPERLINK("#",""), HYPERLINK(CONCATENATE("#metadata!", ADDRESS(INDEX($K$2:$K$1001,MATCH(ROWS($I$2:I110),$I$2:$I$1001,0),0), INDEX($P$1004:$S$1004,1,MATCH(COLUMNS($P$1006:S1006),$P$1006:$S$1006,0)))),"Fix")))</f>
        <v>0</v>
      </c>
      <c r="I110">
        <v>0</v>
      </c>
      <c r="J110">
        <v>0</v>
      </c>
      <c r="K110">
        <v>0</v>
      </c>
      <c r="L110">
        <f>IF(M110,TRUE,AND(P110:S110))</f>
        <v>0</v>
      </c>
      <c r="M110">
        <f>COUNTBLANK(metadata!B110:E110)=COLUMNS(metadata!B110:E110)</f>
        <v>0</v>
      </c>
      <c r="N110">
        <v>0</v>
      </c>
      <c r="P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Q110">
        <f>AND(IF(metadata!C110="",FALSE,TRUE),exact(metadata!C110,"other"))</f>
        <v>0</v>
      </c>
      <c r="R110">
        <f>AND(IF(metadata!D110="",FALSE,TRUE),exact(metadata!D110,"metagenome"))</f>
        <v>0</v>
      </c>
      <c r="S110">
        <f>AND(IF(metadata!E110="",FALSE,TRUE),exact(metadata!E110,"256318"))</f>
        <v>0</v>
      </c>
    </row>
    <row r="111" spans="1:19">
      <c r="A111" s="4">
        <f>IF(B111=" "," ",HYPERLINK(CONCATENATE("#metadata!",ADDRESS(INDEX($K$2:$K$1001,MATCH(ROWS($I$2:I111),$I$2:$I$1001,0),0),1)),INDEX($N$2:$N$1001,MATCH(ROWS($I$2:I111),$I$2:$I$1001,0),0)))</f>
        <v>0</v>
      </c>
      <c r="B111" s="3">
        <f>IF(OR(INDEX($J$2:$J$1001,MATCH(ROWS($I$2:I111),$I$2:$I$1001,0),1)&gt;=100000,INDEX($P$1005:$S$1005,1,MATCH(COLUMNS($P$1006:P1006),$P$1006:$S$1006,0))&gt;=100000), " ",IF(INDEX($P$2:$S$1001,MATCH(ROWS($I$2:I111),$I$2:$I$1001,0),MATCH(COLUMNS($P$1006:P1006),$P$1006:$S$1006,0)), HYPERLINK("#",""), HYPERLINK(CONCATENATE("#metadata!", ADDRESS(INDEX($K$2:$K$1001,MATCH(ROWS($I$2:I111),$I$2:$I$1001,0),0), INDEX($P$1004:$S$1004,1,MATCH(COLUMNS($P$1006:P1006),$P$1006:$S$1006,0)))),"Fix")))</f>
        <v>0</v>
      </c>
      <c r="C111" s="3">
        <f>IF(OR(INDEX($J$2:$J$1001,MATCH(ROWS($I$2:I111),$I$2:$I$1001,0),1)&gt;=100000,INDEX($P$1005:$S$1005,1,MATCH(COLUMNS($P$1006:Q1006),$P$1006:$S$1006,0))&gt;=100000), " ",IF(INDEX($P$2:$S$1001,MATCH(ROWS($I$2:I111),$I$2:$I$1001,0),MATCH(COLUMNS($P$1006:Q1006),$P$1006:$S$1006,0)), HYPERLINK("#",""), HYPERLINK(CONCATENATE("#metadata!", ADDRESS(INDEX($K$2:$K$1001,MATCH(ROWS($I$2:I111),$I$2:$I$1001,0),0), INDEX($P$1004:$S$1004,1,MATCH(COLUMNS($P$1006:Q1006),$P$1006:$S$1006,0)))),"Fix")))</f>
        <v>0</v>
      </c>
      <c r="D111" s="3">
        <f>IF(OR(INDEX($J$2:$J$1001,MATCH(ROWS($I$2:I111),$I$2:$I$1001,0),1)&gt;=100000,INDEX($P$1005:$S$1005,1,MATCH(COLUMNS($P$1006:R1006),$P$1006:$S$1006,0))&gt;=100000), " ",IF(INDEX($P$2:$S$1001,MATCH(ROWS($I$2:I111),$I$2:$I$1001,0),MATCH(COLUMNS($P$1006:R1006),$P$1006:$S$1006,0)), HYPERLINK("#",""), HYPERLINK(CONCATENATE("#metadata!", ADDRESS(INDEX($K$2:$K$1001,MATCH(ROWS($I$2:I111),$I$2:$I$1001,0),0), INDEX($P$1004:$S$1004,1,MATCH(COLUMNS($P$1006:R1006),$P$1006:$S$1006,0)))),"Fix")))</f>
        <v>0</v>
      </c>
      <c r="E111" s="3">
        <f>IF(OR(INDEX($J$2:$J$1001,MATCH(ROWS($I$2:I111),$I$2:$I$1001,0),1)&gt;=100000,INDEX($P$1005:$S$1005,1,MATCH(COLUMNS($P$1006:S1006),$P$1006:$S$1006,0))&gt;=100000), " ",IF(INDEX($P$2:$S$1001,MATCH(ROWS($I$2:I111),$I$2:$I$1001,0),MATCH(COLUMNS($P$1006:S1006),$P$1006:$S$1006,0)), HYPERLINK("#",""), HYPERLINK(CONCATENATE("#metadata!", ADDRESS(INDEX($K$2:$K$1001,MATCH(ROWS($I$2:I111),$I$2:$I$1001,0),0), INDEX($P$1004:$S$1004,1,MATCH(COLUMNS($P$1006:S1006),$P$1006:$S$1006,0)))),"Fix")))</f>
        <v>0</v>
      </c>
      <c r="I111">
        <v>0</v>
      </c>
      <c r="J111">
        <v>0</v>
      </c>
      <c r="K111">
        <v>0</v>
      </c>
      <c r="L111">
        <f>IF(M111,TRUE,AND(P111:S111))</f>
        <v>0</v>
      </c>
      <c r="M111">
        <f>COUNTBLANK(metadata!B111:E111)=COLUMNS(metadata!B111:E111)</f>
        <v>0</v>
      </c>
      <c r="N111">
        <v>0</v>
      </c>
      <c r="P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Q111">
        <f>AND(IF(metadata!C111="",FALSE,TRUE),exact(metadata!C111,"other"))</f>
        <v>0</v>
      </c>
      <c r="R111">
        <f>AND(IF(metadata!D111="",FALSE,TRUE),exact(metadata!D111,"metagenome"))</f>
        <v>0</v>
      </c>
      <c r="S111">
        <f>AND(IF(metadata!E111="",FALSE,TRUE),exact(metadata!E111,"256318"))</f>
        <v>0</v>
      </c>
    </row>
    <row r="112" spans="1:19">
      <c r="A112" s="4">
        <f>IF(B112=" "," ",HYPERLINK(CONCATENATE("#metadata!",ADDRESS(INDEX($K$2:$K$1001,MATCH(ROWS($I$2:I112),$I$2:$I$1001,0),0),1)),INDEX($N$2:$N$1001,MATCH(ROWS($I$2:I112),$I$2:$I$1001,0),0)))</f>
        <v>0</v>
      </c>
      <c r="B112" s="3">
        <f>IF(OR(INDEX($J$2:$J$1001,MATCH(ROWS($I$2:I112),$I$2:$I$1001,0),1)&gt;=100000,INDEX($P$1005:$S$1005,1,MATCH(COLUMNS($P$1006:P1006),$P$1006:$S$1006,0))&gt;=100000), " ",IF(INDEX($P$2:$S$1001,MATCH(ROWS($I$2:I112),$I$2:$I$1001,0),MATCH(COLUMNS($P$1006:P1006),$P$1006:$S$1006,0)), HYPERLINK("#",""), HYPERLINK(CONCATENATE("#metadata!", ADDRESS(INDEX($K$2:$K$1001,MATCH(ROWS($I$2:I112),$I$2:$I$1001,0),0), INDEX($P$1004:$S$1004,1,MATCH(COLUMNS($P$1006:P1006),$P$1006:$S$1006,0)))),"Fix")))</f>
        <v>0</v>
      </c>
      <c r="C112" s="3">
        <f>IF(OR(INDEX($J$2:$J$1001,MATCH(ROWS($I$2:I112),$I$2:$I$1001,0),1)&gt;=100000,INDEX($P$1005:$S$1005,1,MATCH(COLUMNS($P$1006:Q1006),$P$1006:$S$1006,0))&gt;=100000), " ",IF(INDEX($P$2:$S$1001,MATCH(ROWS($I$2:I112),$I$2:$I$1001,0),MATCH(COLUMNS($P$1006:Q1006),$P$1006:$S$1006,0)), HYPERLINK("#",""), HYPERLINK(CONCATENATE("#metadata!", ADDRESS(INDEX($K$2:$K$1001,MATCH(ROWS($I$2:I112),$I$2:$I$1001,0),0), INDEX($P$1004:$S$1004,1,MATCH(COLUMNS($P$1006:Q1006),$P$1006:$S$1006,0)))),"Fix")))</f>
        <v>0</v>
      </c>
      <c r="D112" s="3">
        <f>IF(OR(INDEX($J$2:$J$1001,MATCH(ROWS($I$2:I112),$I$2:$I$1001,0),1)&gt;=100000,INDEX($P$1005:$S$1005,1,MATCH(COLUMNS($P$1006:R1006),$P$1006:$S$1006,0))&gt;=100000), " ",IF(INDEX($P$2:$S$1001,MATCH(ROWS($I$2:I112),$I$2:$I$1001,0),MATCH(COLUMNS($P$1006:R1006),$P$1006:$S$1006,0)), HYPERLINK("#",""), HYPERLINK(CONCATENATE("#metadata!", ADDRESS(INDEX($K$2:$K$1001,MATCH(ROWS($I$2:I112),$I$2:$I$1001,0),0), INDEX($P$1004:$S$1004,1,MATCH(COLUMNS($P$1006:R1006),$P$1006:$S$1006,0)))),"Fix")))</f>
        <v>0</v>
      </c>
      <c r="E112" s="3">
        <f>IF(OR(INDEX($J$2:$J$1001,MATCH(ROWS($I$2:I112),$I$2:$I$1001,0),1)&gt;=100000,INDEX($P$1005:$S$1005,1,MATCH(COLUMNS($P$1006:S1006),$P$1006:$S$1006,0))&gt;=100000), " ",IF(INDEX($P$2:$S$1001,MATCH(ROWS($I$2:I112),$I$2:$I$1001,0),MATCH(COLUMNS($P$1006:S1006),$P$1006:$S$1006,0)), HYPERLINK("#",""), HYPERLINK(CONCATENATE("#metadata!", ADDRESS(INDEX($K$2:$K$1001,MATCH(ROWS($I$2:I112),$I$2:$I$1001,0),0), INDEX($P$1004:$S$1004,1,MATCH(COLUMNS($P$1006:S1006),$P$1006:$S$1006,0)))),"Fix")))</f>
        <v>0</v>
      </c>
      <c r="I112">
        <v>0</v>
      </c>
      <c r="J112">
        <v>0</v>
      </c>
      <c r="K112">
        <v>0</v>
      </c>
      <c r="L112">
        <f>IF(M112,TRUE,AND(P112:S112))</f>
        <v>0</v>
      </c>
      <c r="M112">
        <f>COUNTBLANK(metadata!B112:E112)=COLUMNS(metadata!B112:E112)</f>
        <v>0</v>
      </c>
      <c r="N112">
        <v>0</v>
      </c>
      <c r="P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Q112">
        <f>AND(IF(metadata!C112="",FALSE,TRUE),exact(metadata!C112,"other"))</f>
        <v>0</v>
      </c>
      <c r="R112">
        <f>AND(IF(metadata!D112="",FALSE,TRUE),exact(metadata!D112,"metagenome"))</f>
        <v>0</v>
      </c>
      <c r="S112">
        <f>AND(IF(metadata!E112="",FALSE,TRUE),exact(metadata!E112,"256318"))</f>
        <v>0</v>
      </c>
    </row>
    <row r="113" spans="1:19">
      <c r="A113" s="4">
        <f>IF(B113=" "," ",HYPERLINK(CONCATENATE("#metadata!",ADDRESS(INDEX($K$2:$K$1001,MATCH(ROWS($I$2:I113),$I$2:$I$1001,0),0),1)),INDEX($N$2:$N$1001,MATCH(ROWS($I$2:I113),$I$2:$I$1001,0),0)))</f>
        <v>0</v>
      </c>
      <c r="B113" s="3">
        <f>IF(OR(INDEX($J$2:$J$1001,MATCH(ROWS($I$2:I113),$I$2:$I$1001,0),1)&gt;=100000,INDEX($P$1005:$S$1005,1,MATCH(COLUMNS($P$1006:P1006),$P$1006:$S$1006,0))&gt;=100000), " ",IF(INDEX($P$2:$S$1001,MATCH(ROWS($I$2:I113),$I$2:$I$1001,0),MATCH(COLUMNS($P$1006:P1006),$P$1006:$S$1006,0)), HYPERLINK("#",""), HYPERLINK(CONCATENATE("#metadata!", ADDRESS(INDEX($K$2:$K$1001,MATCH(ROWS($I$2:I113),$I$2:$I$1001,0),0), INDEX($P$1004:$S$1004,1,MATCH(COLUMNS($P$1006:P1006),$P$1006:$S$1006,0)))),"Fix")))</f>
        <v>0</v>
      </c>
      <c r="C113" s="3">
        <f>IF(OR(INDEX($J$2:$J$1001,MATCH(ROWS($I$2:I113),$I$2:$I$1001,0),1)&gt;=100000,INDEX($P$1005:$S$1005,1,MATCH(COLUMNS($P$1006:Q1006),$P$1006:$S$1006,0))&gt;=100000), " ",IF(INDEX($P$2:$S$1001,MATCH(ROWS($I$2:I113),$I$2:$I$1001,0),MATCH(COLUMNS($P$1006:Q1006),$P$1006:$S$1006,0)), HYPERLINK("#",""), HYPERLINK(CONCATENATE("#metadata!", ADDRESS(INDEX($K$2:$K$1001,MATCH(ROWS($I$2:I113),$I$2:$I$1001,0),0), INDEX($P$1004:$S$1004,1,MATCH(COLUMNS($P$1006:Q1006),$P$1006:$S$1006,0)))),"Fix")))</f>
        <v>0</v>
      </c>
      <c r="D113" s="3">
        <f>IF(OR(INDEX($J$2:$J$1001,MATCH(ROWS($I$2:I113),$I$2:$I$1001,0),1)&gt;=100000,INDEX($P$1005:$S$1005,1,MATCH(COLUMNS($P$1006:R1006),$P$1006:$S$1006,0))&gt;=100000), " ",IF(INDEX($P$2:$S$1001,MATCH(ROWS($I$2:I113),$I$2:$I$1001,0),MATCH(COLUMNS($P$1006:R1006),$P$1006:$S$1006,0)), HYPERLINK("#",""), HYPERLINK(CONCATENATE("#metadata!", ADDRESS(INDEX($K$2:$K$1001,MATCH(ROWS($I$2:I113),$I$2:$I$1001,0),0), INDEX($P$1004:$S$1004,1,MATCH(COLUMNS($P$1006:R1006),$P$1006:$S$1006,0)))),"Fix")))</f>
        <v>0</v>
      </c>
      <c r="E113" s="3">
        <f>IF(OR(INDEX($J$2:$J$1001,MATCH(ROWS($I$2:I113),$I$2:$I$1001,0),1)&gt;=100000,INDEX($P$1005:$S$1005,1,MATCH(COLUMNS($P$1006:S1006),$P$1006:$S$1006,0))&gt;=100000), " ",IF(INDEX($P$2:$S$1001,MATCH(ROWS($I$2:I113),$I$2:$I$1001,0),MATCH(COLUMNS($P$1006:S1006),$P$1006:$S$1006,0)), HYPERLINK("#",""), HYPERLINK(CONCATENATE("#metadata!", ADDRESS(INDEX($K$2:$K$1001,MATCH(ROWS($I$2:I113),$I$2:$I$1001,0),0), INDEX($P$1004:$S$1004,1,MATCH(COLUMNS($P$1006:S1006),$P$1006:$S$1006,0)))),"Fix")))</f>
        <v>0</v>
      </c>
      <c r="I113">
        <v>0</v>
      </c>
      <c r="J113">
        <v>0</v>
      </c>
      <c r="K113">
        <v>0</v>
      </c>
      <c r="L113">
        <f>IF(M113,TRUE,AND(P113:S113))</f>
        <v>0</v>
      </c>
      <c r="M113">
        <f>COUNTBLANK(metadata!B113:E113)=COLUMNS(metadata!B113:E113)</f>
        <v>0</v>
      </c>
      <c r="N113">
        <v>0</v>
      </c>
      <c r="P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Q113">
        <f>AND(IF(metadata!C113="",FALSE,TRUE),exact(metadata!C113,"other"))</f>
        <v>0</v>
      </c>
      <c r="R113">
        <f>AND(IF(metadata!D113="",FALSE,TRUE),exact(metadata!D113,"metagenome"))</f>
        <v>0</v>
      </c>
      <c r="S113">
        <f>AND(IF(metadata!E113="",FALSE,TRUE),exact(metadata!E113,"256318"))</f>
        <v>0</v>
      </c>
    </row>
    <row r="114" spans="1:19">
      <c r="A114" s="4">
        <f>IF(B114=" "," ",HYPERLINK(CONCATENATE("#metadata!",ADDRESS(INDEX($K$2:$K$1001,MATCH(ROWS($I$2:I114),$I$2:$I$1001,0),0),1)),INDEX($N$2:$N$1001,MATCH(ROWS($I$2:I114),$I$2:$I$1001,0),0)))</f>
        <v>0</v>
      </c>
      <c r="B114" s="3">
        <f>IF(OR(INDEX($J$2:$J$1001,MATCH(ROWS($I$2:I114),$I$2:$I$1001,0),1)&gt;=100000,INDEX($P$1005:$S$1005,1,MATCH(COLUMNS($P$1006:P1006),$P$1006:$S$1006,0))&gt;=100000), " ",IF(INDEX($P$2:$S$1001,MATCH(ROWS($I$2:I114),$I$2:$I$1001,0),MATCH(COLUMNS($P$1006:P1006),$P$1006:$S$1006,0)), HYPERLINK("#",""), HYPERLINK(CONCATENATE("#metadata!", ADDRESS(INDEX($K$2:$K$1001,MATCH(ROWS($I$2:I114),$I$2:$I$1001,0),0), INDEX($P$1004:$S$1004,1,MATCH(COLUMNS($P$1006:P1006),$P$1006:$S$1006,0)))),"Fix")))</f>
        <v>0</v>
      </c>
      <c r="C114" s="3">
        <f>IF(OR(INDEX($J$2:$J$1001,MATCH(ROWS($I$2:I114),$I$2:$I$1001,0),1)&gt;=100000,INDEX($P$1005:$S$1005,1,MATCH(COLUMNS($P$1006:Q1006),$P$1006:$S$1006,0))&gt;=100000), " ",IF(INDEX($P$2:$S$1001,MATCH(ROWS($I$2:I114),$I$2:$I$1001,0),MATCH(COLUMNS($P$1006:Q1006),$P$1006:$S$1006,0)), HYPERLINK("#",""), HYPERLINK(CONCATENATE("#metadata!", ADDRESS(INDEX($K$2:$K$1001,MATCH(ROWS($I$2:I114),$I$2:$I$1001,0),0), INDEX($P$1004:$S$1004,1,MATCH(COLUMNS($P$1006:Q1006),$P$1006:$S$1006,0)))),"Fix")))</f>
        <v>0</v>
      </c>
      <c r="D114" s="3">
        <f>IF(OR(INDEX($J$2:$J$1001,MATCH(ROWS($I$2:I114),$I$2:$I$1001,0),1)&gt;=100000,INDEX($P$1005:$S$1005,1,MATCH(COLUMNS($P$1006:R1006),$P$1006:$S$1006,0))&gt;=100000), " ",IF(INDEX($P$2:$S$1001,MATCH(ROWS($I$2:I114),$I$2:$I$1001,0),MATCH(COLUMNS($P$1006:R1006),$P$1006:$S$1006,0)), HYPERLINK("#",""), HYPERLINK(CONCATENATE("#metadata!", ADDRESS(INDEX($K$2:$K$1001,MATCH(ROWS($I$2:I114),$I$2:$I$1001,0),0), INDEX($P$1004:$S$1004,1,MATCH(COLUMNS($P$1006:R1006),$P$1006:$S$1006,0)))),"Fix")))</f>
        <v>0</v>
      </c>
      <c r="E114" s="3">
        <f>IF(OR(INDEX($J$2:$J$1001,MATCH(ROWS($I$2:I114),$I$2:$I$1001,0),1)&gt;=100000,INDEX($P$1005:$S$1005,1,MATCH(COLUMNS($P$1006:S1006),$P$1006:$S$1006,0))&gt;=100000), " ",IF(INDEX($P$2:$S$1001,MATCH(ROWS($I$2:I114),$I$2:$I$1001,0),MATCH(COLUMNS($P$1006:S1006),$P$1006:$S$1006,0)), HYPERLINK("#",""), HYPERLINK(CONCATENATE("#metadata!", ADDRESS(INDEX($K$2:$K$1001,MATCH(ROWS($I$2:I114),$I$2:$I$1001,0),0), INDEX($P$1004:$S$1004,1,MATCH(COLUMNS($P$1006:S1006),$P$1006:$S$1006,0)))),"Fix")))</f>
        <v>0</v>
      </c>
      <c r="I114">
        <v>0</v>
      </c>
      <c r="J114">
        <v>0</v>
      </c>
      <c r="K114">
        <v>0</v>
      </c>
      <c r="L114">
        <f>IF(M114,TRUE,AND(P114:S114))</f>
        <v>0</v>
      </c>
      <c r="M114">
        <f>COUNTBLANK(metadata!B114:E114)=COLUMNS(metadata!B114:E114)</f>
        <v>0</v>
      </c>
      <c r="N114">
        <v>0</v>
      </c>
      <c r="P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Q114">
        <f>AND(IF(metadata!C114="",FALSE,TRUE),exact(metadata!C114,"other"))</f>
        <v>0</v>
      </c>
      <c r="R114">
        <f>AND(IF(metadata!D114="",FALSE,TRUE),exact(metadata!D114,"metagenome"))</f>
        <v>0</v>
      </c>
      <c r="S114">
        <f>AND(IF(metadata!E114="",FALSE,TRUE),exact(metadata!E114,"256318"))</f>
        <v>0</v>
      </c>
    </row>
    <row r="115" spans="1:19">
      <c r="A115" s="4">
        <f>IF(B115=" "," ",HYPERLINK(CONCATENATE("#metadata!",ADDRESS(INDEX($K$2:$K$1001,MATCH(ROWS($I$2:I115),$I$2:$I$1001,0),0),1)),INDEX($N$2:$N$1001,MATCH(ROWS($I$2:I115),$I$2:$I$1001,0),0)))</f>
        <v>0</v>
      </c>
      <c r="B115" s="3">
        <f>IF(OR(INDEX($J$2:$J$1001,MATCH(ROWS($I$2:I115),$I$2:$I$1001,0),1)&gt;=100000,INDEX($P$1005:$S$1005,1,MATCH(COLUMNS($P$1006:P1006),$P$1006:$S$1006,0))&gt;=100000), " ",IF(INDEX($P$2:$S$1001,MATCH(ROWS($I$2:I115),$I$2:$I$1001,0),MATCH(COLUMNS($P$1006:P1006),$P$1006:$S$1006,0)), HYPERLINK("#",""), HYPERLINK(CONCATENATE("#metadata!", ADDRESS(INDEX($K$2:$K$1001,MATCH(ROWS($I$2:I115),$I$2:$I$1001,0),0), INDEX($P$1004:$S$1004,1,MATCH(COLUMNS($P$1006:P1006),$P$1006:$S$1006,0)))),"Fix")))</f>
        <v>0</v>
      </c>
      <c r="C115" s="3">
        <f>IF(OR(INDEX($J$2:$J$1001,MATCH(ROWS($I$2:I115),$I$2:$I$1001,0),1)&gt;=100000,INDEX($P$1005:$S$1005,1,MATCH(COLUMNS($P$1006:Q1006),$P$1006:$S$1006,0))&gt;=100000), " ",IF(INDEX($P$2:$S$1001,MATCH(ROWS($I$2:I115),$I$2:$I$1001,0),MATCH(COLUMNS($P$1006:Q1006),$P$1006:$S$1006,0)), HYPERLINK("#",""), HYPERLINK(CONCATENATE("#metadata!", ADDRESS(INDEX($K$2:$K$1001,MATCH(ROWS($I$2:I115),$I$2:$I$1001,0),0), INDEX($P$1004:$S$1004,1,MATCH(COLUMNS($P$1006:Q1006),$P$1006:$S$1006,0)))),"Fix")))</f>
        <v>0</v>
      </c>
      <c r="D115" s="3">
        <f>IF(OR(INDEX($J$2:$J$1001,MATCH(ROWS($I$2:I115),$I$2:$I$1001,0),1)&gt;=100000,INDEX($P$1005:$S$1005,1,MATCH(COLUMNS($P$1006:R1006),$P$1006:$S$1006,0))&gt;=100000), " ",IF(INDEX($P$2:$S$1001,MATCH(ROWS($I$2:I115),$I$2:$I$1001,0),MATCH(COLUMNS($P$1006:R1006),$P$1006:$S$1006,0)), HYPERLINK("#",""), HYPERLINK(CONCATENATE("#metadata!", ADDRESS(INDEX($K$2:$K$1001,MATCH(ROWS($I$2:I115),$I$2:$I$1001,0),0), INDEX($P$1004:$S$1004,1,MATCH(COLUMNS($P$1006:R1006),$P$1006:$S$1006,0)))),"Fix")))</f>
        <v>0</v>
      </c>
      <c r="E115" s="3">
        <f>IF(OR(INDEX($J$2:$J$1001,MATCH(ROWS($I$2:I115),$I$2:$I$1001,0),1)&gt;=100000,INDEX($P$1005:$S$1005,1,MATCH(COLUMNS($P$1006:S1006),$P$1006:$S$1006,0))&gt;=100000), " ",IF(INDEX($P$2:$S$1001,MATCH(ROWS($I$2:I115),$I$2:$I$1001,0),MATCH(COLUMNS($P$1006:S1006),$P$1006:$S$1006,0)), HYPERLINK("#",""), HYPERLINK(CONCATENATE("#metadata!", ADDRESS(INDEX($K$2:$K$1001,MATCH(ROWS($I$2:I115),$I$2:$I$1001,0),0), INDEX($P$1004:$S$1004,1,MATCH(COLUMNS($P$1006:S1006),$P$1006:$S$1006,0)))),"Fix")))</f>
        <v>0</v>
      </c>
      <c r="I115">
        <v>0</v>
      </c>
      <c r="J115">
        <v>0</v>
      </c>
      <c r="K115">
        <v>0</v>
      </c>
      <c r="L115">
        <f>IF(M115,TRUE,AND(P115:S115))</f>
        <v>0</v>
      </c>
      <c r="M115">
        <f>COUNTBLANK(metadata!B115:E115)=COLUMNS(metadata!B115:E115)</f>
        <v>0</v>
      </c>
      <c r="N115">
        <v>0</v>
      </c>
      <c r="P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Q115">
        <f>AND(IF(metadata!C115="",FALSE,TRUE),exact(metadata!C115,"other"))</f>
        <v>0</v>
      </c>
      <c r="R115">
        <f>AND(IF(metadata!D115="",FALSE,TRUE),exact(metadata!D115,"metagenome"))</f>
        <v>0</v>
      </c>
      <c r="S115">
        <f>AND(IF(metadata!E115="",FALSE,TRUE),exact(metadata!E115,"256318"))</f>
        <v>0</v>
      </c>
    </row>
    <row r="116" spans="1:19">
      <c r="A116" s="4">
        <f>IF(B116=" "," ",HYPERLINK(CONCATENATE("#metadata!",ADDRESS(INDEX($K$2:$K$1001,MATCH(ROWS($I$2:I116),$I$2:$I$1001,0),0),1)),INDEX($N$2:$N$1001,MATCH(ROWS($I$2:I116),$I$2:$I$1001,0),0)))</f>
        <v>0</v>
      </c>
      <c r="B116" s="3">
        <f>IF(OR(INDEX($J$2:$J$1001,MATCH(ROWS($I$2:I116),$I$2:$I$1001,0),1)&gt;=100000,INDEX($P$1005:$S$1005,1,MATCH(COLUMNS($P$1006:P1006),$P$1006:$S$1006,0))&gt;=100000), " ",IF(INDEX($P$2:$S$1001,MATCH(ROWS($I$2:I116),$I$2:$I$1001,0),MATCH(COLUMNS($P$1006:P1006),$P$1006:$S$1006,0)), HYPERLINK("#",""), HYPERLINK(CONCATENATE("#metadata!", ADDRESS(INDEX($K$2:$K$1001,MATCH(ROWS($I$2:I116),$I$2:$I$1001,0),0), INDEX($P$1004:$S$1004,1,MATCH(COLUMNS($P$1006:P1006),$P$1006:$S$1006,0)))),"Fix")))</f>
        <v>0</v>
      </c>
      <c r="C116" s="3">
        <f>IF(OR(INDEX($J$2:$J$1001,MATCH(ROWS($I$2:I116),$I$2:$I$1001,0),1)&gt;=100000,INDEX($P$1005:$S$1005,1,MATCH(COLUMNS($P$1006:Q1006),$P$1006:$S$1006,0))&gt;=100000), " ",IF(INDEX($P$2:$S$1001,MATCH(ROWS($I$2:I116),$I$2:$I$1001,0),MATCH(COLUMNS($P$1006:Q1006),$P$1006:$S$1006,0)), HYPERLINK("#",""), HYPERLINK(CONCATENATE("#metadata!", ADDRESS(INDEX($K$2:$K$1001,MATCH(ROWS($I$2:I116),$I$2:$I$1001,0),0), INDEX($P$1004:$S$1004,1,MATCH(COLUMNS($P$1006:Q1006),$P$1006:$S$1006,0)))),"Fix")))</f>
        <v>0</v>
      </c>
      <c r="D116" s="3">
        <f>IF(OR(INDEX($J$2:$J$1001,MATCH(ROWS($I$2:I116),$I$2:$I$1001,0),1)&gt;=100000,INDEX($P$1005:$S$1005,1,MATCH(COLUMNS($P$1006:R1006),$P$1006:$S$1006,0))&gt;=100000), " ",IF(INDEX($P$2:$S$1001,MATCH(ROWS($I$2:I116),$I$2:$I$1001,0),MATCH(COLUMNS($P$1006:R1006),$P$1006:$S$1006,0)), HYPERLINK("#",""), HYPERLINK(CONCATENATE("#metadata!", ADDRESS(INDEX($K$2:$K$1001,MATCH(ROWS($I$2:I116),$I$2:$I$1001,0),0), INDEX($P$1004:$S$1004,1,MATCH(COLUMNS($P$1006:R1006),$P$1006:$S$1006,0)))),"Fix")))</f>
        <v>0</v>
      </c>
      <c r="E116" s="3">
        <f>IF(OR(INDEX($J$2:$J$1001,MATCH(ROWS($I$2:I116),$I$2:$I$1001,0),1)&gt;=100000,INDEX($P$1005:$S$1005,1,MATCH(COLUMNS($P$1006:S1006),$P$1006:$S$1006,0))&gt;=100000), " ",IF(INDEX($P$2:$S$1001,MATCH(ROWS($I$2:I116),$I$2:$I$1001,0),MATCH(COLUMNS($P$1006:S1006),$P$1006:$S$1006,0)), HYPERLINK("#",""), HYPERLINK(CONCATENATE("#metadata!", ADDRESS(INDEX($K$2:$K$1001,MATCH(ROWS($I$2:I116),$I$2:$I$1001,0),0), INDEX($P$1004:$S$1004,1,MATCH(COLUMNS($P$1006:S1006),$P$1006:$S$1006,0)))),"Fix")))</f>
        <v>0</v>
      </c>
      <c r="I116">
        <v>0</v>
      </c>
      <c r="J116">
        <v>0</v>
      </c>
      <c r="K116">
        <v>0</v>
      </c>
      <c r="L116">
        <f>IF(M116,TRUE,AND(P116:S116))</f>
        <v>0</v>
      </c>
      <c r="M116">
        <f>COUNTBLANK(metadata!B116:E116)=COLUMNS(metadata!B116:E116)</f>
        <v>0</v>
      </c>
      <c r="N116">
        <v>0</v>
      </c>
      <c r="P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Q116">
        <f>AND(IF(metadata!C116="",FALSE,TRUE),exact(metadata!C116,"other"))</f>
        <v>0</v>
      </c>
      <c r="R116">
        <f>AND(IF(metadata!D116="",FALSE,TRUE),exact(metadata!D116,"metagenome"))</f>
        <v>0</v>
      </c>
      <c r="S116">
        <f>AND(IF(metadata!E116="",FALSE,TRUE),exact(metadata!E116,"256318"))</f>
        <v>0</v>
      </c>
    </row>
    <row r="117" spans="1:19">
      <c r="A117" s="4">
        <f>IF(B117=" "," ",HYPERLINK(CONCATENATE("#metadata!",ADDRESS(INDEX($K$2:$K$1001,MATCH(ROWS($I$2:I117),$I$2:$I$1001,0),0),1)),INDEX($N$2:$N$1001,MATCH(ROWS($I$2:I117),$I$2:$I$1001,0),0)))</f>
        <v>0</v>
      </c>
      <c r="B117" s="3">
        <f>IF(OR(INDEX($J$2:$J$1001,MATCH(ROWS($I$2:I117),$I$2:$I$1001,0),1)&gt;=100000,INDEX($P$1005:$S$1005,1,MATCH(COLUMNS($P$1006:P1006),$P$1006:$S$1006,0))&gt;=100000), " ",IF(INDEX($P$2:$S$1001,MATCH(ROWS($I$2:I117),$I$2:$I$1001,0),MATCH(COLUMNS($P$1006:P1006),$P$1006:$S$1006,0)), HYPERLINK("#",""), HYPERLINK(CONCATENATE("#metadata!", ADDRESS(INDEX($K$2:$K$1001,MATCH(ROWS($I$2:I117),$I$2:$I$1001,0),0), INDEX($P$1004:$S$1004,1,MATCH(COLUMNS($P$1006:P1006),$P$1006:$S$1006,0)))),"Fix")))</f>
        <v>0</v>
      </c>
      <c r="C117" s="3">
        <f>IF(OR(INDEX($J$2:$J$1001,MATCH(ROWS($I$2:I117),$I$2:$I$1001,0),1)&gt;=100000,INDEX($P$1005:$S$1005,1,MATCH(COLUMNS($P$1006:Q1006),$P$1006:$S$1006,0))&gt;=100000), " ",IF(INDEX($P$2:$S$1001,MATCH(ROWS($I$2:I117),$I$2:$I$1001,0),MATCH(COLUMNS($P$1006:Q1006),$P$1006:$S$1006,0)), HYPERLINK("#",""), HYPERLINK(CONCATENATE("#metadata!", ADDRESS(INDEX($K$2:$K$1001,MATCH(ROWS($I$2:I117),$I$2:$I$1001,0),0), INDEX($P$1004:$S$1004,1,MATCH(COLUMNS($P$1006:Q1006),$P$1006:$S$1006,0)))),"Fix")))</f>
        <v>0</v>
      </c>
      <c r="D117" s="3">
        <f>IF(OR(INDEX($J$2:$J$1001,MATCH(ROWS($I$2:I117),$I$2:$I$1001,0),1)&gt;=100000,INDEX($P$1005:$S$1005,1,MATCH(COLUMNS($P$1006:R1006),$P$1006:$S$1006,0))&gt;=100000), " ",IF(INDEX($P$2:$S$1001,MATCH(ROWS($I$2:I117),$I$2:$I$1001,0),MATCH(COLUMNS($P$1006:R1006),$P$1006:$S$1006,0)), HYPERLINK("#",""), HYPERLINK(CONCATENATE("#metadata!", ADDRESS(INDEX($K$2:$K$1001,MATCH(ROWS($I$2:I117),$I$2:$I$1001,0),0), INDEX($P$1004:$S$1004,1,MATCH(COLUMNS($P$1006:R1006),$P$1006:$S$1006,0)))),"Fix")))</f>
        <v>0</v>
      </c>
      <c r="E117" s="3">
        <f>IF(OR(INDEX($J$2:$J$1001,MATCH(ROWS($I$2:I117),$I$2:$I$1001,0),1)&gt;=100000,INDEX($P$1005:$S$1005,1,MATCH(COLUMNS($P$1006:S1006),$P$1006:$S$1006,0))&gt;=100000), " ",IF(INDEX($P$2:$S$1001,MATCH(ROWS($I$2:I117),$I$2:$I$1001,0),MATCH(COLUMNS($P$1006:S1006),$P$1006:$S$1006,0)), HYPERLINK("#",""), HYPERLINK(CONCATENATE("#metadata!", ADDRESS(INDEX($K$2:$K$1001,MATCH(ROWS($I$2:I117),$I$2:$I$1001,0),0), INDEX($P$1004:$S$1004,1,MATCH(COLUMNS($P$1006:S1006),$P$1006:$S$1006,0)))),"Fix")))</f>
        <v>0</v>
      </c>
      <c r="I117">
        <v>0</v>
      </c>
      <c r="J117">
        <v>0</v>
      </c>
      <c r="K117">
        <v>0</v>
      </c>
      <c r="L117">
        <f>IF(M117,TRUE,AND(P117:S117))</f>
        <v>0</v>
      </c>
      <c r="M117">
        <f>COUNTBLANK(metadata!B117:E117)=COLUMNS(metadata!B117:E117)</f>
        <v>0</v>
      </c>
      <c r="N117">
        <v>0</v>
      </c>
      <c r="P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Q117">
        <f>AND(IF(metadata!C117="",FALSE,TRUE),exact(metadata!C117,"other"))</f>
        <v>0</v>
      </c>
      <c r="R117">
        <f>AND(IF(metadata!D117="",FALSE,TRUE),exact(metadata!D117,"metagenome"))</f>
        <v>0</v>
      </c>
      <c r="S117">
        <f>AND(IF(metadata!E117="",FALSE,TRUE),exact(metadata!E117,"256318"))</f>
        <v>0</v>
      </c>
    </row>
    <row r="118" spans="1:19">
      <c r="A118" s="4">
        <f>IF(B118=" "," ",HYPERLINK(CONCATENATE("#metadata!",ADDRESS(INDEX($K$2:$K$1001,MATCH(ROWS($I$2:I118),$I$2:$I$1001,0),0),1)),INDEX($N$2:$N$1001,MATCH(ROWS($I$2:I118),$I$2:$I$1001,0),0)))</f>
        <v>0</v>
      </c>
      <c r="B118" s="3">
        <f>IF(OR(INDEX($J$2:$J$1001,MATCH(ROWS($I$2:I118),$I$2:$I$1001,0),1)&gt;=100000,INDEX($P$1005:$S$1005,1,MATCH(COLUMNS($P$1006:P1006),$P$1006:$S$1006,0))&gt;=100000), " ",IF(INDEX($P$2:$S$1001,MATCH(ROWS($I$2:I118),$I$2:$I$1001,0),MATCH(COLUMNS($P$1006:P1006),$P$1006:$S$1006,0)), HYPERLINK("#",""), HYPERLINK(CONCATENATE("#metadata!", ADDRESS(INDEX($K$2:$K$1001,MATCH(ROWS($I$2:I118),$I$2:$I$1001,0),0), INDEX($P$1004:$S$1004,1,MATCH(COLUMNS($P$1006:P1006),$P$1006:$S$1006,0)))),"Fix")))</f>
        <v>0</v>
      </c>
      <c r="C118" s="3">
        <f>IF(OR(INDEX($J$2:$J$1001,MATCH(ROWS($I$2:I118),$I$2:$I$1001,0),1)&gt;=100000,INDEX($P$1005:$S$1005,1,MATCH(COLUMNS($P$1006:Q1006),$P$1006:$S$1006,0))&gt;=100000), " ",IF(INDEX($P$2:$S$1001,MATCH(ROWS($I$2:I118),$I$2:$I$1001,0),MATCH(COLUMNS($P$1006:Q1006),$P$1006:$S$1006,0)), HYPERLINK("#",""), HYPERLINK(CONCATENATE("#metadata!", ADDRESS(INDEX($K$2:$K$1001,MATCH(ROWS($I$2:I118),$I$2:$I$1001,0),0), INDEX($P$1004:$S$1004,1,MATCH(COLUMNS($P$1006:Q1006),$P$1006:$S$1006,0)))),"Fix")))</f>
        <v>0</v>
      </c>
      <c r="D118" s="3">
        <f>IF(OR(INDEX($J$2:$J$1001,MATCH(ROWS($I$2:I118),$I$2:$I$1001,0),1)&gt;=100000,INDEX($P$1005:$S$1005,1,MATCH(COLUMNS($P$1006:R1006),$P$1006:$S$1006,0))&gt;=100000), " ",IF(INDEX($P$2:$S$1001,MATCH(ROWS($I$2:I118),$I$2:$I$1001,0),MATCH(COLUMNS($P$1006:R1006),$P$1006:$S$1006,0)), HYPERLINK("#",""), HYPERLINK(CONCATENATE("#metadata!", ADDRESS(INDEX($K$2:$K$1001,MATCH(ROWS($I$2:I118),$I$2:$I$1001,0),0), INDEX($P$1004:$S$1004,1,MATCH(COLUMNS($P$1006:R1006),$P$1006:$S$1006,0)))),"Fix")))</f>
        <v>0</v>
      </c>
      <c r="E118" s="3">
        <f>IF(OR(INDEX($J$2:$J$1001,MATCH(ROWS($I$2:I118),$I$2:$I$1001,0),1)&gt;=100000,INDEX($P$1005:$S$1005,1,MATCH(COLUMNS($P$1006:S1006),$P$1006:$S$1006,0))&gt;=100000), " ",IF(INDEX($P$2:$S$1001,MATCH(ROWS($I$2:I118),$I$2:$I$1001,0),MATCH(COLUMNS($P$1006:S1006),$P$1006:$S$1006,0)), HYPERLINK("#",""), HYPERLINK(CONCATENATE("#metadata!", ADDRESS(INDEX($K$2:$K$1001,MATCH(ROWS($I$2:I118),$I$2:$I$1001,0),0), INDEX($P$1004:$S$1004,1,MATCH(COLUMNS($P$1006:S1006),$P$1006:$S$1006,0)))),"Fix")))</f>
        <v>0</v>
      </c>
      <c r="I118">
        <v>0</v>
      </c>
      <c r="J118">
        <v>0</v>
      </c>
      <c r="K118">
        <v>0</v>
      </c>
      <c r="L118">
        <f>IF(M118,TRUE,AND(P118:S118))</f>
        <v>0</v>
      </c>
      <c r="M118">
        <f>COUNTBLANK(metadata!B118:E118)=COLUMNS(metadata!B118:E118)</f>
        <v>0</v>
      </c>
      <c r="N118">
        <v>0</v>
      </c>
      <c r="P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Q118">
        <f>AND(IF(metadata!C118="",FALSE,TRUE),exact(metadata!C118,"other"))</f>
        <v>0</v>
      </c>
      <c r="R118">
        <f>AND(IF(metadata!D118="",FALSE,TRUE),exact(metadata!D118,"metagenome"))</f>
        <v>0</v>
      </c>
      <c r="S118">
        <f>AND(IF(metadata!E118="",FALSE,TRUE),exact(metadata!E118,"256318"))</f>
        <v>0</v>
      </c>
    </row>
    <row r="119" spans="1:19">
      <c r="A119" s="4">
        <f>IF(B119=" "," ",HYPERLINK(CONCATENATE("#metadata!",ADDRESS(INDEX($K$2:$K$1001,MATCH(ROWS($I$2:I119),$I$2:$I$1001,0),0),1)),INDEX($N$2:$N$1001,MATCH(ROWS($I$2:I119),$I$2:$I$1001,0),0)))</f>
        <v>0</v>
      </c>
      <c r="B119" s="3">
        <f>IF(OR(INDEX($J$2:$J$1001,MATCH(ROWS($I$2:I119),$I$2:$I$1001,0),1)&gt;=100000,INDEX($P$1005:$S$1005,1,MATCH(COLUMNS($P$1006:P1006),$P$1006:$S$1006,0))&gt;=100000), " ",IF(INDEX($P$2:$S$1001,MATCH(ROWS($I$2:I119),$I$2:$I$1001,0),MATCH(COLUMNS($P$1006:P1006),$P$1006:$S$1006,0)), HYPERLINK("#",""), HYPERLINK(CONCATENATE("#metadata!", ADDRESS(INDEX($K$2:$K$1001,MATCH(ROWS($I$2:I119),$I$2:$I$1001,0),0), INDEX($P$1004:$S$1004,1,MATCH(COLUMNS($P$1006:P1006),$P$1006:$S$1006,0)))),"Fix")))</f>
        <v>0</v>
      </c>
      <c r="C119" s="3">
        <f>IF(OR(INDEX($J$2:$J$1001,MATCH(ROWS($I$2:I119),$I$2:$I$1001,0),1)&gt;=100000,INDEX($P$1005:$S$1005,1,MATCH(COLUMNS($P$1006:Q1006),$P$1006:$S$1006,0))&gt;=100000), " ",IF(INDEX($P$2:$S$1001,MATCH(ROWS($I$2:I119),$I$2:$I$1001,0),MATCH(COLUMNS($P$1006:Q1006),$P$1006:$S$1006,0)), HYPERLINK("#",""), HYPERLINK(CONCATENATE("#metadata!", ADDRESS(INDEX($K$2:$K$1001,MATCH(ROWS($I$2:I119),$I$2:$I$1001,0),0), INDEX($P$1004:$S$1004,1,MATCH(COLUMNS($P$1006:Q1006),$P$1006:$S$1006,0)))),"Fix")))</f>
        <v>0</v>
      </c>
      <c r="D119" s="3">
        <f>IF(OR(INDEX($J$2:$J$1001,MATCH(ROWS($I$2:I119),$I$2:$I$1001,0),1)&gt;=100000,INDEX($P$1005:$S$1005,1,MATCH(COLUMNS($P$1006:R1006),$P$1006:$S$1006,0))&gt;=100000), " ",IF(INDEX($P$2:$S$1001,MATCH(ROWS($I$2:I119),$I$2:$I$1001,0),MATCH(COLUMNS($P$1006:R1006),$P$1006:$S$1006,0)), HYPERLINK("#",""), HYPERLINK(CONCATENATE("#metadata!", ADDRESS(INDEX($K$2:$K$1001,MATCH(ROWS($I$2:I119),$I$2:$I$1001,0),0), INDEX($P$1004:$S$1004,1,MATCH(COLUMNS($P$1006:R1006),$P$1006:$S$1006,0)))),"Fix")))</f>
        <v>0</v>
      </c>
      <c r="E119" s="3">
        <f>IF(OR(INDEX($J$2:$J$1001,MATCH(ROWS($I$2:I119),$I$2:$I$1001,0),1)&gt;=100000,INDEX($P$1005:$S$1005,1,MATCH(COLUMNS($P$1006:S1006),$P$1006:$S$1006,0))&gt;=100000), " ",IF(INDEX($P$2:$S$1001,MATCH(ROWS($I$2:I119),$I$2:$I$1001,0),MATCH(COLUMNS($P$1006:S1006),$P$1006:$S$1006,0)), HYPERLINK("#",""), HYPERLINK(CONCATENATE("#metadata!", ADDRESS(INDEX($K$2:$K$1001,MATCH(ROWS($I$2:I119),$I$2:$I$1001,0),0), INDEX($P$1004:$S$1004,1,MATCH(COLUMNS($P$1006:S1006),$P$1006:$S$1006,0)))),"Fix")))</f>
        <v>0</v>
      </c>
      <c r="I119">
        <v>0</v>
      </c>
      <c r="J119">
        <v>0</v>
      </c>
      <c r="K119">
        <v>0</v>
      </c>
      <c r="L119">
        <f>IF(M119,TRUE,AND(P119:S119))</f>
        <v>0</v>
      </c>
      <c r="M119">
        <f>COUNTBLANK(metadata!B119:E119)=COLUMNS(metadata!B119:E119)</f>
        <v>0</v>
      </c>
      <c r="N119">
        <v>0</v>
      </c>
      <c r="P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Q119">
        <f>AND(IF(metadata!C119="",FALSE,TRUE),exact(metadata!C119,"other"))</f>
        <v>0</v>
      </c>
      <c r="R119">
        <f>AND(IF(metadata!D119="",FALSE,TRUE),exact(metadata!D119,"metagenome"))</f>
        <v>0</v>
      </c>
      <c r="S119">
        <f>AND(IF(metadata!E119="",FALSE,TRUE),exact(metadata!E119,"256318"))</f>
        <v>0</v>
      </c>
    </row>
    <row r="120" spans="1:19">
      <c r="A120" s="4">
        <f>IF(B120=" "," ",HYPERLINK(CONCATENATE("#metadata!",ADDRESS(INDEX($K$2:$K$1001,MATCH(ROWS($I$2:I120),$I$2:$I$1001,0),0),1)),INDEX($N$2:$N$1001,MATCH(ROWS($I$2:I120),$I$2:$I$1001,0),0)))</f>
        <v>0</v>
      </c>
      <c r="B120" s="3">
        <f>IF(OR(INDEX($J$2:$J$1001,MATCH(ROWS($I$2:I120),$I$2:$I$1001,0),1)&gt;=100000,INDEX($P$1005:$S$1005,1,MATCH(COLUMNS($P$1006:P1006),$P$1006:$S$1006,0))&gt;=100000), " ",IF(INDEX($P$2:$S$1001,MATCH(ROWS($I$2:I120),$I$2:$I$1001,0),MATCH(COLUMNS($P$1006:P1006),$P$1006:$S$1006,0)), HYPERLINK("#",""), HYPERLINK(CONCATENATE("#metadata!", ADDRESS(INDEX($K$2:$K$1001,MATCH(ROWS($I$2:I120),$I$2:$I$1001,0),0), INDEX($P$1004:$S$1004,1,MATCH(COLUMNS($P$1006:P1006),$P$1006:$S$1006,0)))),"Fix")))</f>
        <v>0</v>
      </c>
      <c r="C120" s="3">
        <f>IF(OR(INDEX($J$2:$J$1001,MATCH(ROWS($I$2:I120),$I$2:$I$1001,0),1)&gt;=100000,INDEX($P$1005:$S$1005,1,MATCH(COLUMNS($P$1006:Q1006),$P$1006:$S$1006,0))&gt;=100000), " ",IF(INDEX($P$2:$S$1001,MATCH(ROWS($I$2:I120),$I$2:$I$1001,0),MATCH(COLUMNS($P$1006:Q1006),$P$1006:$S$1006,0)), HYPERLINK("#",""), HYPERLINK(CONCATENATE("#metadata!", ADDRESS(INDEX($K$2:$K$1001,MATCH(ROWS($I$2:I120),$I$2:$I$1001,0),0), INDEX($P$1004:$S$1004,1,MATCH(COLUMNS($P$1006:Q1006),$P$1006:$S$1006,0)))),"Fix")))</f>
        <v>0</v>
      </c>
      <c r="D120" s="3">
        <f>IF(OR(INDEX($J$2:$J$1001,MATCH(ROWS($I$2:I120),$I$2:$I$1001,0),1)&gt;=100000,INDEX($P$1005:$S$1005,1,MATCH(COLUMNS($P$1006:R1006),$P$1006:$S$1006,0))&gt;=100000), " ",IF(INDEX($P$2:$S$1001,MATCH(ROWS($I$2:I120),$I$2:$I$1001,0),MATCH(COLUMNS($P$1006:R1006),$P$1006:$S$1006,0)), HYPERLINK("#",""), HYPERLINK(CONCATENATE("#metadata!", ADDRESS(INDEX($K$2:$K$1001,MATCH(ROWS($I$2:I120),$I$2:$I$1001,0),0), INDEX($P$1004:$S$1004,1,MATCH(COLUMNS($P$1006:R1006),$P$1006:$S$1006,0)))),"Fix")))</f>
        <v>0</v>
      </c>
      <c r="E120" s="3">
        <f>IF(OR(INDEX($J$2:$J$1001,MATCH(ROWS($I$2:I120),$I$2:$I$1001,0),1)&gt;=100000,INDEX($P$1005:$S$1005,1,MATCH(COLUMNS($P$1006:S1006),$P$1006:$S$1006,0))&gt;=100000), " ",IF(INDEX($P$2:$S$1001,MATCH(ROWS($I$2:I120),$I$2:$I$1001,0),MATCH(COLUMNS($P$1006:S1006),$P$1006:$S$1006,0)), HYPERLINK("#",""), HYPERLINK(CONCATENATE("#metadata!", ADDRESS(INDEX($K$2:$K$1001,MATCH(ROWS($I$2:I120),$I$2:$I$1001,0),0), INDEX($P$1004:$S$1004,1,MATCH(COLUMNS($P$1006:S1006),$P$1006:$S$1006,0)))),"Fix")))</f>
        <v>0</v>
      </c>
      <c r="I120">
        <v>0</v>
      </c>
      <c r="J120">
        <v>0</v>
      </c>
      <c r="K120">
        <v>0</v>
      </c>
      <c r="L120">
        <f>IF(M120,TRUE,AND(P120:S120))</f>
        <v>0</v>
      </c>
      <c r="M120">
        <f>COUNTBLANK(metadata!B120:E120)=COLUMNS(metadata!B120:E120)</f>
        <v>0</v>
      </c>
      <c r="N120">
        <v>0</v>
      </c>
      <c r="P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Q120">
        <f>AND(IF(metadata!C120="",FALSE,TRUE),exact(metadata!C120,"other"))</f>
        <v>0</v>
      </c>
      <c r="R120">
        <f>AND(IF(metadata!D120="",FALSE,TRUE),exact(metadata!D120,"metagenome"))</f>
        <v>0</v>
      </c>
      <c r="S120">
        <f>AND(IF(metadata!E120="",FALSE,TRUE),exact(metadata!E120,"256318"))</f>
        <v>0</v>
      </c>
    </row>
    <row r="121" spans="1:19">
      <c r="A121" s="4">
        <f>IF(B121=" "," ",HYPERLINK(CONCATENATE("#metadata!",ADDRESS(INDEX($K$2:$K$1001,MATCH(ROWS($I$2:I121),$I$2:$I$1001,0),0),1)),INDEX($N$2:$N$1001,MATCH(ROWS($I$2:I121),$I$2:$I$1001,0),0)))</f>
        <v>0</v>
      </c>
      <c r="B121" s="3">
        <f>IF(OR(INDEX($J$2:$J$1001,MATCH(ROWS($I$2:I121),$I$2:$I$1001,0),1)&gt;=100000,INDEX($P$1005:$S$1005,1,MATCH(COLUMNS($P$1006:P1006),$P$1006:$S$1006,0))&gt;=100000), " ",IF(INDEX($P$2:$S$1001,MATCH(ROWS($I$2:I121),$I$2:$I$1001,0),MATCH(COLUMNS($P$1006:P1006),$P$1006:$S$1006,0)), HYPERLINK("#",""), HYPERLINK(CONCATENATE("#metadata!", ADDRESS(INDEX($K$2:$K$1001,MATCH(ROWS($I$2:I121),$I$2:$I$1001,0),0), INDEX($P$1004:$S$1004,1,MATCH(COLUMNS($P$1006:P1006),$P$1006:$S$1006,0)))),"Fix")))</f>
        <v>0</v>
      </c>
      <c r="C121" s="3">
        <f>IF(OR(INDEX($J$2:$J$1001,MATCH(ROWS($I$2:I121),$I$2:$I$1001,0),1)&gt;=100000,INDEX($P$1005:$S$1005,1,MATCH(COLUMNS($P$1006:Q1006),$P$1006:$S$1006,0))&gt;=100000), " ",IF(INDEX($P$2:$S$1001,MATCH(ROWS($I$2:I121),$I$2:$I$1001,0),MATCH(COLUMNS($P$1006:Q1006),$P$1006:$S$1006,0)), HYPERLINK("#",""), HYPERLINK(CONCATENATE("#metadata!", ADDRESS(INDEX($K$2:$K$1001,MATCH(ROWS($I$2:I121),$I$2:$I$1001,0),0), INDEX($P$1004:$S$1004,1,MATCH(COLUMNS($P$1006:Q1006),$P$1006:$S$1006,0)))),"Fix")))</f>
        <v>0</v>
      </c>
      <c r="D121" s="3">
        <f>IF(OR(INDEX($J$2:$J$1001,MATCH(ROWS($I$2:I121),$I$2:$I$1001,0),1)&gt;=100000,INDEX($P$1005:$S$1005,1,MATCH(COLUMNS($P$1006:R1006),$P$1006:$S$1006,0))&gt;=100000), " ",IF(INDEX($P$2:$S$1001,MATCH(ROWS($I$2:I121),$I$2:$I$1001,0),MATCH(COLUMNS($P$1006:R1006),$P$1006:$S$1006,0)), HYPERLINK("#",""), HYPERLINK(CONCATENATE("#metadata!", ADDRESS(INDEX($K$2:$K$1001,MATCH(ROWS($I$2:I121),$I$2:$I$1001,0),0), INDEX($P$1004:$S$1004,1,MATCH(COLUMNS($P$1006:R1006),$P$1006:$S$1006,0)))),"Fix")))</f>
        <v>0</v>
      </c>
      <c r="E121" s="3">
        <f>IF(OR(INDEX($J$2:$J$1001,MATCH(ROWS($I$2:I121),$I$2:$I$1001,0),1)&gt;=100000,INDEX($P$1005:$S$1005,1,MATCH(COLUMNS($P$1006:S1006),$P$1006:$S$1006,0))&gt;=100000), " ",IF(INDEX($P$2:$S$1001,MATCH(ROWS($I$2:I121),$I$2:$I$1001,0),MATCH(COLUMNS($P$1006:S1006),$P$1006:$S$1006,0)), HYPERLINK("#",""), HYPERLINK(CONCATENATE("#metadata!", ADDRESS(INDEX($K$2:$K$1001,MATCH(ROWS($I$2:I121),$I$2:$I$1001,0),0), INDEX($P$1004:$S$1004,1,MATCH(COLUMNS($P$1006:S1006),$P$1006:$S$1006,0)))),"Fix")))</f>
        <v>0</v>
      </c>
      <c r="I121">
        <v>0</v>
      </c>
      <c r="J121">
        <v>0</v>
      </c>
      <c r="K121">
        <v>0</v>
      </c>
      <c r="L121">
        <f>IF(M121,TRUE,AND(P121:S121))</f>
        <v>0</v>
      </c>
      <c r="M121">
        <f>COUNTBLANK(metadata!B121:E121)=COLUMNS(metadata!B121:E121)</f>
        <v>0</v>
      </c>
      <c r="N121">
        <v>0</v>
      </c>
      <c r="P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Q121">
        <f>AND(IF(metadata!C121="",FALSE,TRUE),exact(metadata!C121,"other"))</f>
        <v>0</v>
      </c>
      <c r="R121">
        <f>AND(IF(metadata!D121="",FALSE,TRUE),exact(metadata!D121,"metagenome"))</f>
        <v>0</v>
      </c>
      <c r="S121">
        <f>AND(IF(metadata!E121="",FALSE,TRUE),exact(metadata!E121,"256318"))</f>
        <v>0</v>
      </c>
    </row>
    <row r="122" spans="1:19">
      <c r="A122" s="4">
        <f>IF(B122=" "," ",HYPERLINK(CONCATENATE("#metadata!",ADDRESS(INDEX($K$2:$K$1001,MATCH(ROWS($I$2:I122),$I$2:$I$1001,0),0),1)),INDEX($N$2:$N$1001,MATCH(ROWS($I$2:I122),$I$2:$I$1001,0),0)))</f>
        <v>0</v>
      </c>
      <c r="B122" s="3">
        <f>IF(OR(INDEX($J$2:$J$1001,MATCH(ROWS($I$2:I122),$I$2:$I$1001,0),1)&gt;=100000,INDEX($P$1005:$S$1005,1,MATCH(COLUMNS($P$1006:P1006),$P$1006:$S$1006,0))&gt;=100000), " ",IF(INDEX($P$2:$S$1001,MATCH(ROWS($I$2:I122),$I$2:$I$1001,0),MATCH(COLUMNS($P$1006:P1006),$P$1006:$S$1006,0)), HYPERLINK("#",""), HYPERLINK(CONCATENATE("#metadata!", ADDRESS(INDEX($K$2:$K$1001,MATCH(ROWS($I$2:I122),$I$2:$I$1001,0),0), INDEX($P$1004:$S$1004,1,MATCH(COLUMNS($P$1006:P1006),$P$1006:$S$1006,0)))),"Fix")))</f>
        <v>0</v>
      </c>
      <c r="C122" s="3">
        <f>IF(OR(INDEX($J$2:$J$1001,MATCH(ROWS($I$2:I122),$I$2:$I$1001,0),1)&gt;=100000,INDEX($P$1005:$S$1005,1,MATCH(COLUMNS($P$1006:Q1006),$P$1006:$S$1006,0))&gt;=100000), " ",IF(INDEX($P$2:$S$1001,MATCH(ROWS($I$2:I122),$I$2:$I$1001,0),MATCH(COLUMNS($P$1006:Q1006),$P$1006:$S$1006,0)), HYPERLINK("#",""), HYPERLINK(CONCATENATE("#metadata!", ADDRESS(INDEX($K$2:$K$1001,MATCH(ROWS($I$2:I122),$I$2:$I$1001,0),0), INDEX($P$1004:$S$1004,1,MATCH(COLUMNS($P$1006:Q1006),$P$1006:$S$1006,0)))),"Fix")))</f>
        <v>0</v>
      </c>
      <c r="D122" s="3">
        <f>IF(OR(INDEX($J$2:$J$1001,MATCH(ROWS($I$2:I122),$I$2:$I$1001,0),1)&gt;=100000,INDEX($P$1005:$S$1005,1,MATCH(COLUMNS($P$1006:R1006),$P$1006:$S$1006,0))&gt;=100000), " ",IF(INDEX($P$2:$S$1001,MATCH(ROWS($I$2:I122),$I$2:$I$1001,0),MATCH(COLUMNS($P$1006:R1006),$P$1006:$S$1006,0)), HYPERLINK("#",""), HYPERLINK(CONCATENATE("#metadata!", ADDRESS(INDEX($K$2:$K$1001,MATCH(ROWS($I$2:I122),$I$2:$I$1001,0),0), INDEX($P$1004:$S$1004,1,MATCH(COLUMNS($P$1006:R1006),$P$1006:$S$1006,0)))),"Fix")))</f>
        <v>0</v>
      </c>
      <c r="E122" s="3">
        <f>IF(OR(INDEX($J$2:$J$1001,MATCH(ROWS($I$2:I122),$I$2:$I$1001,0),1)&gt;=100000,INDEX($P$1005:$S$1005,1,MATCH(COLUMNS($P$1006:S1006),$P$1006:$S$1006,0))&gt;=100000), " ",IF(INDEX($P$2:$S$1001,MATCH(ROWS($I$2:I122),$I$2:$I$1001,0),MATCH(COLUMNS($P$1006:S1006),$P$1006:$S$1006,0)), HYPERLINK("#",""), HYPERLINK(CONCATENATE("#metadata!", ADDRESS(INDEX($K$2:$K$1001,MATCH(ROWS($I$2:I122),$I$2:$I$1001,0),0), INDEX($P$1004:$S$1004,1,MATCH(COLUMNS($P$1006:S1006),$P$1006:$S$1006,0)))),"Fix")))</f>
        <v>0</v>
      </c>
      <c r="I122">
        <v>0</v>
      </c>
      <c r="J122">
        <v>0</v>
      </c>
      <c r="K122">
        <v>0</v>
      </c>
      <c r="L122">
        <f>IF(M122,TRUE,AND(P122:S122))</f>
        <v>0</v>
      </c>
      <c r="M122">
        <f>COUNTBLANK(metadata!B122:E122)=COLUMNS(metadata!B122:E122)</f>
        <v>0</v>
      </c>
      <c r="N122">
        <v>0</v>
      </c>
      <c r="P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Q122">
        <f>AND(IF(metadata!C122="",FALSE,TRUE),exact(metadata!C122,"other"))</f>
        <v>0</v>
      </c>
      <c r="R122">
        <f>AND(IF(metadata!D122="",FALSE,TRUE),exact(metadata!D122,"metagenome"))</f>
        <v>0</v>
      </c>
      <c r="S122">
        <f>AND(IF(metadata!E122="",FALSE,TRUE),exact(metadata!E122,"256318"))</f>
        <v>0</v>
      </c>
    </row>
    <row r="123" spans="1:19">
      <c r="A123" s="4">
        <f>IF(B123=" "," ",HYPERLINK(CONCATENATE("#metadata!",ADDRESS(INDEX($K$2:$K$1001,MATCH(ROWS($I$2:I123),$I$2:$I$1001,0),0),1)),INDEX($N$2:$N$1001,MATCH(ROWS($I$2:I123),$I$2:$I$1001,0),0)))</f>
        <v>0</v>
      </c>
      <c r="B123" s="3">
        <f>IF(OR(INDEX($J$2:$J$1001,MATCH(ROWS($I$2:I123),$I$2:$I$1001,0),1)&gt;=100000,INDEX($P$1005:$S$1005,1,MATCH(COLUMNS($P$1006:P1006),$P$1006:$S$1006,0))&gt;=100000), " ",IF(INDEX($P$2:$S$1001,MATCH(ROWS($I$2:I123),$I$2:$I$1001,0),MATCH(COLUMNS($P$1006:P1006),$P$1006:$S$1006,0)), HYPERLINK("#",""), HYPERLINK(CONCATENATE("#metadata!", ADDRESS(INDEX($K$2:$K$1001,MATCH(ROWS($I$2:I123),$I$2:$I$1001,0),0), INDEX($P$1004:$S$1004,1,MATCH(COLUMNS($P$1006:P1006),$P$1006:$S$1006,0)))),"Fix")))</f>
        <v>0</v>
      </c>
      <c r="C123" s="3">
        <f>IF(OR(INDEX($J$2:$J$1001,MATCH(ROWS($I$2:I123),$I$2:$I$1001,0),1)&gt;=100000,INDEX($P$1005:$S$1005,1,MATCH(COLUMNS($P$1006:Q1006),$P$1006:$S$1006,0))&gt;=100000), " ",IF(INDEX($P$2:$S$1001,MATCH(ROWS($I$2:I123),$I$2:$I$1001,0),MATCH(COLUMNS($P$1006:Q1006),$P$1006:$S$1006,0)), HYPERLINK("#",""), HYPERLINK(CONCATENATE("#metadata!", ADDRESS(INDEX($K$2:$K$1001,MATCH(ROWS($I$2:I123),$I$2:$I$1001,0),0), INDEX($P$1004:$S$1004,1,MATCH(COLUMNS($P$1006:Q1006),$P$1006:$S$1006,0)))),"Fix")))</f>
        <v>0</v>
      </c>
      <c r="D123" s="3">
        <f>IF(OR(INDEX($J$2:$J$1001,MATCH(ROWS($I$2:I123),$I$2:$I$1001,0),1)&gt;=100000,INDEX($P$1005:$S$1005,1,MATCH(COLUMNS($P$1006:R1006),$P$1006:$S$1006,0))&gt;=100000), " ",IF(INDEX($P$2:$S$1001,MATCH(ROWS($I$2:I123),$I$2:$I$1001,0),MATCH(COLUMNS($P$1006:R1006),$P$1006:$S$1006,0)), HYPERLINK("#",""), HYPERLINK(CONCATENATE("#metadata!", ADDRESS(INDEX($K$2:$K$1001,MATCH(ROWS($I$2:I123),$I$2:$I$1001,0),0), INDEX($P$1004:$S$1004,1,MATCH(COLUMNS($P$1006:R1006),$P$1006:$S$1006,0)))),"Fix")))</f>
        <v>0</v>
      </c>
      <c r="E123" s="3">
        <f>IF(OR(INDEX($J$2:$J$1001,MATCH(ROWS($I$2:I123),$I$2:$I$1001,0),1)&gt;=100000,INDEX($P$1005:$S$1005,1,MATCH(COLUMNS($P$1006:S1006),$P$1006:$S$1006,0))&gt;=100000), " ",IF(INDEX($P$2:$S$1001,MATCH(ROWS($I$2:I123),$I$2:$I$1001,0),MATCH(COLUMNS($P$1006:S1006),$P$1006:$S$1006,0)), HYPERLINK("#",""), HYPERLINK(CONCATENATE("#metadata!", ADDRESS(INDEX($K$2:$K$1001,MATCH(ROWS($I$2:I123),$I$2:$I$1001,0),0), INDEX($P$1004:$S$1004,1,MATCH(COLUMNS($P$1006:S1006),$P$1006:$S$1006,0)))),"Fix")))</f>
        <v>0</v>
      </c>
      <c r="I123">
        <v>0</v>
      </c>
      <c r="J123">
        <v>0</v>
      </c>
      <c r="K123">
        <v>0</v>
      </c>
      <c r="L123">
        <f>IF(M123,TRUE,AND(P123:S123))</f>
        <v>0</v>
      </c>
      <c r="M123">
        <f>COUNTBLANK(metadata!B123:E123)=COLUMNS(metadata!B123:E123)</f>
        <v>0</v>
      </c>
      <c r="N123">
        <v>0</v>
      </c>
      <c r="P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Q123">
        <f>AND(IF(metadata!C123="",FALSE,TRUE),exact(metadata!C123,"other"))</f>
        <v>0</v>
      </c>
      <c r="R123">
        <f>AND(IF(metadata!D123="",FALSE,TRUE),exact(metadata!D123,"metagenome"))</f>
        <v>0</v>
      </c>
      <c r="S123">
        <f>AND(IF(metadata!E123="",FALSE,TRUE),exact(metadata!E123,"256318"))</f>
        <v>0</v>
      </c>
    </row>
    <row r="124" spans="1:19">
      <c r="A124" s="4">
        <f>IF(B124=" "," ",HYPERLINK(CONCATENATE("#metadata!",ADDRESS(INDEX($K$2:$K$1001,MATCH(ROWS($I$2:I124),$I$2:$I$1001,0),0),1)),INDEX($N$2:$N$1001,MATCH(ROWS($I$2:I124),$I$2:$I$1001,0),0)))</f>
        <v>0</v>
      </c>
      <c r="B124" s="3">
        <f>IF(OR(INDEX($J$2:$J$1001,MATCH(ROWS($I$2:I124),$I$2:$I$1001,0),1)&gt;=100000,INDEX($P$1005:$S$1005,1,MATCH(COLUMNS($P$1006:P1006),$P$1006:$S$1006,0))&gt;=100000), " ",IF(INDEX($P$2:$S$1001,MATCH(ROWS($I$2:I124),$I$2:$I$1001,0),MATCH(COLUMNS($P$1006:P1006),$P$1006:$S$1006,0)), HYPERLINK("#",""), HYPERLINK(CONCATENATE("#metadata!", ADDRESS(INDEX($K$2:$K$1001,MATCH(ROWS($I$2:I124),$I$2:$I$1001,0),0), INDEX($P$1004:$S$1004,1,MATCH(COLUMNS($P$1006:P1006),$P$1006:$S$1006,0)))),"Fix")))</f>
        <v>0</v>
      </c>
      <c r="C124" s="3">
        <f>IF(OR(INDEX($J$2:$J$1001,MATCH(ROWS($I$2:I124),$I$2:$I$1001,0),1)&gt;=100000,INDEX($P$1005:$S$1005,1,MATCH(COLUMNS($P$1006:Q1006),$P$1006:$S$1006,0))&gt;=100000), " ",IF(INDEX($P$2:$S$1001,MATCH(ROWS($I$2:I124),$I$2:$I$1001,0),MATCH(COLUMNS($P$1006:Q1006),$P$1006:$S$1006,0)), HYPERLINK("#",""), HYPERLINK(CONCATENATE("#metadata!", ADDRESS(INDEX($K$2:$K$1001,MATCH(ROWS($I$2:I124),$I$2:$I$1001,0),0), INDEX($P$1004:$S$1004,1,MATCH(COLUMNS($P$1006:Q1006),$P$1006:$S$1006,0)))),"Fix")))</f>
        <v>0</v>
      </c>
      <c r="D124" s="3">
        <f>IF(OR(INDEX($J$2:$J$1001,MATCH(ROWS($I$2:I124),$I$2:$I$1001,0),1)&gt;=100000,INDEX($P$1005:$S$1005,1,MATCH(COLUMNS($P$1006:R1006),$P$1006:$S$1006,0))&gt;=100000), " ",IF(INDEX($P$2:$S$1001,MATCH(ROWS($I$2:I124),$I$2:$I$1001,0),MATCH(COLUMNS($P$1006:R1006),$P$1006:$S$1006,0)), HYPERLINK("#",""), HYPERLINK(CONCATENATE("#metadata!", ADDRESS(INDEX($K$2:$K$1001,MATCH(ROWS($I$2:I124),$I$2:$I$1001,0),0), INDEX($P$1004:$S$1004,1,MATCH(COLUMNS($P$1006:R1006),$P$1006:$S$1006,0)))),"Fix")))</f>
        <v>0</v>
      </c>
      <c r="E124" s="3">
        <f>IF(OR(INDEX($J$2:$J$1001,MATCH(ROWS($I$2:I124),$I$2:$I$1001,0),1)&gt;=100000,INDEX($P$1005:$S$1005,1,MATCH(COLUMNS($P$1006:S1006),$P$1006:$S$1006,0))&gt;=100000), " ",IF(INDEX($P$2:$S$1001,MATCH(ROWS($I$2:I124),$I$2:$I$1001,0),MATCH(COLUMNS($P$1006:S1006),$P$1006:$S$1006,0)), HYPERLINK("#",""), HYPERLINK(CONCATENATE("#metadata!", ADDRESS(INDEX($K$2:$K$1001,MATCH(ROWS($I$2:I124),$I$2:$I$1001,0),0), INDEX($P$1004:$S$1004,1,MATCH(COLUMNS($P$1006:S1006),$P$1006:$S$1006,0)))),"Fix")))</f>
        <v>0</v>
      </c>
      <c r="I124">
        <v>0</v>
      </c>
      <c r="J124">
        <v>0</v>
      </c>
      <c r="K124">
        <v>0</v>
      </c>
      <c r="L124">
        <f>IF(M124,TRUE,AND(P124:S124))</f>
        <v>0</v>
      </c>
      <c r="M124">
        <f>COUNTBLANK(metadata!B124:E124)=COLUMNS(metadata!B124:E124)</f>
        <v>0</v>
      </c>
      <c r="N124">
        <v>0</v>
      </c>
      <c r="P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Q124">
        <f>AND(IF(metadata!C124="",FALSE,TRUE),exact(metadata!C124,"other"))</f>
        <v>0</v>
      </c>
      <c r="R124">
        <f>AND(IF(metadata!D124="",FALSE,TRUE),exact(metadata!D124,"metagenome"))</f>
        <v>0</v>
      </c>
      <c r="S124">
        <f>AND(IF(metadata!E124="",FALSE,TRUE),exact(metadata!E124,"256318"))</f>
        <v>0</v>
      </c>
    </row>
    <row r="125" spans="1:19">
      <c r="A125" s="4">
        <f>IF(B125=" "," ",HYPERLINK(CONCATENATE("#metadata!",ADDRESS(INDEX($K$2:$K$1001,MATCH(ROWS($I$2:I125),$I$2:$I$1001,0),0),1)),INDEX($N$2:$N$1001,MATCH(ROWS($I$2:I125),$I$2:$I$1001,0),0)))</f>
        <v>0</v>
      </c>
      <c r="B125" s="3">
        <f>IF(OR(INDEX($J$2:$J$1001,MATCH(ROWS($I$2:I125),$I$2:$I$1001,0),1)&gt;=100000,INDEX($P$1005:$S$1005,1,MATCH(COLUMNS($P$1006:P1006),$P$1006:$S$1006,0))&gt;=100000), " ",IF(INDEX($P$2:$S$1001,MATCH(ROWS($I$2:I125),$I$2:$I$1001,0),MATCH(COLUMNS($P$1006:P1006),$P$1006:$S$1006,0)), HYPERLINK("#",""), HYPERLINK(CONCATENATE("#metadata!", ADDRESS(INDEX($K$2:$K$1001,MATCH(ROWS($I$2:I125),$I$2:$I$1001,0),0), INDEX($P$1004:$S$1004,1,MATCH(COLUMNS($P$1006:P1006),$P$1006:$S$1006,0)))),"Fix")))</f>
        <v>0</v>
      </c>
      <c r="C125" s="3">
        <f>IF(OR(INDEX($J$2:$J$1001,MATCH(ROWS($I$2:I125),$I$2:$I$1001,0),1)&gt;=100000,INDEX($P$1005:$S$1005,1,MATCH(COLUMNS($P$1006:Q1006),$P$1006:$S$1006,0))&gt;=100000), " ",IF(INDEX($P$2:$S$1001,MATCH(ROWS($I$2:I125),$I$2:$I$1001,0),MATCH(COLUMNS($P$1006:Q1006),$P$1006:$S$1006,0)), HYPERLINK("#",""), HYPERLINK(CONCATENATE("#metadata!", ADDRESS(INDEX($K$2:$K$1001,MATCH(ROWS($I$2:I125),$I$2:$I$1001,0),0), INDEX($P$1004:$S$1004,1,MATCH(COLUMNS($P$1006:Q1006),$P$1006:$S$1006,0)))),"Fix")))</f>
        <v>0</v>
      </c>
      <c r="D125" s="3">
        <f>IF(OR(INDEX($J$2:$J$1001,MATCH(ROWS($I$2:I125),$I$2:$I$1001,0),1)&gt;=100000,INDEX($P$1005:$S$1005,1,MATCH(COLUMNS($P$1006:R1006),$P$1006:$S$1006,0))&gt;=100000), " ",IF(INDEX($P$2:$S$1001,MATCH(ROWS($I$2:I125),$I$2:$I$1001,0),MATCH(COLUMNS($P$1006:R1006),$P$1006:$S$1006,0)), HYPERLINK("#",""), HYPERLINK(CONCATENATE("#metadata!", ADDRESS(INDEX($K$2:$K$1001,MATCH(ROWS($I$2:I125),$I$2:$I$1001,0),0), INDEX($P$1004:$S$1004,1,MATCH(COLUMNS($P$1006:R1006),$P$1006:$S$1006,0)))),"Fix")))</f>
        <v>0</v>
      </c>
      <c r="E125" s="3">
        <f>IF(OR(INDEX($J$2:$J$1001,MATCH(ROWS($I$2:I125),$I$2:$I$1001,0),1)&gt;=100000,INDEX($P$1005:$S$1005,1,MATCH(COLUMNS($P$1006:S1006),$P$1006:$S$1006,0))&gt;=100000), " ",IF(INDEX($P$2:$S$1001,MATCH(ROWS($I$2:I125),$I$2:$I$1001,0),MATCH(COLUMNS($P$1006:S1006),$P$1006:$S$1006,0)), HYPERLINK("#",""), HYPERLINK(CONCATENATE("#metadata!", ADDRESS(INDEX($K$2:$K$1001,MATCH(ROWS($I$2:I125),$I$2:$I$1001,0),0), INDEX($P$1004:$S$1004,1,MATCH(COLUMNS($P$1006:S1006),$P$1006:$S$1006,0)))),"Fix")))</f>
        <v>0</v>
      </c>
      <c r="I125">
        <v>0</v>
      </c>
      <c r="J125">
        <v>0</v>
      </c>
      <c r="K125">
        <v>0</v>
      </c>
      <c r="L125">
        <f>IF(M125,TRUE,AND(P125:S125))</f>
        <v>0</v>
      </c>
      <c r="M125">
        <f>COUNTBLANK(metadata!B125:E125)=COLUMNS(metadata!B125:E125)</f>
        <v>0</v>
      </c>
      <c r="N125">
        <v>0</v>
      </c>
      <c r="P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Q125">
        <f>AND(IF(metadata!C125="",FALSE,TRUE),exact(metadata!C125,"other"))</f>
        <v>0</v>
      </c>
      <c r="R125">
        <f>AND(IF(metadata!D125="",FALSE,TRUE),exact(metadata!D125,"metagenome"))</f>
        <v>0</v>
      </c>
      <c r="S125">
        <f>AND(IF(metadata!E125="",FALSE,TRUE),exact(metadata!E125,"256318"))</f>
        <v>0</v>
      </c>
    </row>
    <row r="126" spans="1:19">
      <c r="A126" s="4">
        <f>IF(B126=" "," ",HYPERLINK(CONCATENATE("#metadata!",ADDRESS(INDEX($K$2:$K$1001,MATCH(ROWS($I$2:I126),$I$2:$I$1001,0),0),1)),INDEX($N$2:$N$1001,MATCH(ROWS($I$2:I126),$I$2:$I$1001,0),0)))</f>
        <v>0</v>
      </c>
      <c r="B126" s="3">
        <f>IF(OR(INDEX($J$2:$J$1001,MATCH(ROWS($I$2:I126),$I$2:$I$1001,0),1)&gt;=100000,INDEX($P$1005:$S$1005,1,MATCH(COLUMNS($P$1006:P1006),$P$1006:$S$1006,0))&gt;=100000), " ",IF(INDEX($P$2:$S$1001,MATCH(ROWS($I$2:I126),$I$2:$I$1001,0),MATCH(COLUMNS($P$1006:P1006),$P$1006:$S$1006,0)), HYPERLINK("#",""), HYPERLINK(CONCATENATE("#metadata!", ADDRESS(INDEX($K$2:$K$1001,MATCH(ROWS($I$2:I126),$I$2:$I$1001,0),0), INDEX($P$1004:$S$1004,1,MATCH(COLUMNS($P$1006:P1006),$P$1006:$S$1006,0)))),"Fix")))</f>
        <v>0</v>
      </c>
      <c r="C126" s="3">
        <f>IF(OR(INDEX($J$2:$J$1001,MATCH(ROWS($I$2:I126),$I$2:$I$1001,0),1)&gt;=100000,INDEX($P$1005:$S$1005,1,MATCH(COLUMNS($P$1006:Q1006),$P$1006:$S$1006,0))&gt;=100000), " ",IF(INDEX($P$2:$S$1001,MATCH(ROWS($I$2:I126),$I$2:$I$1001,0),MATCH(COLUMNS($P$1006:Q1006),$P$1006:$S$1006,0)), HYPERLINK("#",""), HYPERLINK(CONCATENATE("#metadata!", ADDRESS(INDEX($K$2:$K$1001,MATCH(ROWS($I$2:I126),$I$2:$I$1001,0),0), INDEX($P$1004:$S$1004,1,MATCH(COLUMNS($P$1006:Q1006),$P$1006:$S$1006,0)))),"Fix")))</f>
        <v>0</v>
      </c>
      <c r="D126" s="3">
        <f>IF(OR(INDEX($J$2:$J$1001,MATCH(ROWS($I$2:I126),$I$2:$I$1001,0),1)&gt;=100000,INDEX($P$1005:$S$1005,1,MATCH(COLUMNS($P$1006:R1006),$P$1006:$S$1006,0))&gt;=100000), " ",IF(INDEX($P$2:$S$1001,MATCH(ROWS($I$2:I126),$I$2:$I$1001,0),MATCH(COLUMNS($P$1006:R1006),$P$1006:$S$1006,0)), HYPERLINK("#",""), HYPERLINK(CONCATENATE("#metadata!", ADDRESS(INDEX($K$2:$K$1001,MATCH(ROWS($I$2:I126),$I$2:$I$1001,0),0), INDEX($P$1004:$S$1004,1,MATCH(COLUMNS($P$1006:R1006),$P$1006:$S$1006,0)))),"Fix")))</f>
        <v>0</v>
      </c>
      <c r="E126" s="3">
        <f>IF(OR(INDEX($J$2:$J$1001,MATCH(ROWS($I$2:I126),$I$2:$I$1001,0),1)&gt;=100000,INDEX($P$1005:$S$1005,1,MATCH(COLUMNS($P$1006:S1006),$P$1006:$S$1006,0))&gt;=100000), " ",IF(INDEX($P$2:$S$1001,MATCH(ROWS($I$2:I126),$I$2:$I$1001,0),MATCH(COLUMNS($P$1006:S1006),$P$1006:$S$1006,0)), HYPERLINK("#",""), HYPERLINK(CONCATENATE("#metadata!", ADDRESS(INDEX($K$2:$K$1001,MATCH(ROWS($I$2:I126),$I$2:$I$1001,0),0), INDEX($P$1004:$S$1004,1,MATCH(COLUMNS($P$1006:S1006),$P$1006:$S$1006,0)))),"Fix")))</f>
        <v>0</v>
      </c>
      <c r="I126">
        <v>0</v>
      </c>
      <c r="J126">
        <v>0</v>
      </c>
      <c r="K126">
        <v>0</v>
      </c>
      <c r="L126">
        <f>IF(M126,TRUE,AND(P126:S126))</f>
        <v>0</v>
      </c>
      <c r="M126">
        <f>COUNTBLANK(metadata!B126:E126)=COLUMNS(metadata!B126:E126)</f>
        <v>0</v>
      </c>
      <c r="N126">
        <v>0</v>
      </c>
      <c r="P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Q126">
        <f>AND(IF(metadata!C126="",FALSE,TRUE),exact(metadata!C126,"other"))</f>
        <v>0</v>
      </c>
      <c r="R126">
        <f>AND(IF(metadata!D126="",FALSE,TRUE),exact(metadata!D126,"metagenome"))</f>
        <v>0</v>
      </c>
      <c r="S126">
        <f>AND(IF(metadata!E126="",FALSE,TRUE),exact(metadata!E126,"256318"))</f>
        <v>0</v>
      </c>
    </row>
    <row r="127" spans="1:19">
      <c r="A127" s="4">
        <f>IF(B127=" "," ",HYPERLINK(CONCATENATE("#metadata!",ADDRESS(INDEX($K$2:$K$1001,MATCH(ROWS($I$2:I127),$I$2:$I$1001,0),0),1)),INDEX($N$2:$N$1001,MATCH(ROWS($I$2:I127),$I$2:$I$1001,0),0)))</f>
        <v>0</v>
      </c>
      <c r="B127" s="3">
        <f>IF(OR(INDEX($J$2:$J$1001,MATCH(ROWS($I$2:I127),$I$2:$I$1001,0),1)&gt;=100000,INDEX($P$1005:$S$1005,1,MATCH(COLUMNS($P$1006:P1006),$P$1006:$S$1006,0))&gt;=100000), " ",IF(INDEX($P$2:$S$1001,MATCH(ROWS($I$2:I127),$I$2:$I$1001,0),MATCH(COLUMNS($P$1006:P1006),$P$1006:$S$1006,0)), HYPERLINK("#",""), HYPERLINK(CONCATENATE("#metadata!", ADDRESS(INDEX($K$2:$K$1001,MATCH(ROWS($I$2:I127),$I$2:$I$1001,0),0), INDEX($P$1004:$S$1004,1,MATCH(COLUMNS($P$1006:P1006),$P$1006:$S$1006,0)))),"Fix")))</f>
        <v>0</v>
      </c>
      <c r="C127" s="3">
        <f>IF(OR(INDEX($J$2:$J$1001,MATCH(ROWS($I$2:I127),$I$2:$I$1001,0),1)&gt;=100000,INDEX($P$1005:$S$1005,1,MATCH(COLUMNS($P$1006:Q1006),$P$1006:$S$1006,0))&gt;=100000), " ",IF(INDEX($P$2:$S$1001,MATCH(ROWS($I$2:I127),$I$2:$I$1001,0),MATCH(COLUMNS($P$1006:Q1006),$P$1006:$S$1006,0)), HYPERLINK("#",""), HYPERLINK(CONCATENATE("#metadata!", ADDRESS(INDEX($K$2:$K$1001,MATCH(ROWS($I$2:I127),$I$2:$I$1001,0),0), INDEX($P$1004:$S$1004,1,MATCH(COLUMNS($P$1006:Q1006),$P$1006:$S$1006,0)))),"Fix")))</f>
        <v>0</v>
      </c>
      <c r="D127" s="3">
        <f>IF(OR(INDEX($J$2:$J$1001,MATCH(ROWS($I$2:I127),$I$2:$I$1001,0),1)&gt;=100000,INDEX($P$1005:$S$1005,1,MATCH(COLUMNS($P$1006:R1006),$P$1006:$S$1006,0))&gt;=100000), " ",IF(INDEX($P$2:$S$1001,MATCH(ROWS($I$2:I127),$I$2:$I$1001,0),MATCH(COLUMNS($P$1006:R1006),$P$1006:$S$1006,0)), HYPERLINK("#",""), HYPERLINK(CONCATENATE("#metadata!", ADDRESS(INDEX($K$2:$K$1001,MATCH(ROWS($I$2:I127),$I$2:$I$1001,0),0), INDEX($P$1004:$S$1004,1,MATCH(COLUMNS($P$1006:R1006),$P$1006:$S$1006,0)))),"Fix")))</f>
        <v>0</v>
      </c>
      <c r="E127" s="3">
        <f>IF(OR(INDEX($J$2:$J$1001,MATCH(ROWS($I$2:I127),$I$2:$I$1001,0),1)&gt;=100000,INDEX($P$1005:$S$1005,1,MATCH(COLUMNS($P$1006:S1006),$P$1006:$S$1006,0))&gt;=100000), " ",IF(INDEX($P$2:$S$1001,MATCH(ROWS($I$2:I127),$I$2:$I$1001,0),MATCH(COLUMNS($P$1006:S1006),$P$1006:$S$1006,0)), HYPERLINK("#",""), HYPERLINK(CONCATENATE("#metadata!", ADDRESS(INDEX($K$2:$K$1001,MATCH(ROWS($I$2:I127),$I$2:$I$1001,0),0), INDEX($P$1004:$S$1004,1,MATCH(COLUMNS($P$1006:S1006),$P$1006:$S$1006,0)))),"Fix")))</f>
        <v>0</v>
      </c>
      <c r="I127">
        <v>0</v>
      </c>
      <c r="J127">
        <v>0</v>
      </c>
      <c r="K127">
        <v>0</v>
      </c>
      <c r="L127">
        <f>IF(M127,TRUE,AND(P127:S127))</f>
        <v>0</v>
      </c>
      <c r="M127">
        <f>COUNTBLANK(metadata!B127:E127)=COLUMNS(metadata!B127:E127)</f>
        <v>0</v>
      </c>
      <c r="N127">
        <v>0</v>
      </c>
      <c r="P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Q127">
        <f>AND(IF(metadata!C127="",FALSE,TRUE),exact(metadata!C127,"other"))</f>
        <v>0</v>
      </c>
      <c r="R127">
        <f>AND(IF(metadata!D127="",FALSE,TRUE),exact(metadata!D127,"metagenome"))</f>
        <v>0</v>
      </c>
      <c r="S127">
        <f>AND(IF(metadata!E127="",FALSE,TRUE),exact(metadata!E127,"256318"))</f>
        <v>0</v>
      </c>
    </row>
    <row r="128" spans="1:19">
      <c r="A128" s="4">
        <f>IF(B128=" "," ",HYPERLINK(CONCATENATE("#metadata!",ADDRESS(INDEX($K$2:$K$1001,MATCH(ROWS($I$2:I128),$I$2:$I$1001,0),0),1)),INDEX($N$2:$N$1001,MATCH(ROWS($I$2:I128),$I$2:$I$1001,0),0)))</f>
        <v>0</v>
      </c>
      <c r="B128" s="3">
        <f>IF(OR(INDEX($J$2:$J$1001,MATCH(ROWS($I$2:I128),$I$2:$I$1001,0),1)&gt;=100000,INDEX($P$1005:$S$1005,1,MATCH(COLUMNS($P$1006:P1006),$P$1006:$S$1006,0))&gt;=100000), " ",IF(INDEX($P$2:$S$1001,MATCH(ROWS($I$2:I128),$I$2:$I$1001,0),MATCH(COLUMNS($P$1006:P1006),$P$1006:$S$1006,0)), HYPERLINK("#",""), HYPERLINK(CONCATENATE("#metadata!", ADDRESS(INDEX($K$2:$K$1001,MATCH(ROWS($I$2:I128),$I$2:$I$1001,0),0), INDEX($P$1004:$S$1004,1,MATCH(COLUMNS($P$1006:P1006),$P$1006:$S$1006,0)))),"Fix")))</f>
        <v>0</v>
      </c>
      <c r="C128" s="3">
        <f>IF(OR(INDEX($J$2:$J$1001,MATCH(ROWS($I$2:I128),$I$2:$I$1001,0),1)&gt;=100000,INDEX($P$1005:$S$1005,1,MATCH(COLUMNS($P$1006:Q1006),$P$1006:$S$1006,0))&gt;=100000), " ",IF(INDEX($P$2:$S$1001,MATCH(ROWS($I$2:I128),$I$2:$I$1001,0),MATCH(COLUMNS($P$1006:Q1006),$P$1006:$S$1006,0)), HYPERLINK("#",""), HYPERLINK(CONCATENATE("#metadata!", ADDRESS(INDEX($K$2:$K$1001,MATCH(ROWS($I$2:I128),$I$2:$I$1001,0),0), INDEX($P$1004:$S$1004,1,MATCH(COLUMNS($P$1006:Q1006),$P$1006:$S$1006,0)))),"Fix")))</f>
        <v>0</v>
      </c>
      <c r="D128" s="3">
        <f>IF(OR(INDEX($J$2:$J$1001,MATCH(ROWS($I$2:I128),$I$2:$I$1001,0),1)&gt;=100000,INDEX($P$1005:$S$1005,1,MATCH(COLUMNS($P$1006:R1006),$P$1006:$S$1006,0))&gt;=100000), " ",IF(INDEX($P$2:$S$1001,MATCH(ROWS($I$2:I128),$I$2:$I$1001,0),MATCH(COLUMNS($P$1006:R1006),$P$1006:$S$1006,0)), HYPERLINK("#",""), HYPERLINK(CONCATENATE("#metadata!", ADDRESS(INDEX($K$2:$K$1001,MATCH(ROWS($I$2:I128),$I$2:$I$1001,0),0), INDEX($P$1004:$S$1004,1,MATCH(COLUMNS($P$1006:R1006),$P$1006:$S$1006,0)))),"Fix")))</f>
        <v>0</v>
      </c>
      <c r="E128" s="3">
        <f>IF(OR(INDEX($J$2:$J$1001,MATCH(ROWS($I$2:I128),$I$2:$I$1001,0),1)&gt;=100000,INDEX($P$1005:$S$1005,1,MATCH(COLUMNS($P$1006:S1006),$P$1006:$S$1006,0))&gt;=100000), " ",IF(INDEX($P$2:$S$1001,MATCH(ROWS($I$2:I128),$I$2:$I$1001,0),MATCH(COLUMNS($P$1006:S1006),$P$1006:$S$1006,0)), HYPERLINK("#",""), HYPERLINK(CONCATENATE("#metadata!", ADDRESS(INDEX($K$2:$K$1001,MATCH(ROWS($I$2:I128),$I$2:$I$1001,0),0), INDEX($P$1004:$S$1004,1,MATCH(COLUMNS($P$1006:S1006),$P$1006:$S$1006,0)))),"Fix")))</f>
        <v>0</v>
      </c>
      <c r="I128">
        <v>0</v>
      </c>
      <c r="J128">
        <v>0</v>
      </c>
      <c r="K128">
        <v>0</v>
      </c>
      <c r="L128">
        <f>IF(M128,TRUE,AND(P128:S128))</f>
        <v>0</v>
      </c>
      <c r="M128">
        <f>COUNTBLANK(metadata!B128:E128)=COLUMNS(metadata!B128:E128)</f>
        <v>0</v>
      </c>
      <c r="N128">
        <v>0</v>
      </c>
      <c r="P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Q128">
        <f>AND(IF(metadata!C128="",FALSE,TRUE),exact(metadata!C128,"other"))</f>
        <v>0</v>
      </c>
      <c r="R128">
        <f>AND(IF(metadata!D128="",FALSE,TRUE),exact(metadata!D128,"metagenome"))</f>
        <v>0</v>
      </c>
      <c r="S128">
        <f>AND(IF(metadata!E128="",FALSE,TRUE),exact(metadata!E128,"256318"))</f>
        <v>0</v>
      </c>
    </row>
    <row r="129" spans="1:19">
      <c r="A129" s="4">
        <f>IF(B129=" "," ",HYPERLINK(CONCATENATE("#metadata!",ADDRESS(INDEX($K$2:$K$1001,MATCH(ROWS($I$2:I129),$I$2:$I$1001,0),0),1)),INDEX($N$2:$N$1001,MATCH(ROWS($I$2:I129),$I$2:$I$1001,0),0)))</f>
        <v>0</v>
      </c>
      <c r="B129" s="3">
        <f>IF(OR(INDEX($J$2:$J$1001,MATCH(ROWS($I$2:I129),$I$2:$I$1001,0),1)&gt;=100000,INDEX($P$1005:$S$1005,1,MATCH(COLUMNS($P$1006:P1006),$P$1006:$S$1006,0))&gt;=100000), " ",IF(INDEX($P$2:$S$1001,MATCH(ROWS($I$2:I129),$I$2:$I$1001,0),MATCH(COLUMNS($P$1006:P1006),$P$1006:$S$1006,0)), HYPERLINK("#",""), HYPERLINK(CONCATENATE("#metadata!", ADDRESS(INDEX($K$2:$K$1001,MATCH(ROWS($I$2:I129),$I$2:$I$1001,0),0), INDEX($P$1004:$S$1004,1,MATCH(COLUMNS($P$1006:P1006),$P$1006:$S$1006,0)))),"Fix")))</f>
        <v>0</v>
      </c>
      <c r="C129" s="3">
        <f>IF(OR(INDEX($J$2:$J$1001,MATCH(ROWS($I$2:I129),$I$2:$I$1001,0),1)&gt;=100000,INDEX($P$1005:$S$1005,1,MATCH(COLUMNS($P$1006:Q1006),$P$1006:$S$1006,0))&gt;=100000), " ",IF(INDEX($P$2:$S$1001,MATCH(ROWS($I$2:I129),$I$2:$I$1001,0),MATCH(COLUMNS($P$1006:Q1006),$P$1006:$S$1006,0)), HYPERLINK("#",""), HYPERLINK(CONCATENATE("#metadata!", ADDRESS(INDEX($K$2:$K$1001,MATCH(ROWS($I$2:I129),$I$2:$I$1001,0),0), INDEX($P$1004:$S$1004,1,MATCH(COLUMNS($P$1006:Q1006),$P$1006:$S$1006,0)))),"Fix")))</f>
        <v>0</v>
      </c>
      <c r="D129" s="3">
        <f>IF(OR(INDEX($J$2:$J$1001,MATCH(ROWS($I$2:I129),$I$2:$I$1001,0),1)&gt;=100000,INDEX($P$1005:$S$1005,1,MATCH(COLUMNS($P$1006:R1006),$P$1006:$S$1006,0))&gt;=100000), " ",IF(INDEX($P$2:$S$1001,MATCH(ROWS($I$2:I129),$I$2:$I$1001,0),MATCH(COLUMNS($P$1006:R1006),$P$1006:$S$1006,0)), HYPERLINK("#",""), HYPERLINK(CONCATENATE("#metadata!", ADDRESS(INDEX($K$2:$K$1001,MATCH(ROWS($I$2:I129),$I$2:$I$1001,0),0), INDEX($P$1004:$S$1004,1,MATCH(COLUMNS($P$1006:R1006),$P$1006:$S$1006,0)))),"Fix")))</f>
        <v>0</v>
      </c>
      <c r="E129" s="3">
        <f>IF(OR(INDEX($J$2:$J$1001,MATCH(ROWS($I$2:I129),$I$2:$I$1001,0),1)&gt;=100000,INDEX($P$1005:$S$1005,1,MATCH(COLUMNS($P$1006:S1006),$P$1006:$S$1006,0))&gt;=100000), " ",IF(INDEX($P$2:$S$1001,MATCH(ROWS($I$2:I129),$I$2:$I$1001,0),MATCH(COLUMNS($P$1006:S1006),$P$1006:$S$1006,0)), HYPERLINK("#",""), HYPERLINK(CONCATENATE("#metadata!", ADDRESS(INDEX($K$2:$K$1001,MATCH(ROWS($I$2:I129),$I$2:$I$1001,0),0), INDEX($P$1004:$S$1004,1,MATCH(COLUMNS($P$1006:S1006),$P$1006:$S$1006,0)))),"Fix")))</f>
        <v>0</v>
      </c>
      <c r="I129">
        <v>0</v>
      </c>
      <c r="J129">
        <v>0</v>
      </c>
      <c r="K129">
        <v>0</v>
      </c>
      <c r="L129">
        <f>IF(M129,TRUE,AND(P129:S129))</f>
        <v>0</v>
      </c>
      <c r="M129">
        <f>COUNTBLANK(metadata!B129:E129)=COLUMNS(metadata!B129:E129)</f>
        <v>0</v>
      </c>
      <c r="N129">
        <v>0</v>
      </c>
      <c r="P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Q129">
        <f>AND(IF(metadata!C129="",FALSE,TRUE),exact(metadata!C129,"other"))</f>
        <v>0</v>
      </c>
      <c r="R129">
        <f>AND(IF(metadata!D129="",FALSE,TRUE),exact(metadata!D129,"metagenome"))</f>
        <v>0</v>
      </c>
      <c r="S129">
        <f>AND(IF(metadata!E129="",FALSE,TRUE),exact(metadata!E129,"256318"))</f>
        <v>0</v>
      </c>
    </row>
    <row r="130" spans="1:19">
      <c r="A130" s="4">
        <f>IF(B130=" "," ",HYPERLINK(CONCATENATE("#metadata!",ADDRESS(INDEX($K$2:$K$1001,MATCH(ROWS($I$2:I130),$I$2:$I$1001,0),0),1)),INDEX($N$2:$N$1001,MATCH(ROWS($I$2:I130),$I$2:$I$1001,0),0)))</f>
        <v>0</v>
      </c>
      <c r="B130" s="3">
        <f>IF(OR(INDEX($J$2:$J$1001,MATCH(ROWS($I$2:I130),$I$2:$I$1001,0),1)&gt;=100000,INDEX($P$1005:$S$1005,1,MATCH(COLUMNS($P$1006:P1006),$P$1006:$S$1006,0))&gt;=100000), " ",IF(INDEX($P$2:$S$1001,MATCH(ROWS($I$2:I130),$I$2:$I$1001,0),MATCH(COLUMNS($P$1006:P1006),$P$1006:$S$1006,0)), HYPERLINK("#",""), HYPERLINK(CONCATENATE("#metadata!", ADDRESS(INDEX($K$2:$K$1001,MATCH(ROWS($I$2:I130),$I$2:$I$1001,0),0), INDEX($P$1004:$S$1004,1,MATCH(COLUMNS($P$1006:P1006),$P$1006:$S$1006,0)))),"Fix")))</f>
        <v>0</v>
      </c>
      <c r="C130" s="3">
        <f>IF(OR(INDEX($J$2:$J$1001,MATCH(ROWS($I$2:I130),$I$2:$I$1001,0),1)&gt;=100000,INDEX($P$1005:$S$1005,1,MATCH(COLUMNS($P$1006:Q1006),$P$1006:$S$1006,0))&gt;=100000), " ",IF(INDEX($P$2:$S$1001,MATCH(ROWS($I$2:I130),$I$2:$I$1001,0),MATCH(COLUMNS($P$1006:Q1006),$P$1006:$S$1006,0)), HYPERLINK("#",""), HYPERLINK(CONCATENATE("#metadata!", ADDRESS(INDEX($K$2:$K$1001,MATCH(ROWS($I$2:I130),$I$2:$I$1001,0),0), INDEX($P$1004:$S$1004,1,MATCH(COLUMNS($P$1006:Q1006),$P$1006:$S$1006,0)))),"Fix")))</f>
        <v>0</v>
      </c>
      <c r="D130" s="3">
        <f>IF(OR(INDEX($J$2:$J$1001,MATCH(ROWS($I$2:I130),$I$2:$I$1001,0),1)&gt;=100000,INDEX($P$1005:$S$1005,1,MATCH(COLUMNS($P$1006:R1006),$P$1006:$S$1006,0))&gt;=100000), " ",IF(INDEX($P$2:$S$1001,MATCH(ROWS($I$2:I130),$I$2:$I$1001,0),MATCH(COLUMNS($P$1006:R1006),$P$1006:$S$1006,0)), HYPERLINK("#",""), HYPERLINK(CONCATENATE("#metadata!", ADDRESS(INDEX($K$2:$K$1001,MATCH(ROWS($I$2:I130),$I$2:$I$1001,0),0), INDEX($P$1004:$S$1004,1,MATCH(COLUMNS($P$1006:R1006),$P$1006:$S$1006,0)))),"Fix")))</f>
        <v>0</v>
      </c>
      <c r="E130" s="3">
        <f>IF(OR(INDEX($J$2:$J$1001,MATCH(ROWS($I$2:I130),$I$2:$I$1001,0),1)&gt;=100000,INDEX($P$1005:$S$1005,1,MATCH(COLUMNS($P$1006:S1006),$P$1006:$S$1006,0))&gt;=100000), " ",IF(INDEX($P$2:$S$1001,MATCH(ROWS($I$2:I130),$I$2:$I$1001,0),MATCH(COLUMNS($P$1006:S1006),$P$1006:$S$1006,0)), HYPERLINK("#",""), HYPERLINK(CONCATENATE("#metadata!", ADDRESS(INDEX($K$2:$K$1001,MATCH(ROWS($I$2:I130),$I$2:$I$1001,0),0), INDEX($P$1004:$S$1004,1,MATCH(COLUMNS($P$1006:S1006),$P$1006:$S$1006,0)))),"Fix")))</f>
        <v>0</v>
      </c>
      <c r="I130">
        <v>0</v>
      </c>
      <c r="J130">
        <v>0</v>
      </c>
      <c r="K130">
        <v>0</v>
      </c>
      <c r="L130">
        <f>IF(M130,TRUE,AND(P130:S130))</f>
        <v>0</v>
      </c>
      <c r="M130">
        <f>COUNTBLANK(metadata!B130:E130)=COLUMNS(metadata!B130:E130)</f>
        <v>0</v>
      </c>
      <c r="N130">
        <v>0</v>
      </c>
      <c r="P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Q130">
        <f>AND(IF(metadata!C130="",FALSE,TRUE),exact(metadata!C130,"other"))</f>
        <v>0</v>
      </c>
      <c r="R130">
        <f>AND(IF(metadata!D130="",FALSE,TRUE),exact(metadata!D130,"metagenome"))</f>
        <v>0</v>
      </c>
      <c r="S130">
        <f>AND(IF(metadata!E130="",FALSE,TRUE),exact(metadata!E130,"256318"))</f>
        <v>0</v>
      </c>
    </row>
    <row r="131" spans="1:19">
      <c r="A131" s="4">
        <f>IF(B131=" "," ",HYPERLINK(CONCATENATE("#metadata!",ADDRESS(INDEX($K$2:$K$1001,MATCH(ROWS($I$2:I131),$I$2:$I$1001,0),0),1)),INDEX($N$2:$N$1001,MATCH(ROWS($I$2:I131),$I$2:$I$1001,0),0)))</f>
        <v>0</v>
      </c>
      <c r="B131" s="3">
        <f>IF(OR(INDEX($J$2:$J$1001,MATCH(ROWS($I$2:I131),$I$2:$I$1001,0),1)&gt;=100000,INDEX($P$1005:$S$1005,1,MATCH(COLUMNS($P$1006:P1006),$P$1006:$S$1006,0))&gt;=100000), " ",IF(INDEX($P$2:$S$1001,MATCH(ROWS($I$2:I131),$I$2:$I$1001,0),MATCH(COLUMNS($P$1006:P1006),$P$1006:$S$1006,0)), HYPERLINK("#",""), HYPERLINK(CONCATENATE("#metadata!", ADDRESS(INDEX($K$2:$K$1001,MATCH(ROWS($I$2:I131),$I$2:$I$1001,0),0), INDEX($P$1004:$S$1004,1,MATCH(COLUMNS($P$1006:P1006),$P$1006:$S$1006,0)))),"Fix")))</f>
        <v>0</v>
      </c>
      <c r="C131" s="3">
        <f>IF(OR(INDEX($J$2:$J$1001,MATCH(ROWS($I$2:I131),$I$2:$I$1001,0),1)&gt;=100000,INDEX($P$1005:$S$1005,1,MATCH(COLUMNS($P$1006:Q1006),$P$1006:$S$1006,0))&gt;=100000), " ",IF(INDEX($P$2:$S$1001,MATCH(ROWS($I$2:I131),$I$2:$I$1001,0),MATCH(COLUMNS($P$1006:Q1006),$P$1006:$S$1006,0)), HYPERLINK("#",""), HYPERLINK(CONCATENATE("#metadata!", ADDRESS(INDEX($K$2:$K$1001,MATCH(ROWS($I$2:I131),$I$2:$I$1001,0),0), INDEX($P$1004:$S$1004,1,MATCH(COLUMNS($P$1006:Q1006),$P$1006:$S$1006,0)))),"Fix")))</f>
        <v>0</v>
      </c>
      <c r="D131" s="3">
        <f>IF(OR(INDEX($J$2:$J$1001,MATCH(ROWS($I$2:I131),$I$2:$I$1001,0),1)&gt;=100000,INDEX($P$1005:$S$1005,1,MATCH(COLUMNS($P$1006:R1006),$P$1006:$S$1006,0))&gt;=100000), " ",IF(INDEX($P$2:$S$1001,MATCH(ROWS($I$2:I131),$I$2:$I$1001,0),MATCH(COLUMNS($P$1006:R1006),$P$1006:$S$1006,0)), HYPERLINK("#",""), HYPERLINK(CONCATENATE("#metadata!", ADDRESS(INDEX($K$2:$K$1001,MATCH(ROWS($I$2:I131),$I$2:$I$1001,0),0), INDEX($P$1004:$S$1004,1,MATCH(COLUMNS($P$1006:R1006),$P$1006:$S$1006,0)))),"Fix")))</f>
        <v>0</v>
      </c>
      <c r="E131" s="3">
        <f>IF(OR(INDEX($J$2:$J$1001,MATCH(ROWS($I$2:I131),$I$2:$I$1001,0),1)&gt;=100000,INDEX($P$1005:$S$1005,1,MATCH(COLUMNS($P$1006:S1006),$P$1006:$S$1006,0))&gt;=100000), " ",IF(INDEX($P$2:$S$1001,MATCH(ROWS($I$2:I131),$I$2:$I$1001,0),MATCH(COLUMNS($P$1006:S1006),$P$1006:$S$1006,0)), HYPERLINK("#",""), HYPERLINK(CONCATENATE("#metadata!", ADDRESS(INDEX($K$2:$K$1001,MATCH(ROWS($I$2:I131),$I$2:$I$1001,0),0), INDEX($P$1004:$S$1004,1,MATCH(COLUMNS($P$1006:S1006),$P$1006:$S$1006,0)))),"Fix")))</f>
        <v>0</v>
      </c>
      <c r="I131">
        <v>0</v>
      </c>
      <c r="J131">
        <v>0</v>
      </c>
      <c r="K131">
        <v>0</v>
      </c>
      <c r="L131">
        <f>IF(M131,TRUE,AND(P131:S131))</f>
        <v>0</v>
      </c>
      <c r="M131">
        <f>COUNTBLANK(metadata!B131:E131)=COLUMNS(metadata!B131:E131)</f>
        <v>0</v>
      </c>
      <c r="N131">
        <v>0</v>
      </c>
      <c r="P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Q131">
        <f>AND(IF(metadata!C131="",FALSE,TRUE),exact(metadata!C131,"other"))</f>
        <v>0</v>
      </c>
      <c r="R131">
        <f>AND(IF(metadata!D131="",FALSE,TRUE),exact(metadata!D131,"metagenome"))</f>
        <v>0</v>
      </c>
      <c r="S131">
        <f>AND(IF(metadata!E131="",FALSE,TRUE),exact(metadata!E131,"256318"))</f>
        <v>0</v>
      </c>
    </row>
    <row r="132" spans="1:19">
      <c r="A132" s="4">
        <f>IF(B132=" "," ",HYPERLINK(CONCATENATE("#metadata!",ADDRESS(INDEX($K$2:$K$1001,MATCH(ROWS($I$2:I132),$I$2:$I$1001,0),0),1)),INDEX($N$2:$N$1001,MATCH(ROWS($I$2:I132),$I$2:$I$1001,0),0)))</f>
        <v>0</v>
      </c>
      <c r="B132" s="3">
        <f>IF(OR(INDEX($J$2:$J$1001,MATCH(ROWS($I$2:I132),$I$2:$I$1001,0),1)&gt;=100000,INDEX($P$1005:$S$1005,1,MATCH(COLUMNS($P$1006:P1006),$P$1006:$S$1006,0))&gt;=100000), " ",IF(INDEX($P$2:$S$1001,MATCH(ROWS($I$2:I132),$I$2:$I$1001,0),MATCH(COLUMNS($P$1006:P1006),$P$1006:$S$1006,0)), HYPERLINK("#",""), HYPERLINK(CONCATENATE("#metadata!", ADDRESS(INDEX($K$2:$K$1001,MATCH(ROWS($I$2:I132),$I$2:$I$1001,0),0), INDEX($P$1004:$S$1004,1,MATCH(COLUMNS($P$1006:P1006),$P$1006:$S$1006,0)))),"Fix")))</f>
        <v>0</v>
      </c>
      <c r="C132" s="3">
        <f>IF(OR(INDEX($J$2:$J$1001,MATCH(ROWS($I$2:I132),$I$2:$I$1001,0),1)&gt;=100000,INDEX($P$1005:$S$1005,1,MATCH(COLUMNS($P$1006:Q1006),$P$1006:$S$1006,0))&gt;=100000), " ",IF(INDEX($P$2:$S$1001,MATCH(ROWS($I$2:I132),$I$2:$I$1001,0),MATCH(COLUMNS($P$1006:Q1006),$P$1006:$S$1006,0)), HYPERLINK("#",""), HYPERLINK(CONCATENATE("#metadata!", ADDRESS(INDEX($K$2:$K$1001,MATCH(ROWS($I$2:I132),$I$2:$I$1001,0),0), INDEX($P$1004:$S$1004,1,MATCH(COLUMNS($P$1006:Q1006),$P$1006:$S$1006,0)))),"Fix")))</f>
        <v>0</v>
      </c>
      <c r="D132" s="3">
        <f>IF(OR(INDEX($J$2:$J$1001,MATCH(ROWS($I$2:I132),$I$2:$I$1001,0),1)&gt;=100000,INDEX($P$1005:$S$1005,1,MATCH(COLUMNS($P$1006:R1006),$P$1006:$S$1006,0))&gt;=100000), " ",IF(INDEX($P$2:$S$1001,MATCH(ROWS($I$2:I132),$I$2:$I$1001,0),MATCH(COLUMNS($P$1006:R1006),$P$1006:$S$1006,0)), HYPERLINK("#",""), HYPERLINK(CONCATENATE("#metadata!", ADDRESS(INDEX($K$2:$K$1001,MATCH(ROWS($I$2:I132),$I$2:$I$1001,0),0), INDEX($P$1004:$S$1004,1,MATCH(COLUMNS($P$1006:R1006),$P$1006:$S$1006,0)))),"Fix")))</f>
        <v>0</v>
      </c>
      <c r="E132" s="3">
        <f>IF(OR(INDEX($J$2:$J$1001,MATCH(ROWS($I$2:I132),$I$2:$I$1001,0),1)&gt;=100000,INDEX($P$1005:$S$1005,1,MATCH(COLUMNS($P$1006:S1006),$P$1006:$S$1006,0))&gt;=100000), " ",IF(INDEX($P$2:$S$1001,MATCH(ROWS($I$2:I132),$I$2:$I$1001,0),MATCH(COLUMNS($P$1006:S1006),$P$1006:$S$1006,0)), HYPERLINK("#",""), HYPERLINK(CONCATENATE("#metadata!", ADDRESS(INDEX($K$2:$K$1001,MATCH(ROWS($I$2:I132),$I$2:$I$1001,0),0), INDEX($P$1004:$S$1004,1,MATCH(COLUMNS($P$1006:S1006),$P$1006:$S$1006,0)))),"Fix")))</f>
        <v>0</v>
      </c>
      <c r="I132">
        <v>0</v>
      </c>
      <c r="J132">
        <v>0</v>
      </c>
      <c r="K132">
        <v>0</v>
      </c>
      <c r="L132">
        <f>IF(M132,TRUE,AND(P132:S132))</f>
        <v>0</v>
      </c>
      <c r="M132">
        <f>COUNTBLANK(metadata!B132:E132)=COLUMNS(metadata!B132:E132)</f>
        <v>0</v>
      </c>
      <c r="N132">
        <v>0</v>
      </c>
      <c r="P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Q132">
        <f>AND(IF(metadata!C132="",FALSE,TRUE),exact(metadata!C132,"other"))</f>
        <v>0</v>
      </c>
      <c r="R132">
        <f>AND(IF(metadata!D132="",FALSE,TRUE),exact(metadata!D132,"metagenome"))</f>
        <v>0</v>
      </c>
      <c r="S132">
        <f>AND(IF(metadata!E132="",FALSE,TRUE),exact(metadata!E132,"256318"))</f>
        <v>0</v>
      </c>
    </row>
    <row r="133" spans="1:19">
      <c r="A133" s="4">
        <f>IF(B133=" "," ",HYPERLINK(CONCATENATE("#metadata!",ADDRESS(INDEX($K$2:$K$1001,MATCH(ROWS($I$2:I133),$I$2:$I$1001,0),0),1)),INDEX($N$2:$N$1001,MATCH(ROWS($I$2:I133),$I$2:$I$1001,0),0)))</f>
        <v>0</v>
      </c>
      <c r="B133" s="3">
        <f>IF(OR(INDEX($J$2:$J$1001,MATCH(ROWS($I$2:I133),$I$2:$I$1001,0),1)&gt;=100000,INDEX($P$1005:$S$1005,1,MATCH(COLUMNS($P$1006:P1006),$P$1006:$S$1006,0))&gt;=100000), " ",IF(INDEX($P$2:$S$1001,MATCH(ROWS($I$2:I133),$I$2:$I$1001,0),MATCH(COLUMNS($P$1006:P1006),$P$1006:$S$1006,0)), HYPERLINK("#",""), HYPERLINK(CONCATENATE("#metadata!", ADDRESS(INDEX($K$2:$K$1001,MATCH(ROWS($I$2:I133),$I$2:$I$1001,0),0), INDEX($P$1004:$S$1004,1,MATCH(COLUMNS($P$1006:P1006),$P$1006:$S$1006,0)))),"Fix")))</f>
        <v>0</v>
      </c>
      <c r="C133" s="3">
        <f>IF(OR(INDEX($J$2:$J$1001,MATCH(ROWS($I$2:I133),$I$2:$I$1001,0),1)&gt;=100000,INDEX($P$1005:$S$1005,1,MATCH(COLUMNS($P$1006:Q1006),$P$1006:$S$1006,0))&gt;=100000), " ",IF(INDEX($P$2:$S$1001,MATCH(ROWS($I$2:I133),$I$2:$I$1001,0),MATCH(COLUMNS($P$1006:Q1006),$P$1006:$S$1006,0)), HYPERLINK("#",""), HYPERLINK(CONCATENATE("#metadata!", ADDRESS(INDEX($K$2:$K$1001,MATCH(ROWS($I$2:I133),$I$2:$I$1001,0),0), INDEX($P$1004:$S$1004,1,MATCH(COLUMNS($P$1006:Q1006),$P$1006:$S$1006,0)))),"Fix")))</f>
        <v>0</v>
      </c>
      <c r="D133" s="3">
        <f>IF(OR(INDEX($J$2:$J$1001,MATCH(ROWS($I$2:I133),$I$2:$I$1001,0),1)&gt;=100000,INDEX($P$1005:$S$1005,1,MATCH(COLUMNS($P$1006:R1006),$P$1006:$S$1006,0))&gt;=100000), " ",IF(INDEX($P$2:$S$1001,MATCH(ROWS($I$2:I133),$I$2:$I$1001,0),MATCH(COLUMNS($P$1006:R1006),$P$1006:$S$1006,0)), HYPERLINK("#",""), HYPERLINK(CONCATENATE("#metadata!", ADDRESS(INDEX($K$2:$K$1001,MATCH(ROWS($I$2:I133),$I$2:$I$1001,0),0), INDEX($P$1004:$S$1004,1,MATCH(COLUMNS($P$1006:R1006),$P$1006:$S$1006,0)))),"Fix")))</f>
        <v>0</v>
      </c>
      <c r="E133" s="3">
        <f>IF(OR(INDEX($J$2:$J$1001,MATCH(ROWS($I$2:I133),$I$2:$I$1001,0),1)&gt;=100000,INDEX($P$1005:$S$1005,1,MATCH(COLUMNS($P$1006:S1006),$P$1006:$S$1006,0))&gt;=100000), " ",IF(INDEX($P$2:$S$1001,MATCH(ROWS($I$2:I133),$I$2:$I$1001,0),MATCH(COLUMNS($P$1006:S1006),$P$1006:$S$1006,0)), HYPERLINK("#",""), HYPERLINK(CONCATENATE("#metadata!", ADDRESS(INDEX($K$2:$K$1001,MATCH(ROWS($I$2:I133),$I$2:$I$1001,0),0), INDEX($P$1004:$S$1004,1,MATCH(COLUMNS($P$1006:S1006),$P$1006:$S$1006,0)))),"Fix")))</f>
        <v>0</v>
      </c>
      <c r="I133">
        <v>0</v>
      </c>
      <c r="J133">
        <v>0</v>
      </c>
      <c r="K133">
        <v>0</v>
      </c>
      <c r="L133">
        <f>IF(M133,TRUE,AND(P133:S133))</f>
        <v>0</v>
      </c>
      <c r="M133">
        <f>COUNTBLANK(metadata!B133:E133)=COLUMNS(metadata!B133:E133)</f>
        <v>0</v>
      </c>
      <c r="N133">
        <v>0</v>
      </c>
      <c r="P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Q133">
        <f>AND(IF(metadata!C133="",FALSE,TRUE),exact(metadata!C133,"other"))</f>
        <v>0</v>
      </c>
      <c r="R133">
        <f>AND(IF(metadata!D133="",FALSE,TRUE),exact(metadata!D133,"metagenome"))</f>
        <v>0</v>
      </c>
      <c r="S133">
        <f>AND(IF(metadata!E133="",FALSE,TRUE),exact(metadata!E133,"256318"))</f>
        <v>0</v>
      </c>
    </row>
    <row r="134" spans="1:19">
      <c r="A134" s="4">
        <f>IF(B134=" "," ",HYPERLINK(CONCATENATE("#metadata!",ADDRESS(INDEX($K$2:$K$1001,MATCH(ROWS($I$2:I134),$I$2:$I$1001,0),0),1)),INDEX($N$2:$N$1001,MATCH(ROWS($I$2:I134),$I$2:$I$1001,0),0)))</f>
        <v>0</v>
      </c>
      <c r="B134" s="3">
        <f>IF(OR(INDEX($J$2:$J$1001,MATCH(ROWS($I$2:I134),$I$2:$I$1001,0),1)&gt;=100000,INDEX($P$1005:$S$1005,1,MATCH(COLUMNS($P$1006:P1006),$P$1006:$S$1006,0))&gt;=100000), " ",IF(INDEX($P$2:$S$1001,MATCH(ROWS($I$2:I134),$I$2:$I$1001,0),MATCH(COLUMNS($P$1006:P1006),$P$1006:$S$1006,0)), HYPERLINK("#",""), HYPERLINK(CONCATENATE("#metadata!", ADDRESS(INDEX($K$2:$K$1001,MATCH(ROWS($I$2:I134),$I$2:$I$1001,0),0), INDEX($P$1004:$S$1004,1,MATCH(COLUMNS($P$1006:P1006),$P$1006:$S$1006,0)))),"Fix")))</f>
        <v>0</v>
      </c>
      <c r="C134" s="3">
        <f>IF(OR(INDEX($J$2:$J$1001,MATCH(ROWS($I$2:I134),$I$2:$I$1001,0),1)&gt;=100000,INDEX($P$1005:$S$1005,1,MATCH(COLUMNS($P$1006:Q1006),$P$1006:$S$1006,0))&gt;=100000), " ",IF(INDEX($P$2:$S$1001,MATCH(ROWS($I$2:I134),$I$2:$I$1001,0),MATCH(COLUMNS($P$1006:Q1006),$P$1006:$S$1006,0)), HYPERLINK("#",""), HYPERLINK(CONCATENATE("#metadata!", ADDRESS(INDEX($K$2:$K$1001,MATCH(ROWS($I$2:I134),$I$2:$I$1001,0),0), INDEX($P$1004:$S$1004,1,MATCH(COLUMNS($P$1006:Q1006),$P$1006:$S$1006,0)))),"Fix")))</f>
        <v>0</v>
      </c>
      <c r="D134" s="3">
        <f>IF(OR(INDEX($J$2:$J$1001,MATCH(ROWS($I$2:I134),$I$2:$I$1001,0),1)&gt;=100000,INDEX($P$1005:$S$1005,1,MATCH(COLUMNS($P$1006:R1006),$P$1006:$S$1006,0))&gt;=100000), " ",IF(INDEX($P$2:$S$1001,MATCH(ROWS($I$2:I134),$I$2:$I$1001,0),MATCH(COLUMNS($P$1006:R1006),$P$1006:$S$1006,0)), HYPERLINK("#",""), HYPERLINK(CONCATENATE("#metadata!", ADDRESS(INDEX($K$2:$K$1001,MATCH(ROWS($I$2:I134),$I$2:$I$1001,0),0), INDEX($P$1004:$S$1004,1,MATCH(COLUMNS($P$1006:R1006),$P$1006:$S$1006,0)))),"Fix")))</f>
        <v>0</v>
      </c>
      <c r="E134" s="3">
        <f>IF(OR(INDEX($J$2:$J$1001,MATCH(ROWS($I$2:I134),$I$2:$I$1001,0),1)&gt;=100000,INDEX($P$1005:$S$1005,1,MATCH(COLUMNS($P$1006:S1006),$P$1006:$S$1006,0))&gt;=100000), " ",IF(INDEX($P$2:$S$1001,MATCH(ROWS($I$2:I134),$I$2:$I$1001,0),MATCH(COLUMNS($P$1006:S1006),$P$1006:$S$1006,0)), HYPERLINK("#",""), HYPERLINK(CONCATENATE("#metadata!", ADDRESS(INDEX($K$2:$K$1001,MATCH(ROWS($I$2:I134),$I$2:$I$1001,0),0), INDEX($P$1004:$S$1004,1,MATCH(COLUMNS($P$1006:S1006),$P$1006:$S$1006,0)))),"Fix")))</f>
        <v>0</v>
      </c>
      <c r="I134">
        <v>0</v>
      </c>
      <c r="J134">
        <v>0</v>
      </c>
      <c r="K134">
        <v>0</v>
      </c>
      <c r="L134">
        <f>IF(M134,TRUE,AND(P134:S134))</f>
        <v>0</v>
      </c>
      <c r="M134">
        <f>COUNTBLANK(metadata!B134:E134)=COLUMNS(metadata!B134:E134)</f>
        <v>0</v>
      </c>
      <c r="N134">
        <v>0</v>
      </c>
      <c r="P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Q134">
        <f>AND(IF(metadata!C134="",FALSE,TRUE),exact(metadata!C134,"other"))</f>
        <v>0</v>
      </c>
      <c r="R134">
        <f>AND(IF(metadata!D134="",FALSE,TRUE),exact(metadata!D134,"metagenome"))</f>
        <v>0</v>
      </c>
      <c r="S134">
        <f>AND(IF(metadata!E134="",FALSE,TRUE),exact(metadata!E134,"256318"))</f>
        <v>0</v>
      </c>
    </row>
    <row r="135" spans="1:19">
      <c r="A135" s="4">
        <f>IF(B135=" "," ",HYPERLINK(CONCATENATE("#metadata!",ADDRESS(INDEX($K$2:$K$1001,MATCH(ROWS($I$2:I135),$I$2:$I$1001,0),0),1)),INDEX($N$2:$N$1001,MATCH(ROWS($I$2:I135),$I$2:$I$1001,0),0)))</f>
        <v>0</v>
      </c>
      <c r="B135" s="3">
        <f>IF(OR(INDEX($J$2:$J$1001,MATCH(ROWS($I$2:I135),$I$2:$I$1001,0),1)&gt;=100000,INDEX($P$1005:$S$1005,1,MATCH(COLUMNS($P$1006:P1006),$P$1006:$S$1006,0))&gt;=100000), " ",IF(INDEX($P$2:$S$1001,MATCH(ROWS($I$2:I135),$I$2:$I$1001,0),MATCH(COLUMNS($P$1006:P1006),$P$1006:$S$1006,0)), HYPERLINK("#",""), HYPERLINK(CONCATENATE("#metadata!", ADDRESS(INDEX($K$2:$K$1001,MATCH(ROWS($I$2:I135),$I$2:$I$1001,0),0), INDEX($P$1004:$S$1004,1,MATCH(COLUMNS($P$1006:P1006),$P$1006:$S$1006,0)))),"Fix")))</f>
        <v>0</v>
      </c>
      <c r="C135" s="3">
        <f>IF(OR(INDEX($J$2:$J$1001,MATCH(ROWS($I$2:I135),$I$2:$I$1001,0),1)&gt;=100000,INDEX($P$1005:$S$1005,1,MATCH(COLUMNS($P$1006:Q1006),$P$1006:$S$1006,0))&gt;=100000), " ",IF(INDEX($P$2:$S$1001,MATCH(ROWS($I$2:I135),$I$2:$I$1001,0),MATCH(COLUMNS($P$1006:Q1006),$P$1006:$S$1006,0)), HYPERLINK("#",""), HYPERLINK(CONCATENATE("#metadata!", ADDRESS(INDEX($K$2:$K$1001,MATCH(ROWS($I$2:I135),$I$2:$I$1001,0),0), INDEX($P$1004:$S$1004,1,MATCH(COLUMNS($P$1006:Q1006),$P$1006:$S$1006,0)))),"Fix")))</f>
        <v>0</v>
      </c>
      <c r="D135" s="3">
        <f>IF(OR(INDEX($J$2:$J$1001,MATCH(ROWS($I$2:I135),$I$2:$I$1001,0),1)&gt;=100000,INDEX($P$1005:$S$1005,1,MATCH(COLUMNS($P$1006:R1006),$P$1006:$S$1006,0))&gt;=100000), " ",IF(INDEX($P$2:$S$1001,MATCH(ROWS($I$2:I135),$I$2:$I$1001,0),MATCH(COLUMNS($P$1006:R1006),$P$1006:$S$1006,0)), HYPERLINK("#",""), HYPERLINK(CONCATENATE("#metadata!", ADDRESS(INDEX($K$2:$K$1001,MATCH(ROWS($I$2:I135),$I$2:$I$1001,0),0), INDEX($P$1004:$S$1004,1,MATCH(COLUMNS($P$1006:R1006),$P$1006:$S$1006,0)))),"Fix")))</f>
        <v>0</v>
      </c>
      <c r="E135" s="3">
        <f>IF(OR(INDEX($J$2:$J$1001,MATCH(ROWS($I$2:I135),$I$2:$I$1001,0),1)&gt;=100000,INDEX($P$1005:$S$1005,1,MATCH(COLUMNS($P$1006:S1006),$P$1006:$S$1006,0))&gt;=100000), " ",IF(INDEX($P$2:$S$1001,MATCH(ROWS($I$2:I135),$I$2:$I$1001,0),MATCH(COLUMNS($P$1006:S1006),$P$1006:$S$1006,0)), HYPERLINK("#",""), HYPERLINK(CONCATENATE("#metadata!", ADDRESS(INDEX($K$2:$K$1001,MATCH(ROWS($I$2:I135),$I$2:$I$1001,0),0), INDEX($P$1004:$S$1004,1,MATCH(COLUMNS($P$1006:S1006),$P$1006:$S$1006,0)))),"Fix")))</f>
        <v>0</v>
      </c>
      <c r="I135">
        <v>0</v>
      </c>
      <c r="J135">
        <v>0</v>
      </c>
      <c r="K135">
        <v>0</v>
      </c>
      <c r="L135">
        <f>IF(M135,TRUE,AND(P135:S135))</f>
        <v>0</v>
      </c>
      <c r="M135">
        <f>COUNTBLANK(metadata!B135:E135)=COLUMNS(metadata!B135:E135)</f>
        <v>0</v>
      </c>
      <c r="N135">
        <v>0</v>
      </c>
      <c r="P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Q135">
        <f>AND(IF(metadata!C135="",FALSE,TRUE),exact(metadata!C135,"other"))</f>
        <v>0</v>
      </c>
      <c r="R135">
        <f>AND(IF(metadata!D135="",FALSE,TRUE),exact(metadata!D135,"metagenome"))</f>
        <v>0</v>
      </c>
      <c r="S135">
        <f>AND(IF(metadata!E135="",FALSE,TRUE),exact(metadata!E135,"256318"))</f>
        <v>0</v>
      </c>
    </row>
    <row r="136" spans="1:19">
      <c r="A136" s="4">
        <f>IF(B136=" "," ",HYPERLINK(CONCATENATE("#metadata!",ADDRESS(INDEX($K$2:$K$1001,MATCH(ROWS($I$2:I136),$I$2:$I$1001,0),0),1)),INDEX($N$2:$N$1001,MATCH(ROWS($I$2:I136),$I$2:$I$1001,0),0)))</f>
        <v>0</v>
      </c>
      <c r="B136" s="3">
        <f>IF(OR(INDEX($J$2:$J$1001,MATCH(ROWS($I$2:I136),$I$2:$I$1001,0),1)&gt;=100000,INDEX($P$1005:$S$1005,1,MATCH(COLUMNS($P$1006:P1006),$P$1006:$S$1006,0))&gt;=100000), " ",IF(INDEX($P$2:$S$1001,MATCH(ROWS($I$2:I136),$I$2:$I$1001,0),MATCH(COLUMNS($P$1006:P1006),$P$1006:$S$1006,0)), HYPERLINK("#",""), HYPERLINK(CONCATENATE("#metadata!", ADDRESS(INDEX($K$2:$K$1001,MATCH(ROWS($I$2:I136),$I$2:$I$1001,0),0), INDEX($P$1004:$S$1004,1,MATCH(COLUMNS($P$1006:P1006),$P$1006:$S$1006,0)))),"Fix")))</f>
        <v>0</v>
      </c>
      <c r="C136" s="3">
        <f>IF(OR(INDEX($J$2:$J$1001,MATCH(ROWS($I$2:I136),$I$2:$I$1001,0),1)&gt;=100000,INDEX($P$1005:$S$1005,1,MATCH(COLUMNS($P$1006:Q1006),$P$1006:$S$1006,0))&gt;=100000), " ",IF(INDEX($P$2:$S$1001,MATCH(ROWS($I$2:I136),$I$2:$I$1001,0),MATCH(COLUMNS($P$1006:Q1006),$P$1006:$S$1006,0)), HYPERLINK("#",""), HYPERLINK(CONCATENATE("#metadata!", ADDRESS(INDEX($K$2:$K$1001,MATCH(ROWS($I$2:I136),$I$2:$I$1001,0),0), INDEX($P$1004:$S$1004,1,MATCH(COLUMNS($P$1006:Q1006),$P$1006:$S$1006,0)))),"Fix")))</f>
        <v>0</v>
      </c>
      <c r="D136" s="3">
        <f>IF(OR(INDEX($J$2:$J$1001,MATCH(ROWS($I$2:I136),$I$2:$I$1001,0),1)&gt;=100000,INDEX($P$1005:$S$1005,1,MATCH(COLUMNS($P$1006:R1006),$P$1006:$S$1006,0))&gt;=100000), " ",IF(INDEX($P$2:$S$1001,MATCH(ROWS($I$2:I136),$I$2:$I$1001,0),MATCH(COLUMNS($P$1006:R1006),$P$1006:$S$1006,0)), HYPERLINK("#",""), HYPERLINK(CONCATENATE("#metadata!", ADDRESS(INDEX($K$2:$K$1001,MATCH(ROWS($I$2:I136),$I$2:$I$1001,0),0), INDEX($P$1004:$S$1004,1,MATCH(COLUMNS($P$1006:R1006),$P$1006:$S$1006,0)))),"Fix")))</f>
        <v>0</v>
      </c>
      <c r="E136" s="3">
        <f>IF(OR(INDEX($J$2:$J$1001,MATCH(ROWS($I$2:I136),$I$2:$I$1001,0),1)&gt;=100000,INDEX($P$1005:$S$1005,1,MATCH(COLUMNS($P$1006:S1006),$P$1006:$S$1006,0))&gt;=100000), " ",IF(INDEX($P$2:$S$1001,MATCH(ROWS($I$2:I136),$I$2:$I$1001,0),MATCH(COLUMNS($P$1006:S1006),$P$1006:$S$1006,0)), HYPERLINK("#",""), HYPERLINK(CONCATENATE("#metadata!", ADDRESS(INDEX($K$2:$K$1001,MATCH(ROWS($I$2:I136),$I$2:$I$1001,0),0), INDEX($P$1004:$S$1004,1,MATCH(COLUMNS($P$1006:S1006),$P$1006:$S$1006,0)))),"Fix")))</f>
        <v>0</v>
      </c>
      <c r="I136">
        <v>0</v>
      </c>
      <c r="J136">
        <v>0</v>
      </c>
      <c r="K136">
        <v>0</v>
      </c>
      <c r="L136">
        <f>IF(M136,TRUE,AND(P136:S136))</f>
        <v>0</v>
      </c>
      <c r="M136">
        <f>COUNTBLANK(metadata!B136:E136)=COLUMNS(metadata!B136:E136)</f>
        <v>0</v>
      </c>
      <c r="N136">
        <v>0</v>
      </c>
      <c r="P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Q136">
        <f>AND(IF(metadata!C136="",FALSE,TRUE),exact(metadata!C136,"other"))</f>
        <v>0</v>
      </c>
      <c r="R136">
        <f>AND(IF(metadata!D136="",FALSE,TRUE),exact(metadata!D136,"metagenome"))</f>
        <v>0</v>
      </c>
      <c r="S136">
        <f>AND(IF(metadata!E136="",FALSE,TRUE),exact(metadata!E136,"256318"))</f>
        <v>0</v>
      </c>
    </row>
    <row r="137" spans="1:19">
      <c r="A137" s="4">
        <f>IF(B137=" "," ",HYPERLINK(CONCATENATE("#metadata!",ADDRESS(INDEX($K$2:$K$1001,MATCH(ROWS($I$2:I137),$I$2:$I$1001,0),0),1)),INDEX($N$2:$N$1001,MATCH(ROWS($I$2:I137),$I$2:$I$1001,0),0)))</f>
        <v>0</v>
      </c>
      <c r="B137" s="3">
        <f>IF(OR(INDEX($J$2:$J$1001,MATCH(ROWS($I$2:I137),$I$2:$I$1001,0),1)&gt;=100000,INDEX($P$1005:$S$1005,1,MATCH(COLUMNS($P$1006:P1006),$P$1006:$S$1006,0))&gt;=100000), " ",IF(INDEX($P$2:$S$1001,MATCH(ROWS($I$2:I137),$I$2:$I$1001,0),MATCH(COLUMNS($P$1006:P1006),$P$1006:$S$1006,0)), HYPERLINK("#",""), HYPERLINK(CONCATENATE("#metadata!", ADDRESS(INDEX($K$2:$K$1001,MATCH(ROWS($I$2:I137),$I$2:$I$1001,0),0), INDEX($P$1004:$S$1004,1,MATCH(COLUMNS($P$1006:P1006),$P$1006:$S$1006,0)))),"Fix")))</f>
        <v>0</v>
      </c>
      <c r="C137" s="3">
        <f>IF(OR(INDEX($J$2:$J$1001,MATCH(ROWS($I$2:I137),$I$2:$I$1001,0),1)&gt;=100000,INDEX($P$1005:$S$1005,1,MATCH(COLUMNS($P$1006:Q1006),$P$1006:$S$1006,0))&gt;=100000), " ",IF(INDEX($P$2:$S$1001,MATCH(ROWS($I$2:I137),$I$2:$I$1001,0),MATCH(COLUMNS($P$1006:Q1006),$P$1006:$S$1006,0)), HYPERLINK("#",""), HYPERLINK(CONCATENATE("#metadata!", ADDRESS(INDEX($K$2:$K$1001,MATCH(ROWS($I$2:I137),$I$2:$I$1001,0),0), INDEX($P$1004:$S$1004,1,MATCH(COLUMNS($P$1006:Q1006),$P$1006:$S$1006,0)))),"Fix")))</f>
        <v>0</v>
      </c>
      <c r="D137" s="3">
        <f>IF(OR(INDEX($J$2:$J$1001,MATCH(ROWS($I$2:I137),$I$2:$I$1001,0),1)&gt;=100000,INDEX($P$1005:$S$1005,1,MATCH(COLUMNS($P$1006:R1006),$P$1006:$S$1006,0))&gt;=100000), " ",IF(INDEX($P$2:$S$1001,MATCH(ROWS($I$2:I137),$I$2:$I$1001,0),MATCH(COLUMNS($P$1006:R1006),$P$1006:$S$1006,0)), HYPERLINK("#",""), HYPERLINK(CONCATENATE("#metadata!", ADDRESS(INDEX($K$2:$K$1001,MATCH(ROWS($I$2:I137),$I$2:$I$1001,0),0), INDEX($P$1004:$S$1004,1,MATCH(COLUMNS($P$1006:R1006),$P$1006:$S$1006,0)))),"Fix")))</f>
        <v>0</v>
      </c>
      <c r="E137" s="3">
        <f>IF(OR(INDEX($J$2:$J$1001,MATCH(ROWS($I$2:I137),$I$2:$I$1001,0),1)&gt;=100000,INDEX($P$1005:$S$1005,1,MATCH(COLUMNS($P$1006:S1006),$P$1006:$S$1006,0))&gt;=100000), " ",IF(INDEX($P$2:$S$1001,MATCH(ROWS($I$2:I137),$I$2:$I$1001,0),MATCH(COLUMNS($P$1006:S1006),$P$1006:$S$1006,0)), HYPERLINK("#",""), HYPERLINK(CONCATENATE("#metadata!", ADDRESS(INDEX($K$2:$K$1001,MATCH(ROWS($I$2:I137),$I$2:$I$1001,0),0), INDEX($P$1004:$S$1004,1,MATCH(COLUMNS($P$1006:S1006),$P$1006:$S$1006,0)))),"Fix")))</f>
        <v>0</v>
      </c>
      <c r="I137">
        <v>0</v>
      </c>
      <c r="J137">
        <v>0</v>
      </c>
      <c r="K137">
        <v>0</v>
      </c>
      <c r="L137">
        <f>IF(M137,TRUE,AND(P137:S137))</f>
        <v>0</v>
      </c>
      <c r="M137">
        <f>COUNTBLANK(metadata!B137:E137)=COLUMNS(metadata!B137:E137)</f>
        <v>0</v>
      </c>
      <c r="N137">
        <v>0</v>
      </c>
      <c r="P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Q137">
        <f>AND(IF(metadata!C137="",FALSE,TRUE),exact(metadata!C137,"other"))</f>
        <v>0</v>
      </c>
      <c r="R137">
        <f>AND(IF(metadata!D137="",FALSE,TRUE),exact(metadata!D137,"metagenome"))</f>
        <v>0</v>
      </c>
      <c r="S137">
        <f>AND(IF(metadata!E137="",FALSE,TRUE),exact(metadata!E137,"256318"))</f>
        <v>0</v>
      </c>
    </row>
    <row r="138" spans="1:19">
      <c r="A138" s="4">
        <f>IF(B138=" "," ",HYPERLINK(CONCATENATE("#metadata!",ADDRESS(INDEX($K$2:$K$1001,MATCH(ROWS($I$2:I138),$I$2:$I$1001,0),0),1)),INDEX($N$2:$N$1001,MATCH(ROWS($I$2:I138),$I$2:$I$1001,0),0)))</f>
        <v>0</v>
      </c>
      <c r="B138" s="3">
        <f>IF(OR(INDEX($J$2:$J$1001,MATCH(ROWS($I$2:I138),$I$2:$I$1001,0),1)&gt;=100000,INDEX($P$1005:$S$1005,1,MATCH(COLUMNS($P$1006:P1006),$P$1006:$S$1006,0))&gt;=100000), " ",IF(INDEX($P$2:$S$1001,MATCH(ROWS($I$2:I138),$I$2:$I$1001,0),MATCH(COLUMNS($P$1006:P1006),$P$1006:$S$1006,0)), HYPERLINK("#",""), HYPERLINK(CONCATENATE("#metadata!", ADDRESS(INDEX($K$2:$K$1001,MATCH(ROWS($I$2:I138),$I$2:$I$1001,0),0), INDEX($P$1004:$S$1004,1,MATCH(COLUMNS($P$1006:P1006),$P$1006:$S$1006,0)))),"Fix")))</f>
        <v>0</v>
      </c>
      <c r="C138" s="3">
        <f>IF(OR(INDEX($J$2:$J$1001,MATCH(ROWS($I$2:I138),$I$2:$I$1001,0),1)&gt;=100000,INDEX($P$1005:$S$1005,1,MATCH(COLUMNS($P$1006:Q1006),$P$1006:$S$1006,0))&gt;=100000), " ",IF(INDEX($P$2:$S$1001,MATCH(ROWS($I$2:I138),$I$2:$I$1001,0),MATCH(COLUMNS($P$1006:Q1006),$P$1006:$S$1006,0)), HYPERLINK("#",""), HYPERLINK(CONCATENATE("#metadata!", ADDRESS(INDEX($K$2:$K$1001,MATCH(ROWS($I$2:I138),$I$2:$I$1001,0),0), INDEX($P$1004:$S$1004,1,MATCH(COLUMNS($P$1006:Q1006),$P$1006:$S$1006,0)))),"Fix")))</f>
        <v>0</v>
      </c>
      <c r="D138" s="3">
        <f>IF(OR(INDEX($J$2:$J$1001,MATCH(ROWS($I$2:I138),$I$2:$I$1001,0),1)&gt;=100000,INDEX($P$1005:$S$1005,1,MATCH(COLUMNS($P$1006:R1006),$P$1006:$S$1006,0))&gt;=100000), " ",IF(INDEX($P$2:$S$1001,MATCH(ROWS($I$2:I138),$I$2:$I$1001,0),MATCH(COLUMNS($P$1006:R1006),$P$1006:$S$1006,0)), HYPERLINK("#",""), HYPERLINK(CONCATENATE("#metadata!", ADDRESS(INDEX($K$2:$K$1001,MATCH(ROWS($I$2:I138),$I$2:$I$1001,0),0), INDEX($P$1004:$S$1004,1,MATCH(COLUMNS($P$1006:R1006),$P$1006:$S$1006,0)))),"Fix")))</f>
        <v>0</v>
      </c>
      <c r="E138" s="3">
        <f>IF(OR(INDEX($J$2:$J$1001,MATCH(ROWS($I$2:I138),$I$2:$I$1001,0),1)&gt;=100000,INDEX($P$1005:$S$1005,1,MATCH(COLUMNS($P$1006:S1006),$P$1006:$S$1006,0))&gt;=100000), " ",IF(INDEX($P$2:$S$1001,MATCH(ROWS($I$2:I138),$I$2:$I$1001,0),MATCH(COLUMNS($P$1006:S1006),$P$1006:$S$1006,0)), HYPERLINK("#",""), HYPERLINK(CONCATENATE("#metadata!", ADDRESS(INDEX($K$2:$K$1001,MATCH(ROWS($I$2:I138),$I$2:$I$1001,0),0), INDEX($P$1004:$S$1004,1,MATCH(COLUMNS($P$1006:S1006),$P$1006:$S$1006,0)))),"Fix")))</f>
        <v>0</v>
      </c>
      <c r="I138">
        <v>0</v>
      </c>
      <c r="J138">
        <v>0</v>
      </c>
      <c r="K138">
        <v>0</v>
      </c>
      <c r="L138">
        <f>IF(M138,TRUE,AND(P138:S138))</f>
        <v>0</v>
      </c>
      <c r="M138">
        <f>COUNTBLANK(metadata!B138:E138)=COLUMNS(metadata!B138:E138)</f>
        <v>0</v>
      </c>
      <c r="N138">
        <v>0</v>
      </c>
      <c r="P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Q138">
        <f>AND(IF(metadata!C138="",FALSE,TRUE),exact(metadata!C138,"other"))</f>
        <v>0</v>
      </c>
      <c r="R138">
        <f>AND(IF(metadata!D138="",FALSE,TRUE),exact(metadata!D138,"metagenome"))</f>
        <v>0</v>
      </c>
      <c r="S138">
        <f>AND(IF(metadata!E138="",FALSE,TRUE),exact(metadata!E138,"256318"))</f>
        <v>0</v>
      </c>
    </row>
    <row r="139" spans="1:19">
      <c r="A139" s="4">
        <f>IF(B139=" "," ",HYPERLINK(CONCATENATE("#metadata!",ADDRESS(INDEX($K$2:$K$1001,MATCH(ROWS($I$2:I139),$I$2:$I$1001,0),0),1)),INDEX($N$2:$N$1001,MATCH(ROWS($I$2:I139),$I$2:$I$1001,0),0)))</f>
        <v>0</v>
      </c>
      <c r="B139" s="3">
        <f>IF(OR(INDEX($J$2:$J$1001,MATCH(ROWS($I$2:I139),$I$2:$I$1001,0),1)&gt;=100000,INDEX($P$1005:$S$1005,1,MATCH(COLUMNS($P$1006:P1006),$P$1006:$S$1006,0))&gt;=100000), " ",IF(INDEX($P$2:$S$1001,MATCH(ROWS($I$2:I139),$I$2:$I$1001,0),MATCH(COLUMNS($P$1006:P1006),$P$1006:$S$1006,0)), HYPERLINK("#",""), HYPERLINK(CONCATENATE("#metadata!", ADDRESS(INDEX($K$2:$K$1001,MATCH(ROWS($I$2:I139),$I$2:$I$1001,0),0), INDEX($P$1004:$S$1004,1,MATCH(COLUMNS($P$1006:P1006),$P$1006:$S$1006,0)))),"Fix")))</f>
        <v>0</v>
      </c>
      <c r="C139" s="3">
        <f>IF(OR(INDEX($J$2:$J$1001,MATCH(ROWS($I$2:I139),$I$2:$I$1001,0),1)&gt;=100000,INDEX($P$1005:$S$1005,1,MATCH(COLUMNS($P$1006:Q1006),$P$1006:$S$1006,0))&gt;=100000), " ",IF(INDEX($P$2:$S$1001,MATCH(ROWS($I$2:I139),$I$2:$I$1001,0),MATCH(COLUMNS($P$1006:Q1006),$P$1006:$S$1006,0)), HYPERLINK("#",""), HYPERLINK(CONCATENATE("#metadata!", ADDRESS(INDEX($K$2:$K$1001,MATCH(ROWS($I$2:I139),$I$2:$I$1001,0),0), INDEX($P$1004:$S$1004,1,MATCH(COLUMNS($P$1006:Q1006),$P$1006:$S$1006,0)))),"Fix")))</f>
        <v>0</v>
      </c>
      <c r="D139" s="3">
        <f>IF(OR(INDEX($J$2:$J$1001,MATCH(ROWS($I$2:I139),$I$2:$I$1001,0),1)&gt;=100000,INDEX($P$1005:$S$1005,1,MATCH(COLUMNS($P$1006:R1006),$P$1006:$S$1006,0))&gt;=100000), " ",IF(INDEX($P$2:$S$1001,MATCH(ROWS($I$2:I139),$I$2:$I$1001,0),MATCH(COLUMNS($P$1006:R1006),$P$1006:$S$1006,0)), HYPERLINK("#",""), HYPERLINK(CONCATENATE("#metadata!", ADDRESS(INDEX($K$2:$K$1001,MATCH(ROWS($I$2:I139),$I$2:$I$1001,0),0), INDEX($P$1004:$S$1004,1,MATCH(COLUMNS($P$1006:R1006),$P$1006:$S$1006,0)))),"Fix")))</f>
        <v>0</v>
      </c>
      <c r="E139" s="3">
        <f>IF(OR(INDEX($J$2:$J$1001,MATCH(ROWS($I$2:I139),$I$2:$I$1001,0),1)&gt;=100000,INDEX($P$1005:$S$1005,1,MATCH(COLUMNS($P$1006:S1006),$P$1006:$S$1006,0))&gt;=100000), " ",IF(INDEX($P$2:$S$1001,MATCH(ROWS($I$2:I139),$I$2:$I$1001,0),MATCH(COLUMNS($P$1006:S1006),$P$1006:$S$1006,0)), HYPERLINK("#",""), HYPERLINK(CONCATENATE("#metadata!", ADDRESS(INDEX($K$2:$K$1001,MATCH(ROWS($I$2:I139),$I$2:$I$1001,0),0), INDEX($P$1004:$S$1004,1,MATCH(COLUMNS($P$1006:S1006),$P$1006:$S$1006,0)))),"Fix")))</f>
        <v>0</v>
      </c>
      <c r="I139">
        <v>0</v>
      </c>
      <c r="J139">
        <v>0</v>
      </c>
      <c r="K139">
        <v>0</v>
      </c>
      <c r="L139">
        <f>IF(M139,TRUE,AND(P139:S139))</f>
        <v>0</v>
      </c>
      <c r="M139">
        <f>COUNTBLANK(metadata!B139:E139)=COLUMNS(metadata!B139:E139)</f>
        <v>0</v>
      </c>
      <c r="N139">
        <v>0</v>
      </c>
      <c r="P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Q139">
        <f>AND(IF(metadata!C139="",FALSE,TRUE),exact(metadata!C139,"other"))</f>
        <v>0</v>
      </c>
      <c r="R139">
        <f>AND(IF(metadata!D139="",FALSE,TRUE),exact(metadata!D139,"metagenome"))</f>
        <v>0</v>
      </c>
      <c r="S139">
        <f>AND(IF(metadata!E139="",FALSE,TRUE),exact(metadata!E139,"256318"))</f>
        <v>0</v>
      </c>
    </row>
    <row r="140" spans="1:19">
      <c r="A140" s="4">
        <f>IF(B140=" "," ",HYPERLINK(CONCATENATE("#metadata!",ADDRESS(INDEX($K$2:$K$1001,MATCH(ROWS($I$2:I140),$I$2:$I$1001,0),0),1)),INDEX($N$2:$N$1001,MATCH(ROWS($I$2:I140),$I$2:$I$1001,0),0)))</f>
        <v>0</v>
      </c>
      <c r="B140" s="3">
        <f>IF(OR(INDEX($J$2:$J$1001,MATCH(ROWS($I$2:I140),$I$2:$I$1001,0),1)&gt;=100000,INDEX($P$1005:$S$1005,1,MATCH(COLUMNS($P$1006:P1006),$P$1006:$S$1006,0))&gt;=100000), " ",IF(INDEX($P$2:$S$1001,MATCH(ROWS($I$2:I140),$I$2:$I$1001,0),MATCH(COLUMNS($P$1006:P1006),$P$1006:$S$1006,0)), HYPERLINK("#",""), HYPERLINK(CONCATENATE("#metadata!", ADDRESS(INDEX($K$2:$K$1001,MATCH(ROWS($I$2:I140),$I$2:$I$1001,0),0), INDEX($P$1004:$S$1004,1,MATCH(COLUMNS($P$1006:P1006),$P$1006:$S$1006,0)))),"Fix")))</f>
        <v>0</v>
      </c>
      <c r="C140" s="3">
        <f>IF(OR(INDEX($J$2:$J$1001,MATCH(ROWS($I$2:I140),$I$2:$I$1001,0),1)&gt;=100000,INDEX($P$1005:$S$1005,1,MATCH(COLUMNS($P$1006:Q1006),$P$1006:$S$1006,0))&gt;=100000), " ",IF(INDEX($P$2:$S$1001,MATCH(ROWS($I$2:I140),$I$2:$I$1001,0),MATCH(COLUMNS($P$1006:Q1006),$P$1006:$S$1006,0)), HYPERLINK("#",""), HYPERLINK(CONCATENATE("#metadata!", ADDRESS(INDEX($K$2:$K$1001,MATCH(ROWS($I$2:I140),$I$2:$I$1001,0),0), INDEX($P$1004:$S$1004,1,MATCH(COLUMNS($P$1006:Q1006),$P$1006:$S$1006,0)))),"Fix")))</f>
        <v>0</v>
      </c>
      <c r="D140" s="3">
        <f>IF(OR(INDEX($J$2:$J$1001,MATCH(ROWS($I$2:I140),$I$2:$I$1001,0),1)&gt;=100000,INDEX($P$1005:$S$1005,1,MATCH(COLUMNS($P$1006:R1006),$P$1006:$S$1006,0))&gt;=100000), " ",IF(INDEX($P$2:$S$1001,MATCH(ROWS($I$2:I140),$I$2:$I$1001,0),MATCH(COLUMNS($P$1006:R1006),$P$1006:$S$1006,0)), HYPERLINK("#",""), HYPERLINK(CONCATENATE("#metadata!", ADDRESS(INDEX($K$2:$K$1001,MATCH(ROWS($I$2:I140),$I$2:$I$1001,0),0), INDEX($P$1004:$S$1004,1,MATCH(COLUMNS($P$1006:R1006),$P$1006:$S$1006,0)))),"Fix")))</f>
        <v>0</v>
      </c>
      <c r="E140" s="3">
        <f>IF(OR(INDEX($J$2:$J$1001,MATCH(ROWS($I$2:I140),$I$2:$I$1001,0),1)&gt;=100000,INDEX($P$1005:$S$1005,1,MATCH(COLUMNS($P$1006:S1006),$P$1006:$S$1006,0))&gt;=100000), " ",IF(INDEX($P$2:$S$1001,MATCH(ROWS($I$2:I140),$I$2:$I$1001,0),MATCH(COLUMNS($P$1006:S1006),$P$1006:$S$1006,0)), HYPERLINK("#",""), HYPERLINK(CONCATENATE("#metadata!", ADDRESS(INDEX($K$2:$K$1001,MATCH(ROWS($I$2:I140),$I$2:$I$1001,0),0), INDEX($P$1004:$S$1004,1,MATCH(COLUMNS($P$1006:S1006),$P$1006:$S$1006,0)))),"Fix")))</f>
        <v>0</v>
      </c>
      <c r="I140">
        <v>0</v>
      </c>
      <c r="J140">
        <v>0</v>
      </c>
      <c r="K140">
        <v>0</v>
      </c>
      <c r="L140">
        <f>IF(M140,TRUE,AND(P140:S140))</f>
        <v>0</v>
      </c>
      <c r="M140">
        <f>COUNTBLANK(metadata!B140:E140)=COLUMNS(metadata!B140:E140)</f>
        <v>0</v>
      </c>
      <c r="N140">
        <v>0</v>
      </c>
      <c r="P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Q140">
        <f>AND(IF(metadata!C140="",FALSE,TRUE),exact(metadata!C140,"other"))</f>
        <v>0</v>
      </c>
      <c r="R140">
        <f>AND(IF(metadata!D140="",FALSE,TRUE),exact(metadata!D140,"metagenome"))</f>
        <v>0</v>
      </c>
      <c r="S140">
        <f>AND(IF(metadata!E140="",FALSE,TRUE),exact(metadata!E140,"256318"))</f>
        <v>0</v>
      </c>
    </row>
    <row r="141" spans="1:19">
      <c r="A141" s="4">
        <f>IF(B141=" "," ",HYPERLINK(CONCATENATE("#metadata!",ADDRESS(INDEX($K$2:$K$1001,MATCH(ROWS($I$2:I141),$I$2:$I$1001,0),0),1)),INDEX($N$2:$N$1001,MATCH(ROWS($I$2:I141),$I$2:$I$1001,0),0)))</f>
        <v>0</v>
      </c>
      <c r="B141" s="3">
        <f>IF(OR(INDEX($J$2:$J$1001,MATCH(ROWS($I$2:I141),$I$2:$I$1001,0),1)&gt;=100000,INDEX($P$1005:$S$1005,1,MATCH(COLUMNS($P$1006:P1006),$P$1006:$S$1006,0))&gt;=100000), " ",IF(INDEX($P$2:$S$1001,MATCH(ROWS($I$2:I141),$I$2:$I$1001,0),MATCH(COLUMNS($P$1006:P1006),$P$1006:$S$1006,0)), HYPERLINK("#",""), HYPERLINK(CONCATENATE("#metadata!", ADDRESS(INDEX($K$2:$K$1001,MATCH(ROWS($I$2:I141),$I$2:$I$1001,0),0), INDEX($P$1004:$S$1004,1,MATCH(COLUMNS($P$1006:P1006),$P$1006:$S$1006,0)))),"Fix")))</f>
        <v>0</v>
      </c>
      <c r="C141" s="3">
        <f>IF(OR(INDEX($J$2:$J$1001,MATCH(ROWS($I$2:I141),$I$2:$I$1001,0),1)&gt;=100000,INDEX($P$1005:$S$1005,1,MATCH(COLUMNS($P$1006:Q1006),$P$1006:$S$1006,0))&gt;=100000), " ",IF(INDEX($P$2:$S$1001,MATCH(ROWS($I$2:I141),$I$2:$I$1001,0),MATCH(COLUMNS($P$1006:Q1006),$P$1006:$S$1006,0)), HYPERLINK("#",""), HYPERLINK(CONCATENATE("#metadata!", ADDRESS(INDEX($K$2:$K$1001,MATCH(ROWS($I$2:I141),$I$2:$I$1001,0),0), INDEX($P$1004:$S$1004,1,MATCH(COLUMNS($P$1006:Q1006),$P$1006:$S$1006,0)))),"Fix")))</f>
        <v>0</v>
      </c>
      <c r="D141" s="3">
        <f>IF(OR(INDEX($J$2:$J$1001,MATCH(ROWS($I$2:I141),$I$2:$I$1001,0),1)&gt;=100000,INDEX($P$1005:$S$1005,1,MATCH(COLUMNS($P$1006:R1006),$P$1006:$S$1006,0))&gt;=100000), " ",IF(INDEX($P$2:$S$1001,MATCH(ROWS($I$2:I141),$I$2:$I$1001,0),MATCH(COLUMNS($P$1006:R1006),$P$1006:$S$1006,0)), HYPERLINK("#",""), HYPERLINK(CONCATENATE("#metadata!", ADDRESS(INDEX($K$2:$K$1001,MATCH(ROWS($I$2:I141),$I$2:$I$1001,0),0), INDEX($P$1004:$S$1004,1,MATCH(COLUMNS($P$1006:R1006),$P$1006:$S$1006,0)))),"Fix")))</f>
        <v>0</v>
      </c>
      <c r="E141" s="3">
        <f>IF(OR(INDEX($J$2:$J$1001,MATCH(ROWS($I$2:I141),$I$2:$I$1001,0),1)&gt;=100000,INDEX($P$1005:$S$1005,1,MATCH(COLUMNS($P$1006:S1006),$P$1006:$S$1006,0))&gt;=100000), " ",IF(INDEX($P$2:$S$1001,MATCH(ROWS($I$2:I141),$I$2:$I$1001,0),MATCH(COLUMNS($P$1006:S1006),$P$1006:$S$1006,0)), HYPERLINK("#",""), HYPERLINK(CONCATENATE("#metadata!", ADDRESS(INDEX($K$2:$K$1001,MATCH(ROWS($I$2:I141),$I$2:$I$1001,0),0), INDEX($P$1004:$S$1004,1,MATCH(COLUMNS($P$1006:S1006),$P$1006:$S$1006,0)))),"Fix")))</f>
        <v>0</v>
      </c>
      <c r="I141">
        <v>0</v>
      </c>
      <c r="J141">
        <v>0</v>
      </c>
      <c r="K141">
        <v>0</v>
      </c>
      <c r="L141">
        <f>IF(M141,TRUE,AND(P141:S141))</f>
        <v>0</v>
      </c>
      <c r="M141">
        <f>COUNTBLANK(metadata!B141:E141)=COLUMNS(metadata!B141:E141)</f>
        <v>0</v>
      </c>
      <c r="N141">
        <v>0</v>
      </c>
      <c r="P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Q141">
        <f>AND(IF(metadata!C141="",FALSE,TRUE),exact(metadata!C141,"other"))</f>
        <v>0</v>
      </c>
      <c r="R141">
        <f>AND(IF(metadata!D141="",FALSE,TRUE),exact(metadata!D141,"metagenome"))</f>
        <v>0</v>
      </c>
      <c r="S141">
        <f>AND(IF(metadata!E141="",FALSE,TRUE),exact(metadata!E141,"256318"))</f>
        <v>0</v>
      </c>
    </row>
    <row r="142" spans="1:19">
      <c r="A142" s="4">
        <f>IF(B142=" "," ",HYPERLINK(CONCATENATE("#metadata!",ADDRESS(INDEX($K$2:$K$1001,MATCH(ROWS($I$2:I142),$I$2:$I$1001,0),0),1)),INDEX($N$2:$N$1001,MATCH(ROWS($I$2:I142),$I$2:$I$1001,0),0)))</f>
        <v>0</v>
      </c>
      <c r="B142" s="3">
        <f>IF(OR(INDEX($J$2:$J$1001,MATCH(ROWS($I$2:I142),$I$2:$I$1001,0),1)&gt;=100000,INDEX($P$1005:$S$1005,1,MATCH(COLUMNS($P$1006:P1006),$P$1006:$S$1006,0))&gt;=100000), " ",IF(INDEX($P$2:$S$1001,MATCH(ROWS($I$2:I142),$I$2:$I$1001,0),MATCH(COLUMNS($P$1006:P1006),$P$1006:$S$1006,0)), HYPERLINK("#",""), HYPERLINK(CONCATENATE("#metadata!", ADDRESS(INDEX($K$2:$K$1001,MATCH(ROWS($I$2:I142),$I$2:$I$1001,0),0), INDEX($P$1004:$S$1004,1,MATCH(COLUMNS($P$1006:P1006),$P$1006:$S$1006,0)))),"Fix")))</f>
        <v>0</v>
      </c>
      <c r="C142" s="3">
        <f>IF(OR(INDEX($J$2:$J$1001,MATCH(ROWS($I$2:I142),$I$2:$I$1001,0),1)&gt;=100000,INDEX($P$1005:$S$1005,1,MATCH(COLUMNS($P$1006:Q1006),$P$1006:$S$1006,0))&gt;=100000), " ",IF(INDEX($P$2:$S$1001,MATCH(ROWS($I$2:I142),$I$2:$I$1001,0),MATCH(COLUMNS($P$1006:Q1006),$P$1006:$S$1006,0)), HYPERLINK("#",""), HYPERLINK(CONCATENATE("#metadata!", ADDRESS(INDEX($K$2:$K$1001,MATCH(ROWS($I$2:I142),$I$2:$I$1001,0),0), INDEX($P$1004:$S$1004,1,MATCH(COLUMNS($P$1006:Q1006),$P$1006:$S$1006,0)))),"Fix")))</f>
        <v>0</v>
      </c>
      <c r="D142" s="3">
        <f>IF(OR(INDEX($J$2:$J$1001,MATCH(ROWS($I$2:I142),$I$2:$I$1001,0),1)&gt;=100000,INDEX($P$1005:$S$1005,1,MATCH(COLUMNS($P$1006:R1006),$P$1006:$S$1006,0))&gt;=100000), " ",IF(INDEX($P$2:$S$1001,MATCH(ROWS($I$2:I142),$I$2:$I$1001,0),MATCH(COLUMNS($P$1006:R1006),$P$1006:$S$1006,0)), HYPERLINK("#",""), HYPERLINK(CONCATENATE("#metadata!", ADDRESS(INDEX($K$2:$K$1001,MATCH(ROWS($I$2:I142),$I$2:$I$1001,0),0), INDEX($P$1004:$S$1004,1,MATCH(COLUMNS($P$1006:R1006),$P$1006:$S$1006,0)))),"Fix")))</f>
        <v>0</v>
      </c>
      <c r="E142" s="3">
        <f>IF(OR(INDEX($J$2:$J$1001,MATCH(ROWS($I$2:I142),$I$2:$I$1001,0),1)&gt;=100000,INDEX($P$1005:$S$1005,1,MATCH(COLUMNS($P$1006:S1006),$P$1006:$S$1006,0))&gt;=100000), " ",IF(INDEX($P$2:$S$1001,MATCH(ROWS($I$2:I142),$I$2:$I$1001,0),MATCH(COLUMNS($P$1006:S1006),$P$1006:$S$1006,0)), HYPERLINK("#",""), HYPERLINK(CONCATENATE("#metadata!", ADDRESS(INDEX($K$2:$K$1001,MATCH(ROWS($I$2:I142),$I$2:$I$1001,0),0), INDEX($P$1004:$S$1004,1,MATCH(COLUMNS($P$1006:S1006),$P$1006:$S$1006,0)))),"Fix")))</f>
        <v>0</v>
      </c>
      <c r="I142">
        <v>0</v>
      </c>
      <c r="J142">
        <v>0</v>
      </c>
      <c r="K142">
        <v>0</v>
      </c>
      <c r="L142">
        <f>IF(M142,TRUE,AND(P142:S142))</f>
        <v>0</v>
      </c>
      <c r="M142">
        <f>COUNTBLANK(metadata!B142:E142)=COLUMNS(metadata!B142:E142)</f>
        <v>0</v>
      </c>
      <c r="N142">
        <v>0</v>
      </c>
      <c r="P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Q142">
        <f>AND(IF(metadata!C142="",FALSE,TRUE),exact(metadata!C142,"other"))</f>
        <v>0</v>
      </c>
      <c r="R142">
        <f>AND(IF(metadata!D142="",FALSE,TRUE),exact(metadata!D142,"metagenome"))</f>
        <v>0</v>
      </c>
      <c r="S142">
        <f>AND(IF(metadata!E142="",FALSE,TRUE),exact(metadata!E142,"256318"))</f>
        <v>0</v>
      </c>
    </row>
    <row r="143" spans="1:19">
      <c r="A143" s="4">
        <f>IF(B143=" "," ",HYPERLINK(CONCATENATE("#metadata!",ADDRESS(INDEX($K$2:$K$1001,MATCH(ROWS($I$2:I143),$I$2:$I$1001,0),0),1)),INDEX($N$2:$N$1001,MATCH(ROWS($I$2:I143),$I$2:$I$1001,0),0)))</f>
        <v>0</v>
      </c>
      <c r="B143" s="3">
        <f>IF(OR(INDEX($J$2:$J$1001,MATCH(ROWS($I$2:I143),$I$2:$I$1001,0),1)&gt;=100000,INDEX($P$1005:$S$1005,1,MATCH(COLUMNS($P$1006:P1006),$P$1006:$S$1006,0))&gt;=100000), " ",IF(INDEX($P$2:$S$1001,MATCH(ROWS($I$2:I143),$I$2:$I$1001,0),MATCH(COLUMNS($P$1006:P1006),$P$1006:$S$1006,0)), HYPERLINK("#",""), HYPERLINK(CONCATENATE("#metadata!", ADDRESS(INDEX($K$2:$K$1001,MATCH(ROWS($I$2:I143),$I$2:$I$1001,0),0), INDEX($P$1004:$S$1004,1,MATCH(COLUMNS($P$1006:P1006),$P$1006:$S$1006,0)))),"Fix")))</f>
        <v>0</v>
      </c>
      <c r="C143" s="3">
        <f>IF(OR(INDEX($J$2:$J$1001,MATCH(ROWS($I$2:I143),$I$2:$I$1001,0),1)&gt;=100000,INDEX($P$1005:$S$1005,1,MATCH(COLUMNS($P$1006:Q1006),$P$1006:$S$1006,0))&gt;=100000), " ",IF(INDEX($P$2:$S$1001,MATCH(ROWS($I$2:I143),$I$2:$I$1001,0),MATCH(COLUMNS($P$1006:Q1006),$P$1006:$S$1006,0)), HYPERLINK("#",""), HYPERLINK(CONCATENATE("#metadata!", ADDRESS(INDEX($K$2:$K$1001,MATCH(ROWS($I$2:I143),$I$2:$I$1001,0),0), INDEX($P$1004:$S$1004,1,MATCH(COLUMNS($P$1006:Q1006),$P$1006:$S$1006,0)))),"Fix")))</f>
        <v>0</v>
      </c>
      <c r="D143" s="3">
        <f>IF(OR(INDEX($J$2:$J$1001,MATCH(ROWS($I$2:I143),$I$2:$I$1001,0),1)&gt;=100000,INDEX($P$1005:$S$1005,1,MATCH(COLUMNS($P$1006:R1006),$P$1006:$S$1006,0))&gt;=100000), " ",IF(INDEX($P$2:$S$1001,MATCH(ROWS($I$2:I143),$I$2:$I$1001,0),MATCH(COLUMNS($P$1006:R1006),$P$1006:$S$1006,0)), HYPERLINK("#",""), HYPERLINK(CONCATENATE("#metadata!", ADDRESS(INDEX($K$2:$K$1001,MATCH(ROWS($I$2:I143),$I$2:$I$1001,0),0), INDEX($P$1004:$S$1004,1,MATCH(COLUMNS($P$1006:R1006),$P$1006:$S$1006,0)))),"Fix")))</f>
        <v>0</v>
      </c>
      <c r="E143" s="3">
        <f>IF(OR(INDEX($J$2:$J$1001,MATCH(ROWS($I$2:I143),$I$2:$I$1001,0),1)&gt;=100000,INDEX($P$1005:$S$1005,1,MATCH(COLUMNS($P$1006:S1006),$P$1006:$S$1006,0))&gt;=100000), " ",IF(INDEX($P$2:$S$1001,MATCH(ROWS($I$2:I143),$I$2:$I$1001,0),MATCH(COLUMNS($P$1006:S1006),$P$1006:$S$1006,0)), HYPERLINK("#",""), HYPERLINK(CONCATENATE("#metadata!", ADDRESS(INDEX($K$2:$K$1001,MATCH(ROWS($I$2:I143),$I$2:$I$1001,0),0), INDEX($P$1004:$S$1004,1,MATCH(COLUMNS($P$1006:S1006),$P$1006:$S$1006,0)))),"Fix")))</f>
        <v>0</v>
      </c>
      <c r="I143">
        <v>0</v>
      </c>
      <c r="J143">
        <v>0</v>
      </c>
      <c r="K143">
        <v>0</v>
      </c>
      <c r="L143">
        <f>IF(M143,TRUE,AND(P143:S143))</f>
        <v>0</v>
      </c>
      <c r="M143">
        <f>COUNTBLANK(metadata!B143:E143)=COLUMNS(metadata!B143:E143)</f>
        <v>0</v>
      </c>
      <c r="N143">
        <v>0</v>
      </c>
      <c r="P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Q143">
        <f>AND(IF(metadata!C143="",FALSE,TRUE),exact(metadata!C143,"other"))</f>
        <v>0</v>
      </c>
      <c r="R143">
        <f>AND(IF(metadata!D143="",FALSE,TRUE),exact(metadata!D143,"metagenome"))</f>
        <v>0</v>
      </c>
      <c r="S143">
        <f>AND(IF(metadata!E143="",FALSE,TRUE),exact(metadata!E143,"256318"))</f>
        <v>0</v>
      </c>
    </row>
    <row r="144" spans="1:19">
      <c r="A144" s="4">
        <f>IF(B144=" "," ",HYPERLINK(CONCATENATE("#metadata!",ADDRESS(INDEX($K$2:$K$1001,MATCH(ROWS($I$2:I144),$I$2:$I$1001,0),0),1)),INDEX($N$2:$N$1001,MATCH(ROWS($I$2:I144),$I$2:$I$1001,0),0)))</f>
        <v>0</v>
      </c>
      <c r="B144" s="3">
        <f>IF(OR(INDEX($J$2:$J$1001,MATCH(ROWS($I$2:I144),$I$2:$I$1001,0),1)&gt;=100000,INDEX($P$1005:$S$1005,1,MATCH(COLUMNS($P$1006:P1006),$P$1006:$S$1006,0))&gt;=100000), " ",IF(INDEX($P$2:$S$1001,MATCH(ROWS($I$2:I144),$I$2:$I$1001,0),MATCH(COLUMNS($P$1006:P1006),$P$1006:$S$1006,0)), HYPERLINK("#",""), HYPERLINK(CONCATENATE("#metadata!", ADDRESS(INDEX($K$2:$K$1001,MATCH(ROWS($I$2:I144),$I$2:$I$1001,0),0), INDEX($P$1004:$S$1004,1,MATCH(COLUMNS($P$1006:P1006),$P$1006:$S$1006,0)))),"Fix")))</f>
        <v>0</v>
      </c>
      <c r="C144" s="3">
        <f>IF(OR(INDEX($J$2:$J$1001,MATCH(ROWS($I$2:I144),$I$2:$I$1001,0),1)&gt;=100000,INDEX($P$1005:$S$1005,1,MATCH(COLUMNS($P$1006:Q1006),$P$1006:$S$1006,0))&gt;=100000), " ",IF(INDEX($P$2:$S$1001,MATCH(ROWS($I$2:I144),$I$2:$I$1001,0),MATCH(COLUMNS($P$1006:Q1006),$P$1006:$S$1006,0)), HYPERLINK("#",""), HYPERLINK(CONCATENATE("#metadata!", ADDRESS(INDEX($K$2:$K$1001,MATCH(ROWS($I$2:I144),$I$2:$I$1001,0),0), INDEX($P$1004:$S$1004,1,MATCH(COLUMNS($P$1006:Q1006),$P$1006:$S$1006,0)))),"Fix")))</f>
        <v>0</v>
      </c>
      <c r="D144" s="3">
        <f>IF(OR(INDEX($J$2:$J$1001,MATCH(ROWS($I$2:I144),$I$2:$I$1001,0),1)&gt;=100000,INDEX($P$1005:$S$1005,1,MATCH(COLUMNS($P$1006:R1006),$P$1006:$S$1006,0))&gt;=100000), " ",IF(INDEX($P$2:$S$1001,MATCH(ROWS($I$2:I144),$I$2:$I$1001,0),MATCH(COLUMNS($P$1006:R1006),$P$1006:$S$1006,0)), HYPERLINK("#",""), HYPERLINK(CONCATENATE("#metadata!", ADDRESS(INDEX($K$2:$K$1001,MATCH(ROWS($I$2:I144),$I$2:$I$1001,0),0), INDEX($P$1004:$S$1004,1,MATCH(COLUMNS($P$1006:R1006),$P$1006:$S$1006,0)))),"Fix")))</f>
        <v>0</v>
      </c>
      <c r="E144" s="3">
        <f>IF(OR(INDEX($J$2:$J$1001,MATCH(ROWS($I$2:I144),$I$2:$I$1001,0),1)&gt;=100000,INDEX($P$1005:$S$1005,1,MATCH(COLUMNS($P$1006:S1006),$P$1006:$S$1006,0))&gt;=100000), " ",IF(INDEX($P$2:$S$1001,MATCH(ROWS($I$2:I144),$I$2:$I$1001,0),MATCH(COLUMNS($P$1006:S1006),$P$1006:$S$1006,0)), HYPERLINK("#",""), HYPERLINK(CONCATENATE("#metadata!", ADDRESS(INDEX($K$2:$K$1001,MATCH(ROWS($I$2:I144),$I$2:$I$1001,0),0), INDEX($P$1004:$S$1004,1,MATCH(COLUMNS($P$1006:S1006),$P$1006:$S$1006,0)))),"Fix")))</f>
        <v>0</v>
      </c>
      <c r="I144">
        <v>0</v>
      </c>
      <c r="J144">
        <v>0</v>
      </c>
      <c r="K144">
        <v>0</v>
      </c>
      <c r="L144">
        <f>IF(M144,TRUE,AND(P144:S144))</f>
        <v>0</v>
      </c>
      <c r="M144">
        <f>COUNTBLANK(metadata!B144:E144)=COLUMNS(metadata!B144:E144)</f>
        <v>0</v>
      </c>
      <c r="N144">
        <v>0</v>
      </c>
      <c r="P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Q144">
        <f>AND(IF(metadata!C144="",FALSE,TRUE),exact(metadata!C144,"other"))</f>
        <v>0</v>
      </c>
      <c r="R144">
        <f>AND(IF(metadata!D144="",FALSE,TRUE),exact(metadata!D144,"metagenome"))</f>
        <v>0</v>
      </c>
      <c r="S144">
        <f>AND(IF(metadata!E144="",FALSE,TRUE),exact(metadata!E144,"256318"))</f>
        <v>0</v>
      </c>
    </row>
    <row r="145" spans="1:19">
      <c r="A145" s="4">
        <f>IF(B145=" "," ",HYPERLINK(CONCATENATE("#metadata!",ADDRESS(INDEX($K$2:$K$1001,MATCH(ROWS($I$2:I145),$I$2:$I$1001,0),0),1)),INDEX($N$2:$N$1001,MATCH(ROWS($I$2:I145),$I$2:$I$1001,0),0)))</f>
        <v>0</v>
      </c>
      <c r="B145" s="3">
        <f>IF(OR(INDEX($J$2:$J$1001,MATCH(ROWS($I$2:I145),$I$2:$I$1001,0),1)&gt;=100000,INDEX($P$1005:$S$1005,1,MATCH(COLUMNS($P$1006:P1006),$P$1006:$S$1006,0))&gt;=100000), " ",IF(INDEX($P$2:$S$1001,MATCH(ROWS($I$2:I145),$I$2:$I$1001,0),MATCH(COLUMNS($P$1006:P1006),$P$1006:$S$1006,0)), HYPERLINK("#",""), HYPERLINK(CONCATENATE("#metadata!", ADDRESS(INDEX($K$2:$K$1001,MATCH(ROWS($I$2:I145),$I$2:$I$1001,0),0), INDEX($P$1004:$S$1004,1,MATCH(COLUMNS($P$1006:P1006),$P$1006:$S$1006,0)))),"Fix")))</f>
        <v>0</v>
      </c>
      <c r="C145" s="3">
        <f>IF(OR(INDEX($J$2:$J$1001,MATCH(ROWS($I$2:I145),$I$2:$I$1001,0),1)&gt;=100000,INDEX($P$1005:$S$1005,1,MATCH(COLUMNS($P$1006:Q1006),$P$1006:$S$1006,0))&gt;=100000), " ",IF(INDEX($P$2:$S$1001,MATCH(ROWS($I$2:I145),$I$2:$I$1001,0),MATCH(COLUMNS($P$1006:Q1006),$P$1006:$S$1006,0)), HYPERLINK("#",""), HYPERLINK(CONCATENATE("#metadata!", ADDRESS(INDEX($K$2:$K$1001,MATCH(ROWS($I$2:I145),$I$2:$I$1001,0),0), INDEX($P$1004:$S$1004,1,MATCH(COLUMNS($P$1006:Q1006),$P$1006:$S$1006,0)))),"Fix")))</f>
        <v>0</v>
      </c>
      <c r="D145" s="3">
        <f>IF(OR(INDEX($J$2:$J$1001,MATCH(ROWS($I$2:I145),$I$2:$I$1001,0),1)&gt;=100000,INDEX($P$1005:$S$1005,1,MATCH(COLUMNS($P$1006:R1006),$P$1006:$S$1006,0))&gt;=100000), " ",IF(INDEX($P$2:$S$1001,MATCH(ROWS($I$2:I145),$I$2:$I$1001,0),MATCH(COLUMNS($P$1006:R1006),$P$1006:$S$1006,0)), HYPERLINK("#",""), HYPERLINK(CONCATENATE("#metadata!", ADDRESS(INDEX($K$2:$K$1001,MATCH(ROWS($I$2:I145),$I$2:$I$1001,0),0), INDEX($P$1004:$S$1004,1,MATCH(COLUMNS($P$1006:R1006),$P$1006:$S$1006,0)))),"Fix")))</f>
        <v>0</v>
      </c>
      <c r="E145" s="3">
        <f>IF(OR(INDEX($J$2:$J$1001,MATCH(ROWS($I$2:I145),$I$2:$I$1001,0),1)&gt;=100000,INDEX($P$1005:$S$1005,1,MATCH(COLUMNS($P$1006:S1006),$P$1006:$S$1006,0))&gt;=100000), " ",IF(INDEX($P$2:$S$1001,MATCH(ROWS($I$2:I145),$I$2:$I$1001,0),MATCH(COLUMNS($P$1006:S1006),$P$1006:$S$1006,0)), HYPERLINK("#",""), HYPERLINK(CONCATENATE("#metadata!", ADDRESS(INDEX($K$2:$K$1001,MATCH(ROWS($I$2:I145),$I$2:$I$1001,0),0), INDEX($P$1004:$S$1004,1,MATCH(COLUMNS($P$1006:S1006),$P$1006:$S$1006,0)))),"Fix")))</f>
        <v>0</v>
      </c>
      <c r="I145">
        <v>0</v>
      </c>
      <c r="J145">
        <v>0</v>
      </c>
      <c r="K145">
        <v>0</v>
      </c>
      <c r="L145">
        <f>IF(M145,TRUE,AND(P145:S145))</f>
        <v>0</v>
      </c>
      <c r="M145">
        <f>COUNTBLANK(metadata!B145:E145)=COLUMNS(metadata!B145:E145)</f>
        <v>0</v>
      </c>
      <c r="N145">
        <v>0</v>
      </c>
      <c r="P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Q145">
        <f>AND(IF(metadata!C145="",FALSE,TRUE),exact(metadata!C145,"other"))</f>
        <v>0</v>
      </c>
      <c r="R145">
        <f>AND(IF(metadata!D145="",FALSE,TRUE),exact(metadata!D145,"metagenome"))</f>
        <v>0</v>
      </c>
      <c r="S145">
        <f>AND(IF(metadata!E145="",FALSE,TRUE),exact(metadata!E145,"256318"))</f>
        <v>0</v>
      </c>
    </row>
    <row r="146" spans="1:19">
      <c r="A146" s="4">
        <f>IF(B146=" "," ",HYPERLINK(CONCATENATE("#metadata!",ADDRESS(INDEX($K$2:$K$1001,MATCH(ROWS($I$2:I146),$I$2:$I$1001,0),0),1)),INDEX($N$2:$N$1001,MATCH(ROWS($I$2:I146),$I$2:$I$1001,0),0)))</f>
        <v>0</v>
      </c>
      <c r="B146" s="3">
        <f>IF(OR(INDEX($J$2:$J$1001,MATCH(ROWS($I$2:I146),$I$2:$I$1001,0),1)&gt;=100000,INDEX($P$1005:$S$1005,1,MATCH(COLUMNS($P$1006:P1006),$P$1006:$S$1006,0))&gt;=100000), " ",IF(INDEX($P$2:$S$1001,MATCH(ROWS($I$2:I146),$I$2:$I$1001,0),MATCH(COLUMNS($P$1006:P1006),$P$1006:$S$1006,0)), HYPERLINK("#",""), HYPERLINK(CONCATENATE("#metadata!", ADDRESS(INDEX($K$2:$K$1001,MATCH(ROWS($I$2:I146),$I$2:$I$1001,0),0), INDEX($P$1004:$S$1004,1,MATCH(COLUMNS($P$1006:P1006),$P$1006:$S$1006,0)))),"Fix")))</f>
        <v>0</v>
      </c>
      <c r="C146" s="3">
        <f>IF(OR(INDEX($J$2:$J$1001,MATCH(ROWS($I$2:I146),$I$2:$I$1001,0),1)&gt;=100000,INDEX($P$1005:$S$1005,1,MATCH(COLUMNS($P$1006:Q1006),$P$1006:$S$1006,0))&gt;=100000), " ",IF(INDEX($P$2:$S$1001,MATCH(ROWS($I$2:I146),$I$2:$I$1001,0),MATCH(COLUMNS($P$1006:Q1006),$P$1006:$S$1006,0)), HYPERLINK("#",""), HYPERLINK(CONCATENATE("#metadata!", ADDRESS(INDEX($K$2:$K$1001,MATCH(ROWS($I$2:I146),$I$2:$I$1001,0),0), INDEX($P$1004:$S$1004,1,MATCH(COLUMNS($P$1006:Q1006),$P$1006:$S$1006,0)))),"Fix")))</f>
        <v>0</v>
      </c>
      <c r="D146" s="3">
        <f>IF(OR(INDEX($J$2:$J$1001,MATCH(ROWS($I$2:I146),$I$2:$I$1001,0),1)&gt;=100000,INDEX($P$1005:$S$1005,1,MATCH(COLUMNS($P$1006:R1006),$P$1006:$S$1006,0))&gt;=100000), " ",IF(INDEX($P$2:$S$1001,MATCH(ROWS($I$2:I146),$I$2:$I$1001,0),MATCH(COLUMNS($P$1006:R1006),$P$1006:$S$1006,0)), HYPERLINK("#",""), HYPERLINK(CONCATENATE("#metadata!", ADDRESS(INDEX($K$2:$K$1001,MATCH(ROWS($I$2:I146),$I$2:$I$1001,0),0), INDEX($P$1004:$S$1004,1,MATCH(COLUMNS($P$1006:R1006),$P$1006:$S$1006,0)))),"Fix")))</f>
        <v>0</v>
      </c>
      <c r="E146" s="3">
        <f>IF(OR(INDEX($J$2:$J$1001,MATCH(ROWS($I$2:I146),$I$2:$I$1001,0),1)&gt;=100000,INDEX($P$1005:$S$1005,1,MATCH(COLUMNS($P$1006:S1006),$P$1006:$S$1006,0))&gt;=100000), " ",IF(INDEX($P$2:$S$1001,MATCH(ROWS($I$2:I146),$I$2:$I$1001,0),MATCH(COLUMNS($P$1006:S1006),$P$1006:$S$1006,0)), HYPERLINK("#",""), HYPERLINK(CONCATENATE("#metadata!", ADDRESS(INDEX($K$2:$K$1001,MATCH(ROWS($I$2:I146),$I$2:$I$1001,0),0), INDEX($P$1004:$S$1004,1,MATCH(COLUMNS($P$1006:S1006),$P$1006:$S$1006,0)))),"Fix")))</f>
        <v>0</v>
      </c>
      <c r="I146">
        <v>0</v>
      </c>
      <c r="J146">
        <v>0</v>
      </c>
      <c r="K146">
        <v>0</v>
      </c>
      <c r="L146">
        <f>IF(M146,TRUE,AND(P146:S146))</f>
        <v>0</v>
      </c>
      <c r="M146">
        <f>COUNTBLANK(metadata!B146:E146)=COLUMNS(metadata!B146:E146)</f>
        <v>0</v>
      </c>
      <c r="N146">
        <v>0</v>
      </c>
      <c r="P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Q146">
        <f>AND(IF(metadata!C146="",FALSE,TRUE),exact(metadata!C146,"other"))</f>
        <v>0</v>
      </c>
      <c r="R146">
        <f>AND(IF(metadata!D146="",FALSE,TRUE),exact(metadata!D146,"metagenome"))</f>
        <v>0</v>
      </c>
      <c r="S146">
        <f>AND(IF(metadata!E146="",FALSE,TRUE),exact(metadata!E146,"256318"))</f>
        <v>0</v>
      </c>
    </row>
    <row r="147" spans="1:19">
      <c r="A147" s="4">
        <f>IF(B147=" "," ",HYPERLINK(CONCATENATE("#metadata!",ADDRESS(INDEX($K$2:$K$1001,MATCH(ROWS($I$2:I147),$I$2:$I$1001,0),0),1)),INDEX($N$2:$N$1001,MATCH(ROWS($I$2:I147),$I$2:$I$1001,0),0)))</f>
        <v>0</v>
      </c>
      <c r="B147" s="3">
        <f>IF(OR(INDEX($J$2:$J$1001,MATCH(ROWS($I$2:I147),$I$2:$I$1001,0),1)&gt;=100000,INDEX($P$1005:$S$1005,1,MATCH(COLUMNS($P$1006:P1006),$P$1006:$S$1006,0))&gt;=100000), " ",IF(INDEX($P$2:$S$1001,MATCH(ROWS($I$2:I147),$I$2:$I$1001,0),MATCH(COLUMNS($P$1006:P1006),$P$1006:$S$1006,0)), HYPERLINK("#",""), HYPERLINK(CONCATENATE("#metadata!", ADDRESS(INDEX($K$2:$K$1001,MATCH(ROWS($I$2:I147),$I$2:$I$1001,0),0), INDEX($P$1004:$S$1004,1,MATCH(COLUMNS($P$1006:P1006),$P$1006:$S$1006,0)))),"Fix")))</f>
        <v>0</v>
      </c>
      <c r="C147" s="3">
        <f>IF(OR(INDEX($J$2:$J$1001,MATCH(ROWS($I$2:I147),$I$2:$I$1001,0),1)&gt;=100000,INDEX($P$1005:$S$1005,1,MATCH(COLUMNS($P$1006:Q1006),$P$1006:$S$1006,0))&gt;=100000), " ",IF(INDEX($P$2:$S$1001,MATCH(ROWS($I$2:I147),$I$2:$I$1001,0),MATCH(COLUMNS($P$1006:Q1006),$P$1006:$S$1006,0)), HYPERLINK("#",""), HYPERLINK(CONCATENATE("#metadata!", ADDRESS(INDEX($K$2:$K$1001,MATCH(ROWS($I$2:I147),$I$2:$I$1001,0),0), INDEX($P$1004:$S$1004,1,MATCH(COLUMNS($P$1006:Q1006),$P$1006:$S$1006,0)))),"Fix")))</f>
        <v>0</v>
      </c>
      <c r="D147" s="3">
        <f>IF(OR(INDEX($J$2:$J$1001,MATCH(ROWS($I$2:I147),$I$2:$I$1001,0),1)&gt;=100000,INDEX($P$1005:$S$1005,1,MATCH(COLUMNS($P$1006:R1006),$P$1006:$S$1006,0))&gt;=100000), " ",IF(INDEX($P$2:$S$1001,MATCH(ROWS($I$2:I147),$I$2:$I$1001,0),MATCH(COLUMNS($P$1006:R1006),$P$1006:$S$1006,0)), HYPERLINK("#",""), HYPERLINK(CONCATENATE("#metadata!", ADDRESS(INDEX($K$2:$K$1001,MATCH(ROWS($I$2:I147),$I$2:$I$1001,0),0), INDEX($P$1004:$S$1004,1,MATCH(COLUMNS($P$1006:R1006),$P$1006:$S$1006,0)))),"Fix")))</f>
        <v>0</v>
      </c>
      <c r="E147" s="3">
        <f>IF(OR(INDEX($J$2:$J$1001,MATCH(ROWS($I$2:I147),$I$2:$I$1001,0),1)&gt;=100000,INDEX($P$1005:$S$1005,1,MATCH(COLUMNS($P$1006:S1006),$P$1006:$S$1006,0))&gt;=100000), " ",IF(INDEX($P$2:$S$1001,MATCH(ROWS($I$2:I147),$I$2:$I$1001,0),MATCH(COLUMNS($P$1006:S1006),$P$1006:$S$1006,0)), HYPERLINK("#",""), HYPERLINK(CONCATENATE("#metadata!", ADDRESS(INDEX($K$2:$K$1001,MATCH(ROWS($I$2:I147),$I$2:$I$1001,0),0), INDEX($P$1004:$S$1004,1,MATCH(COLUMNS($P$1006:S1006),$P$1006:$S$1006,0)))),"Fix")))</f>
        <v>0</v>
      </c>
      <c r="I147">
        <v>0</v>
      </c>
      <c r="J147">
        <v>0</v>
      </c>
      <c r="K147">
        <v>0</v>
      </c>
      <c r="L147">
        <f>IF(M147,TRUE,AND(P147:S147))</f>
        <v>0</v>
      </c>
      <c r="M147">
        <f>COUNTBLANK(metadata!B147:E147)=COLUMNS(metadata!B147:E147)</f>
        <v>0</v>
      </c>
      <c r="N147">
        <v>0</v>
      </c>
      <c r="P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Q147">
        <f>AND(IF(metadata!C147="",FALSE,TRUE),exact(metadata!C147,"other"))</f>
        <v>0</v>
      </c>
      <c r="R147">
        <f>AND(IF(metadata!D147="",FALSE,TRUE),exact(metadata!D147,"metagenome"))</f>
        <v>0</v>
      </c>
      <c r="S147">
        <f>AND(IF(metadata!E147="",FALSE,TRUE),exact(metadata!E147,"256318"))</f>
        <v>0</v>
      </c>
    </row>
    <row r="148" spans="1:19">
      <c r="A148" s="4">
        <f>IF(B148=" "," ",HYPERLINK(CONCATENATE("#metadata!",ADDRESS(INDEX($K$2:$K$1001,MATCH(ROWS($I$2:I148),$I$2:$I$1001,0),0),1)),INDEX($N$2:$N$1001,MATCH(ROWS($I$2:I148),$I$2:$I$1001,0),0)))</f>
        <v>0</v>
      </c>
      <c r="B148" s="3">
        <f>IF(OR(INDEX($J$2:$J$1001,MATCH(ROWS($I$2:I148),$I$2:$I$1001,0),1)&gt;=100000,INDEX($P$1005:$S$1005,1,MATCH(COLUMNS($P$1006:P1006),$P$1006:$S$1006,0))&gt;=100000), " ",IF(INDEX($P$2:$S$1001,MATCH(ROWS($I$2:I148),$I$2:$I$1001,0),MATCH(COLUMNS($P$1006:P1006),$P$1006:$S$1006,0)), HYPERLINK("#",""), HYPERLINK(CONCATENATE("#metadata!", ADDRESS(INDEX($K$2:$K$1001,MATCH(ROWS($I$2:I148),$I$2:$I$1001,0),0), INDEX($P$1004:$S$1004,1,MATCH(COLUMNS($P$1006:P1006),$P$1006:$S$1006,0)))),"Fix")))</f>
        <v>0</v>
      </c>
      <c r="C148" s="3">
        <f>IF(OR(INDEX($J$2:$J$1001,MATCH(ROWS($I$2:I148),$I$2:$I$1001,0),1)&gt;=100000,INDEX($P$1005:$S$1005,1,MATCH(COLUMNS($P$1006:Q1006),$P$1006:$S$1006,0))&gt;=100000), " ",IF(INDEX($P$2:$S$1001,MATCH(ROWS($I$2:I148),$I$2:$I$1001,0),MATCH(COLUMNS($P$1006:Q1006),$P$1006:$S$1006,0)), HYPERLINK("#",""), HYPERLINK(CONCATENATE("#metadata!", ADDRESS(INDEX($K$2:$K$1001,MATCH(ROWS($I$2:I148),$I$2:$I$1001,0),0), INDEX($P$1004:$S$1004,1,MATCH(COLUMNS($P$1006:Q1006),$P$1006:$S$1006,0)))),"Fix")))</f>
        <v>0</v>
      </c>
      <c r="D148" s="3">
        <f>IF(OR(INDEX($J$2:$J$1001,MATCH(ROWS($I$2:I148),$I$2:$I$1001,0),1)&gt;=100000,INDEX($P$1005:$S$1005,1,MATCH(COLUMNS($P$1006:R1006),$P$1006:$S$1006,0))&gt;=100000), " ",IF(INDEX($P$2:$S$1001,MATCH(ROWS($I$2:I148),$I$2:$I$1001,0),MATCH(COLUMNS($P$1006:R1006),$P$1006:$S$1006,0)), HYPERLINK("#",""), HYPERLINK(CONCATENATE("#metadata!", ADDRESS(INDEX($K$2:$K$1001,MATCH(ROWS($I$2:I148),$I$2:$I$1001,0),0), INDEX($P$1004:$S$1004,1,MATCH(COLUMNS($P$1006:R1006),$P$1006:$S$1006,0)))),"Fix")))</f>
        <v>0</v>
      </c>
      <c r="E148" s="3">
        <f>IF(OR(INDEX($J$2:$J$1001,MATCH(ROWS($I$2:I148),$I$2:$I$1001,0),1)&gt;=100000,INDEX($P$1005:$S$1005,1,MATCH(COLUMNS($P$1006:S1006),$P$1006:$S$1006,0))&gt;=100000), " ",IF(INDEX($P$2:$S$1001,MATCH(ROWS($I$2:I148),$I$2:$I$1001,0),MATCH(COLUMNS($P$1006:S1006),$P$1006:$S$1006,0)), HYPERLINK("#",""), HYPERLINK(CONCATENATE("#metadata!", ADDRESS(INDEX($K$2:$K$1001,MATCH(ROWS($I$2:I148),$I$2:$I$1001,0),0), INDEX($P$1004:$S$1004,1,MATCH(COLUMNS($P$1006:S1006),$P$1006:$S$1006,0)))),"Fix")))</f>
        <v>0</v>
      </c>
      <c r="I148">
        <v>0</v>
      </c>
      <c r="J148">
        <v>0</v>
      </c>
      <c r="K148">
        <v>0</v>
      </c>
      <c r="L148">
        <f>IF(M148,TRUE,AND(P148:S148))</f>
        <v>0</v>
      </c>
      <c r="M148">
        <f>COUNTBLANK(metadata!B148:E148)=COLUMNS(metadata!B148:E148)</f>
        <v>0</v>
      </c>
      <c r="N148">
        <v>0</v>
      </c>
      <c r="P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Q148">
        <f>AND(IF(metadata!C148="",FALSE,TRUE),exact(metadata!C148,"other"))</f>
        <v>0</v>
      </c>
      <c r="R148">
        <f>AND(IF(metadata!D148="",FALSE,TRUE),exact(metadata!D148,"metagenome"))</f>
        <v>0</v>
      </c>
      <c r="S148">
        <f>AND(IF(metadata!E148="",FALSE,TRUE),exact(metadata!E148,"256318"))</f>
        <v>0</v>
      </c>
    </row>
    <row r="149" spans="1:19">
      <c r="A149" s="4">
        <f>IF(B149=" "," ",HYPERLINK(CONCATENATE("#metadata!",ADDRESS(INDEX($K$2:$K$1001,MATCH(ROWS($I$2:I149),$I$2:$I$1001,0),0),1)),INDEX($N$2:$N$1001,MATCH(ROWS($I$2:I149),$I$2:$I$1001,0),0)))</f>
        <v>0</v>
      </c>
      <c r="B149" s="3">
        <f>IF(OR(INDEX($J$2:$J$1001,MATCH(ROWS($I$2:I149),$I$2:$I$1001,0),1)&gt;=100000,INDEX($P$1005:$S$1005,1,MATCH(COLUMNS($P$1006:P1006),$P$1006:$S$1006,0))&gt;=100000), " ",IF(INDEX($P$2:$S$1001,MATCH(ROWS($I$2:I149),$I$2:$I$1001,0),MATCH(COLUMNS($P$1006:P1006),$P$1006:$S$1006,0)), HYPERLINK("#",""), HYPERLINK(CONCATENATE("#metadata!", ADDRESS(INDEX($K$2:$K$1001,MATCH(ROWS($I$2:I149),$I$2:$I$1001,0),0), INDEX($P$1004:$S$1004,1,MATCH(COLUMNS($P$1006:P1006),$P$1006:$S$1006,0)))),"Fix")))</f>
        <v>0</v>
      </c>
      <c r="C149" s="3">
        <f>IF(OR(INDEX($J$2:$J$1001,MATCH(ROWS($I$2:I149),$I$2:$I$1001,0),1)&gt;=100000,INDEX($P$1005:$S$1005,1,MATCH(COLUMNS($P$1006:Q1006),$P$1006:$S$1006,0))&gt;=100000), " ",IF(INDEX($P$2:$S$1001,MATCH(ROWS($I$2:I149),$I$2:$I$1001,0),MATCH(COLUMNS($P$1006:Q1006),$P$1006:$S$1006,0)), HYPERLINK("#",""), HYPERLINK(CONCATENATE("#metadata!", ADDRESS(INDEX($K$2:$K$1001,MATCH(ROWS($I$2:I149),$I$2:$I$1001,0),0), INDEX($P$1004:$S$1004,1,MATCH(COLUMNS($P$1006:Q1006),$P$1006:$S$1006,0)))),"Fix")))</f>
        <v>0</v>
      </c>
      <c r="D149" s="3">
        <f>IF(OR(INDEX($J$2:$J$1001,MATCH(ROWS($I$2:I149),$I$2:$I$1001,0),1)&gt;=100000,INDEX($P$1005:$S$1005,1,MATCH(COLUMNS($P$1006:R1006),$P$1006:$S$1006,0))&gt;=100000), " ",IF(INDEX($P$2:$S$1001,MATCH(ROWS($I$2:I149),$I$2:$I$1001,0),MATCH(COLUMNS($P$1006:R1006),$P$1006:$S$1006,0)), HYPERLINK("#",""), HYPERLINK(CONCATENATE("#metadata!", ADDRESS(INDEX($K$2:$K$1001,MATCH(ROWS($I$2:I149),$I$2:$I$1001,0),0), INDEX($P$1004:$S$1004,1,MATCH(COLUMNS($P$1006:R1006),$P$1006:$S$1006,0)))),"Fix")))</f>
        <v>0</v>
      </c>
      <c r="E149" s="3">
        <f>IF(OR(INDEX($J$2:$J$1001,MATCH(ROWS($I$2:I149),$I$2:$I$1001,0),1)&gt;=100000,INDEX($P$1005:$S$1005,1,MATCH(COLUMNS($P$1006:S1006),$P$1006:$S$1006,0))&gt;=100000), " ",IF(INDEX($P$2:$S$1001,MATCH(ROWS($I$2:I149),$I$2:$I$1001,0),MATCH(COLUMNS($P$1006:S1006),$P$1006:$S$1006,0)), HYPERLINK("#",""), HYPERLINK(CONCATENATE("#metadata!", ADDRESS(INDEX($K$2:$K$1001,MATCH(ROWS($I$2:I149),$I$2:$I$1001,0),0), INDEX($P$1004:$S$1004,1,MATCH(COLUMNS($P$1006:S1006),$P$1006:$S$1006,0)))),"Fix")))</f>
        <v>0</v>
      </c>
      <c r="I149">
        <v>0</v>
      </c>
      <c r="J149">
        <v>0</v>
      </c>
      <c r="K149">
        <v>0</v>
      </c>
      <c r="L149">
        <f>IF(M149,TRUE,AND(P149:S149))</f>
        <v>0</v>
      </c>
      <c r="M149">
        <f>COUNTBLANK(metadata!B149:E149)=COLUMNS(metadata!B149:E149)</f>
        <v>0</v>
      </c>
      <c r="N149">
        <v>0</v>
      </c>
      <c r="P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Q149">
        <f>AND(IF(metadata!C149="",FALSE,TRUE),exact(metadata!C149,"other"))</f>
        <v>0</v>
      </c>
      <c r="R149">
        <f>AND(IF(metadata!D149="",FALSE,TRUE),exact(metadata!D149,"metagenome"))</f>
        <v>0</v>
      </c>
      <c r="S149">
        <f>AND(IF(metadata!E149="",FALSE,TRUE),exact(metadata!E149,"256318"))</f>
        <v>0</v>
      </c>
    </row>
    <row r="150" spans="1:19">
      <c r="A150" s="4">
        <f>IF(B150=" "," ",HYPERLINK(CONCATENATE("#metadata!",ADDRESS(INDEX($K$2:$K$1001,MATCH(ROWS($I$2:I150),$I$2:$I$1001,0),0),1)),INDEX($N$2:$N$1001,MATCH(ROWS($I$2:I150),$I$2:$I$1001,0),0)))</f>
        <v>0</v>
      </c>
      <c r="B150" s="3">
        <f>IF(OR(INDEX($J$2:$J$1001,MATCH(ROWS($I$2:I150),$I$2:$I$1001,0),1)&gt;=100000,INDEX($P$1005:$S$1005,1,MATCH(COLUMNS($P$1006:P1006),$P$1006:$S$1006,0))&gt;=100000), " ",IF(INDEX($P$2:$S$1001,MATCH(ROWS($I$2:I150),$I$2:$I$1001,0),MATCH(COLUMNS($P$1006:P1006),$P$1006:$S$1006,0)), HYPERLINK("#",""), HYPERLINK(CONCATENATE("#metadata!", ADDRESS(INDEX($K$2:$K$1001,MATCH(ROWS($I$2:I150),$I$2:$I$1001,0),0), INDEX($P$1004:$S$1004,1,MATCH(COLUMNS($P$1006:P1006),$P$1006:$S$1006,0)))),"Fix")))</f>
        <v>0</v>
      </c>
      <c r="C150" s="3">
        <f>IF(OR(INDEX($J$2:$J$1001,MATCH(ROWS($I$2:I150),$I$2:$I$1001,0),1)&gt;=100000,INDEX($P$1005:$S$1005,1,MATCH(COLUMNS($P$1006:Q1006),$P$1006:$S$1006,0))&gt;=100000), " ",IF(INDEX($P$2:$S$1001,MATCH(ROWS($I$2:I150),$I$2:$I$1001,0),MATCH(COLUMNS($P$1006:Q1006),$P$1006:$S$1006,0)), HYPERLINK("#",""), HYPERLINK(CONCATENATE("#metadata!", ADDRESS(INDEX($K$2:$K$1001,MATCH(ROWS($I$2:I150),$I$2:$I$1001,0),0), INDEX($P$1004:$S$1004,1,MATCH(COLUMNS($P$1006:Q1006),$P$1006:$S$1006,0)))),"Fix")))</f>
        <v>0</v>
      </c>
      <c r="D150" s="3">
        <f>IF(OR(INDEX($J$2:$J$1001,MATCH(ROWS($I$2:I150),$I$2:$I$1001,0),1)&gt;=100000,INDEX($P$1005:$S$1005,1,MATCH(COLUMNS($P$1006:R1006),$P$1006:$S$1006,0))&gt;=100000), " ",IF(INDEX($P$2:$S$1001,MATCH(ROWS($I$2:I150),$I$2:$I$1001,0),MATCH(COLUMNS($P$1006:R1006),$P$1006:$S$1006,0)), HYPERLINK("#",""), HYPERLINK(CONCATENATE("#metadata!", ADDRESS(INDEX($K$2:$K$1001,MATCH(ROWS($I$2:I150),$I$2:$I$1001,0),0), INDEX($P$1004:$S$1004,1,MATCH(COLUMNS($P$1006:R1006),$P$1006:$S$1006,0)))),"Fix")))</f>
        <v>0</v>
      </c>
      <c r="E150" s="3">
        <f>IF(OR(INDEX($J$2:$J$1001,MATCH(ROWS($I$2:I150),$I$2:$I$1001,0),1)&gt;=100000,INDEX($P$1005:$S$1005,1,MATCH(COLUMNS($P$1006:S1006),$P$1006:$S$1006,0))&gt;=100000), " ",IF(INDEX($P$2:$S$1001,MATCH(ROWS($I$2:I150),$I$2:$I$1001,0),MATCH(COLUMNS($P$1006:S1006),$P$1006:$S$1006,0)), HYPERLINK("#",""), HYPERLINK(CONCATENATE("#metadata!", ADDRESS(INDEX($K$2:$K$1001,MATCH(ROWS($I$2:I150),$I$2:$I$1001,0),0), INDEX($P$1004:$S$1004,1,MATCH(COLUMNS($P$1006:S1006),$P$1006:$S$1006,0)))),"Fix")))</f>
        <v>0</v>
      </c>
      <c r="I150">
        <v>0</v>
      </c>
      <c r="J150">
        <v>0</v>
      </c>
      <c r="K150">
        <v>0</v>
      </c>
      <c r="L150">
        <f>IF(M150,TRUE,AND(P150:S150))</f>
        <v>0</v>
      </c>
      <c r="M150">
        <f>COUNTBLANK(metadata!B150:E150)=COLUMNS(metadata!B150:E150)</f>
        <v>0</v>
      </c>
      <c r="N150">
        <v>0</v>
      </c>
      <c r="P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Q150">
        <f>AND(IF(metadata!C150="",FALSE,TRUE),exact(metadata!C150,"other"))</f>
        <v>0</v>
      </c>
      <c r="R150">
        <f>AND(IF(metadata!D150="",FALSE,TRUE),exact(metadata!D150,"metagenome"))</f>
        <v>0</v>
      </c>
      <c r="S150">
        <f>AND(IF(metadata!E150="",FALSE,TRUE),exact(metadata!E150,"256318"))</f>
        <v>0</v>
      </c>
    </row>
    <row r="151" spans="1:19">
      <c r="A151" s="4">
        <f>IF(B151=" "," ",HYPERLINK(CONCATENATE("#metadata!",ADDRESS(INDEX($K$2:$K$1001,MATCH(ROWS($I$2:I151),$I$2:$I$1001,0),0),1)),INDEX($N$2:$N$1001,MATCH(ROWS($I$2:I151),$I$2:$I$1001,0),0)))</f>
        <v>0</v>
      </c>
      <c r="B151" s="3">
        <f>IF(OR(INDEX($J$2:$J$1001,MATCH(ROWS($I$2:I151),$I$2:$I$1001,0),1)&gt;=100000,INDEX($P$1005:$S$1005,1,MATCH(COLUMNS($P$1006:P1006),$P$1006:$S$1006,0))&gt;=100000), " ",IF(INDEX($P$2:$S$1001,MATCH(ROWS($I$2:I151),$I$2:$I$1001,0),MATCH(COLUMNS($P$1006:P1006),$P$1006:$S$1006,0)), HYPERLINK("#",""), HYPERLINK(CONCATENATE("#metadata!", ADDRESS(INDEX($K$2:$K$1001,MATCH(ROWS($I$2:I151),$I$2:$I$1001,0),0), INDEX($P$1004:$S$1004,1,MATCH(COLUMNS($P$1006:P1006),$P$1006:$S$1006,0)))),"Fix")))</f>
        <v>0</v>
      </c>
      <c r="C151" s="3">
        <f>IF(OR(INDEX($J$2:$J$1001,MATCH(ROWS($I$2:I151),$I$2:$I$1001,0),1)&gt;=100000,INDEX($P$1005:$S$1005,1,MATCH(COLUMNS($P$1006:Q1006),$P$1006:$S$1006,0))&gt;=100000), " ",IF(INDEX($P$2:$S$1001,MATCH(ROWS($I$2:I151),$I$2:$I$1001,0),MATCH(COLUMNS($P$1006:Q1006),$P$1006:$S$1006,0)), HYPERLINK("#",""), HYPERLINK(CONCATENATE("#metadata!", ADDRESS(INDEX($K$2:$K$1001,MATCH(ROWS($I$2:I151),$I$2:$I$1001,0),0), INDEX($P$1004:$S$1004,1,MATCH(COLUMNS($P$1006:Q1006),$P$1006:$S$1006,0)))),"Fix")))</f>
        <v>0</v>
      </c>
      <c r="D151" s="3">
        <f>IF(OR(INDEX($J$2:$J$1001,MATCH(ROWS($I$2:I151),$I$2:$I$1001,0),1)&gt;=100000,INDEX($P$1005:$S$1005,1,MATCH(COLUMNS($P$1006:R1006),$P$1006:$S$1006,0))&gt;=100000), " ",IF(INDEX($P$2:$S$1001,MATCH(ROWS($I$2:I151),$I$2:$I$1001,0),MATCH(COLUMNS($P$1006:R1006),$P$1006:$S$1006,0)), HYPERLINK("#",""), HYPERLINK(CONCATENATE("#metadata!", ADDRESS(INDEX($K$2:$K$1001,MATCH(ROWS($I$2:I151),$I$2:$I$1001,0),0), INDEX($P$1004:$S$1004,1,MATCH(COLUMNS($P$1006:R1006),$P$1006:$S$1006,0)))),"Fix")))</f>
        <v>0</v>
      </c>
      <c r="E151" s="3">
        <f>IF(OR(INDEX($J$2:$J$1001,MATCH(ROWS($I$2:I151),$I$2:$I$1001,0),1)&gt;=100000,INDEX($P$1005:$S$1005,1,MATCH(COLUMNS($P$1006:S1006),$P$1006:$S$1006,0))&gt;=100000), " ",IF(INDEX($P$2:$S$1001,MATCH(ROWS($I$2:I151),$I$2:$I$1001,0),MATCH(COLUMNS($P$1006:S1006),$P$1006:$S$1006,0)), HYPERLINK("#",""), HYPERLINK(CONCATENATE("#metadata!", ADDRESS(INDEX($K$2:$K$1001,MATCH(ROWS($I$2:I151),$I$2:$I$1001,0),0), INDEX($P$1004:$S$1004,1,MATCH(COLUMNS($P$1006:S1006),$P$1006:$S$1006,0)))),"Fix")))</f>
        <v>0</v>
      </c>
      <c r="I151">
        <v>0</v>
      </c>
      <c r="J151">
        <v>0</v>
      </c>
      <c r="K151">
        <v>0</v>
      </c>
      <c r="L151">
        <f>IF(M151,TRUE,AND(P151:S151))</f>
        <v>0</v>
      </c>
      <c r="M151">
        <f>COUNTBLANK(metadata!B151:E151)=COLUMNS(metadata!B151:E151)</f>
        <v>0</v>
      </c>
      <c r="N151">
        <v>0</v>
      </c>
      <c r="P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Q151">
        <f>AND(IF(metadata!C151="",FALSE,TRUE),exact(metadata!C151,"other"))</f>
        <v>0</v>
      </c>
      <c r="R151">
        <f>AND(IF(metadata!D151="",FALSE,TRUE),exact(metadata!D151,"metagenome"))</f>
        <v>0</v>
      </c>
      <c r="S151">
        <f>AND(IF(metadata!E151="",FALSE,TRUE),exact(metadata!E151,"256318"))</f>
        <v>0</v>
      </c>
    </row>
    <row r="152" spans="1:19">
      <c r="A152" s="4">
        <f>IF(B152=" "," ",HYPERLINK(CONCATENATE("#metadata!",ADDRESS(INDEX($K$2:$K$1001,MATCH(ROWS($I$2:I152),$I$2:$I$1001,0),0),1)),INDEX($N$2:$N$1001,MATCH(ROWS($I$2:I152),$I$2:$I$1001,0),0)))</f>
        <v>0</v>
      </c>
      <c r="B152" s="3">
        <f>IF(OR(INDEX($J$2:$J$1001,MATCH(ROWS($I$2:I152),$I$2:$I$1001,0),1)&gt;=100000,INDEX($P$1005:$S$1005,1,MATCH(COLUMNS($P$1006:P1006),$P$1006:$S$1006,0))&gt;=100000), " ",IF(INDEX($P$2:$S$1001,MATCH(ROWS($I$2:I152),$I$2:$I$1001,0),MATCH(COLUMNS($P$1006:P1006),$P$1006:$S$1006,0)), HYPERLINK("#",""), HYPERLINK(CONCATENATE("#metadata!", ADDRESS(INDEX($K$2:$K$1001,MATCH(ROWS($I$2:I152),$I$2:$I$1001,0),0), INDEX($P$1004:$S$1004,1,MATCH(COLUMNS($P$1006:P1006),$P$1006:$S$1006,0)))),"Fix")))</f>
        <v>0</v>
      </c>
      <c r="C152" s="3">
        <f>IF(OR(INDEX($J$2:$J$1001,MATCH(ROWS($I$2:I152),$I$2:$I$1001,0),1)&gt;=100000,INDEX($P$1005:$S$1005,1,MATCH(COLUMNS($P$1006:Q1006),$P$1006:$S$1006,0))&gt;=100000), " ",IF(INDEX($P$2:$S$1001,MATCH(ROWS($I$2:I152),$I$2:$I$1001,0),MATCH(COLUMNS($P$1006:Q1006),$P$1006:$S$1006,0)), HYPERLINK("#",""), HYPERLINK(CONCATENATE("#metadata!", ADDRESS(INDEX($K$2:$K$1001,MATCH(ROWS($I$2:I152),$I$2:$I$1001,0),0), INDEX($P$1004:$S$1004,1,MATCH(COLUMNS($P$1006:Q1006),$P$1006:$S$1006,0)))),"Fix")))</f>
        <v>0</v>
      </c>
      <c r="D152" s="3">
        <f>IF(OR(INDEX($J$2:$J$1001,MATCH(ROWS($I$2:I152),$I$2:$I$1001,0),1)&gt;=100000,INDEX($P$1005:$S$1005,1,MATCH(COLUMNS($P$1006:R1006),$P$1006:$S$1006,0))&gt;=100000), " ",IF(INDEX($P$2:$S$1001,MATCH(ROWS($I$2:I152),$I$2:$I$1001,0),MATCH(COLUMNS($P$1006:R1006),$P$1006:$S$1006,0)), HYPERLINK("#",""), HYPERLINK(CONCATENATE("#metadata!", ADDRESS(INDEX($K$2:$K$1001,MATCH(ROWS($I$2:I152),$I$2:$I$1001,0),0), INDEX($P$1004:$S$1004,1,MATCH(COLUMNS($P$1006:R1006),$P$1006:$S$1006,0)))),"Fix")))</f>
        <v>0</v>
      </c>
      <c r="E152" s="3">
        <f>IF(OR(INDEX($J$2:$J$1001,MATCH(ROWS($I$2:I152),$I$2:$I$1001,0),1)&gt;=100000,INDEX($P$1005:$S$1005,1,MATCH(COLUMNS($P$1006:S1006),$P$1006:$S$1006,0))&gt;=100000), " ",IF(INDEX($P$2:$S$1001,MATCH(ROWS($I$2:I152),$I$2:$I$1001,0),MATCH(COLUMNS($P$1006:S1006),$P$1006:$S$1006,0)), HYPERLINK("#",""), HYPERLINK(CONCATENATE("#metadata!", ADDRESS(INDEX($K$2:$K$1001,MATCH(ROWS($I$2:I152),$I$2:$I$1001,0),0), INDEX($P$1004:$S$1004,1,MATCH(COLUMNS($P$1006:S1006),$P$1006:$S$1006,0)))),"Fix")))</f>
        <v>0</v>
      </c>
      <c r="I152">
        <v>0</v>
      </c>
      <c r="J152">
        <v>0</v>
      </c>
      <c r="K152">
        <v>0</v>
      </c>
      <c r="L152">
        <f>IF(M152,TRUE,AND(P152:S152))</f>
        <v>0</v>
      </c>
      <c r="M152">
        <f>COUNTBLANK(metadata!B152:E152)=COLUMNS(metadata!B152:E152)</f>
        <v>0</v>
      </c>
      <c r="N152">
        <v>0</v>
      </c>
      <c r="P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Q152">
        <f>AND(IF(metadata!C152="",FALSE,TRUE),exact(metadata!C152,"other"))</f>
        <v>0</v>
      </c>
      <c r="R152">
        <f>AND(IF(metadata!D152="",FALSE,TRUE),exact(metadata!D152,"metagenome"))</f>
        <v>0</v>
      </c>
      <c r="S152">
        <f>AND(IF(metadata!E152="",FALSE,TRUE),exact(metadata!E152,"256318"))</f>
        <v>0</v>
      </c>
    </row>
    <row r="153" spans="1:19">
      <c r="A153" s="4">
        <f>IF(B153=" "," ",HYPERLINK(CONCATENATE("#metadata!",ADDRESS(INDEX($K$2:$K$1001,MATCH(ROWS($I$2:I153),$I$2:$I$1001,0),0),1)),INDEX($N$2:$N$1001,MATCH(ROWS($I$2:I153),$I$2:$I$1001,0),0)))</f>
        <v>0</v>
      </c>
      <c r="B153" s="3">
        <f>IF(OR(INDEX($J$2:$J$1001,MATCH(ROWS($I$2:I153),$I$2:$I$1001,0),1)&gt;=100000,INDEX($P$1005:$S$1005,1,MATCH(COLUMNS($P$1006:P1006),$P$1006:$S$1006,0))&gt;=100000), " ",IF(INDEX($P$2:$S$1001,MATCH(ROWS($I$2:I153),$I$2:$I$1001,0),MATCH(COLUMNS($P$1006:P1006),$P$1006:$S$1006,0)), HYPERLINK("#",""), HYPERLINK(CONCATENATE("#metadata!", ADDRESS(INDEX($K$2:$K$1001,MATCH(ROWS($I$2:I153),$I$2:$I$1001,0),0), INDEX($P$1004:$S$1004,1,MATCH(COLUMNS($P$1006:P1006),$P$1006:$S$1006,0)))),"Fix")))</f>
        <v>0</v>
      </c>
      <c r="C153" s="3">
        <f>IF(OR(INDEX($J$2:$J$1001,MATCH(ROWS($I$2:I153),$I$2:$I$1001,0),1)&gt;=100000,INDEX($P$1005:$S$1005,1,MATCH(COLUMNS($P$1006:Q1006),$P$1006:$S$1006,0))&gt;=100000), " ",IF(INDEX($P$2:$S$1001,MATCH(ROWS($I$2:I153),$I$2:$I$1001,0),MATCH(COLUMNS($P$1006:Q1006),$P$1006:$S$1006,0)), HYPERLINK("#",""), HYPERLINK(CONCATENATE("#metadata!", ADDRESS(INDEX($K$2:$K$1001,MATCH(ROWS($I$2:I153),$I$2:$I$1001,0),0), INDEX($P$1004:$S$1004,1,MATCH(COLUMNS($P$1006:Q1006),$P$1006:$S$1006,0)))),"Fix")))</f>
        <v>0</v>
      </c>
      <c r="D153" s="3">
        <f>IF(OR(INDEX($J$2:$J$1001,MATCH(ROWS($I$2:I153),$I$2:$I$1001,0),1)&gt;=100000,INDEX($P$1005:$S$1005,1,MATCH(COLUMNS($P$1006:R1006),$P$1006:$S$1006,0))&gt;=100000), " ",IF(INDEX($P$2:$S$1001,MATCH(ROWS($I$2:I153),$I$2:$I$1001,0),MATCH(COLUMNS($P$1006:R1006),$P$1006:$S$1006,0)), HYPERLINK("#",""), HYPERLINK(CONCATENATE("#metadata!", ADDRESS(INDEX($K$2:$K$1001,MATCH(ROWS($I$2:I153),$I$2:$I$1001,0),0), INDEX($P$1004:$S$1004,1,MATCH(COLUMNS($P$1006:R1006),$P$1006:$S$1006,0)))),"Fix")))</f>
        <v>0</v>
      </c>
      <c r="E153" s="3">
        <f>IF(OR(INDEX($J$2:$J$1001,MATCH(ROWS($I$2:I153),$I$2:$I$1001,0),1)&gt;=100000,INDEX($P$1005:$S$1005,1,MATCH(COLUMNS($P$1006:S1006),$P$1006:$S$1006,0))&gt;=100000), " ",IF(INDEX($P$2:$S$1001,MATCH(ROWS($I$2:I153),$I$2:$I$1001,0),MATCH(COLUMNS($P$1006:S1006),$P$1006:$S$1006,0)), HYPERLINK("#",""), HYPERLINK(CONCATENATE("#metadata!", ADDRESS(INDEX($K$2:$K$1001,MATCH(ROWS($I$2:I153),$I$2:$I$1001,0),0), INDEX($P$1004:$S$1004,1,MATCH(COLUMNS($P$1006:S1006),$P$1006:$S$1006,0)))),"Fix")))</f>
        <v>0</v>
      </c>
      <c r="I153">
        <v>0</v>
      </c>
      <c r="J153">
        <v>0</v>
      </c>
      <c r="K153">
        <v>0</v>
      </c>
      <c r="L153">
        <f>IF(M153,TRUE,AND(P153:S153))</f>
        <v>0</v>
      </c>
      <c r="M153">
        <f>COUNTBLANK(metadata!B153:E153)=COLUMNS(metadata!B153:E153)</f>
        <v>0</v>
      </c>
      <c r="N153">
        <v>0</v>
      </c>
      <c r="P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Q153">
        <f>AND(IF(metadata!C153="",FALSE,TRUE),exact(metadata!C153,"other"))</f>
        <v>0</v>
      </c>
      <c r="R153">
        <f>AND(IF(metadata!D153="",FALSE,TRUE),exact(metadata!D153,"metagenome"))</f>
        <v>0</v>
      </c>
      <c r="S153">
        <f>AND(IF(metadata!E153="",FALSE,TRUE),exact(metadata!E153,"256318"))</f>
        <v>0</v>
      </c>
    </row>
    <row r="154" spans="1:19">
      <c r="A154" s="4">
        <f>IF(B154=" "," ",HYPERLINK(CONCATENATE("#metadata!",ADDRESS(INDEX($K$2:$K$1001,MATCH(ROWS($I$2:I154),$I$2:$I$1001,0),0),1)),INDEX($N$2:$N$1001,MATCH(ROWS($I$2:I154),$I$2:$I$1001,0),0)))</f>
        <v>0</v>
      </c>
      <c r="B154" s="3">
        <f>IF(OR(INDEX($J$2:$J$1001,MATCH(ROWS($I$2:I154),$I$2:$I$1001,0),1)&gt;=100000,INDEX($P$1005:$S$1005,1,MATCH(COLUMNS($P$1006:P1006),$P$1006:$S$1006,0))&gt;=100000), " ",IF(INDEX($P$2:$S$1001,MATCH(ROWS($I$2:I154),$I$2:$I$1001,0),MATCH(COLUMNS($P$1006:P1006),$P$1006:$S$1006,0)), HYPERLINK("#",""), HYPERLINK(CONCATENATE("#metadata!", ADDRESS(INDEX($K$2:$K$1001,MATCH(ROWS($I$2:I154),$I$2:$I$1001,0),0), INDEX($P$1004:$S$1004,1,MATCH(COLUMNS($P$1006:P1006),$P$1006:$S$1006,0)))),"Fix")))</f>
        <v>0</v>
      </c>
      <c r="C154" s="3">
        <f>IF(OR(INDEX($J$2:$J$1001,MATCH(ROWS($I$2:I154),$I$2:$I$1001,0),1)&gt;=100000,INDEX($P$1005:$S$1005,1,MATCH(COLUMNS($P$1006:Q1006),$P$1006:$S$1006,0))&gt;=100000), " ",IF(INDEX($P$2:$S$1001,MATCH(ROWS($I$2:I154),$I$2:$I$1001,0),MATCH(COLUMNS($P$1006:Q1006),$P$1006:$S$1006,0)), HYPERLINK("#",""), HYPERLINK(CONCATENATE("#metadata!", ADDRESS(INDEX($K$2:$K$1001,MATCH(ROWS($I$2:I154),$I$2:$I$1001,0),0), INDEX($P$1004:$S$1004,1,MATCH(COLUMNS($P$1006:Q1006),$P$1006:$S$1006,0)))),"Fix")))</f>
        <v>0</v>
      </c>
      <c r="D154" s="3">
        <f>IF(OR(INDEX($J$2:$J$1001,MATCH(ROWS($I$2:I154),$I$2:$I$1001,0),1)&gt;=100000,INDEX($P$1005:$S$1005,1,MATCH(COLUMNS($P$1006:R1006),$P$1006:$S$1006,0))&gt;=100000), " ",IF(INDEX($P$2:$S$1001,MATCH(ROWS($I$2:I154),$I$2:$I$1001,0),MATCH(COLUMNS($P$1006:R1006),$P$1006:$S$1006,0)), HYPERLINK("#",""), HYPERLINK(CONCATENATE("#metadata!", ADDRESS(INDEX($K$2:$K$1001,MATCH(ROWS($I$2:I154),$I$2:$I$1001,0),0), INDEX($P$1004:$S$1004,1,MATCH(COLUMNS($P$1006:R1006),$P$1006:$S$1006,0)))),"Fix")))</f>
        <v>0</v>
      </c>
      <c r="E154" s="3">
        <f>IF(OR(INDEX($J$2:$J$1001,MATCH(ROWS($I$2:I154),$I$2:$I$1001,0),1)&gt;=100000,INDEX($P$1005:$S$1005,1,MATCH(COLUMNS($P$1006:S1006),$P$1006:$S$1006,0))&gt;=100000), " ",IF(INDEX($P$2:$S$1001,MATCH(ROWS($I$2:I154),$I$2:$I$1001,0),MATCH(COLUMNS($P$1006:S1006),$P$1006:$S$1006,0)), HYPERLINK("#",""), HYPERLINK(CONCATENATE("#metadata!", ADDRESS(INDEX($K$2:$K$1001,MATCH(ROWS($I$2:I154),$I$2:$I$1001,0),0), INDEX($P$1004:$S$1004,1,MATCH(COLUMNS($P$1006:S1006),$P$1006:$S$1006,0)))),"Fix")))</f>
        <v>0</v>
      </c>
      <c r="I154">
        <v>0</v>
      </c>
      <c r="J154">
        <v>0</v>
      </c>
      <c r="K154">
        <v>0</v>
      </c>
      <c r="L154">
        <f>IF(M154,TRUE,AND(P154:S154))</f>
        <v>0</v>
      </c>
      <c r="M154">
        <f>COUNTBLANK(metadata!B154:E154)=COLUMNS(metadata!B154:E154)</f>
        <v>0</v>
      </c>
      <c r="N154">
        <v>0</v>
      </c>
      <c r="P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Q154">
        <f>AND(IF(metadata!C154="",FALSE,TRUE),exact(metadata!C154,"other"))</f>
        <v>0</v>
      </c>
      <c r="R154">
        <f>AND(IF(metadata!D154="",FALSE,TRUE),exact(metadata!D154,"metagenome"))</f>
        <v>0</v>
      </c>
      <c r="S154">
        <f>AND(IF(metadata!E154="",FALSE,TRUE),exact(metadata!E154,"256318"))</f>
        <v>0</v>
      </c>
    </row>
    <row r="155" spans="1:19">
      <c r="A155" s="4">
        <f>IF(B155=" "," ",HYPERLINK(CONCATENATE("#metadata!",ADDRESS(INDEX($K$2:$K$1001,MATCH(ROWS($I$2:I155),$I$2:$I$1001,0),0),1)),INDEX($N$2:$N$1001,MATCH(ROWS($I$2:I155),$I$2:$I$1001,0),0)))</f>
        <v>0</v>
      </c>
      <c r="B155" s="3">
        <f>IF(OR(INDEX($J$2:$J$1001,MATCH(ROWS($I$2:I155),$I$2:$I$1001,0),1)&gt;=100000,INDEX($P$1005:$S$1005,1,MATCH(COLUMNS($P$1006:P1006),$P$1006:$S$1006,0))&gt;=100000), " ",IF(INDEX($P$2:$S$1001,MATCH(ROWS($I$2:I155),$I$2:$I$1001,0),MATCH(COLUMNS($P$1006:P1006),$P$1006:$S$1006,0)), HYPERLINK("#",""), HYPERLINK(CONCATENATE("#metadata!", ADDRESS(INDEX($K$2:$K$1001,MATCH(ROWS($I$2:I155),$I$2:$I$1001,0),0), INDEX($P$1004:$S$1004,1,MATCH(COLUMNS($P$1006:P1006),$P$1006:$S$1006,0)))),"Fix")))</f>
        <v>0</v>
      </c>
      <c r="C155" s="3">
        <f>IF(OR(INDEX($J$2:$J$1001,MATCH(ROWS($I$2:I155),$I$2:$I$1001,0),1)&gt;=100000,INDEX($P$1005:$S$1005,1,MATCH(COLUMNS($P$1006:Q1006),$P$1006:$S$1006,0))&gt;=100000), " ",IF(INDEX($P$2:$S$1001,MATCH(ROWS($I$2:I155),$I$2:$I$1001,0),MATCH(COLUMNS($P$1006:Q1006),$P$1006:$S$1006,0)), HYPERLINK("#",""), HYPERLINK(CONCATENATE("#metadata!", ADDRESS(INDEX($K$2:$K$1001,MATCH(ROWS($I$2:I155),$I$2:$I$1001,0),0), INDEX($P$1004:$S$1004,1,MATCH(COLUMNS($P$1006:Q1006),$P$1006:$S$1006,0)))),"Fix")))</f>
        <v>0</v>
      </c>
      <c r="D155" s="3">
        <f>IF(OR(INDEX($J$2:$J$1001,MATCH(ROWS($I$2:I155),$I$2:$I$1001,0),1)&gt;=100000,INDEX($P$1005:$S$1005,1,MATCH(COLUMNS($P$1006:R1006),$P$1006:$S$1006,0))&gt;=100000), " ",IF(INDEX($P$2:$S$1001,MATCH(ROWS($I$2:I155),$I$2:$I$1001,0),MATCH(COLUMNS($P$1006:R1006),$P$1006:$S$1006,0)), HYPERLINK("#",""), HYPERLINK(CONCATENATE("#metadata!", ADDRESS(INDEX($K$2:$K$1001,MATCH(ROWS($I$2:I155),$I$2:$I$1001,0),0), INDEX($P$1004:$S$1004,1,MATCH(COLUMNS($P$1006:R1006),$P$1006:$S$1006,0)))),"Fix")))</f>
        <v>0</v>
      </c>
      <c r="E155" s="3">
        <f>IF(OR(INDEX($J$2:$J$1001,MATCH(ROWS($I$2:I155),$I$2:$I$1001,0),1)&gt;=100000,INDEX($P$1005:$S$1005,1,MATCH(COLUMNS($P$1006:S1006),$P$1006:$S$1006,0))&gt;=100000), " ",IF(INDEX($P$2:$S$1001,MATCH(ROWS($I$2:I155),$I$2:$I$1001,0),MATCH(COLUMNS($P$1006:S1006),$P$1006:$S$1006,0)), HYPERLINK("#",""), HYPERLINK(CONCATENATE("#metadata!", ADDRESS(INDEX($K$2:$K$1001,MATCH(ROWS($I$2:I155),$I$2:$I$1001,0),0), INDEX($P$1004:$S$1004,1,MATCH(COLUMNS($P$1006:S1006),$P$1006:$S$1006,0)))),"Fix")))</f>
        <v>0</v>
      </c>
      <c r="I155">
        <v>0</v>
      </c>
      <c r="J155">
        <v>0</v>
      </c>
      <c r="K155">
        <v>0</v>
      </c>
      <c r="L155">
        <f>IF(M155,TRUE,AND(P155:S155))</f>
        <v>0</v>
      </c>
      <c r="M155">
        <f>COUNTBLANK(metadata!B155:E155)=COLUMNS(metadata!B155:E155)</f>
        <v>0</v>
      </c>
      <c r="N155">
        <v>0</v>
      </c>
      <c r="P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Q155">
        <f>AND(IF(metadata!C155="",FALSE,TRUE),exact(metadata!C155,"other"))</f>
        <v>0</v>
      </c>
      <c r="R155">
        <f>AND(IF(metadata!D155="",FALSE,TRUE),exact(metadata!D155,"metagenome"))</f>
        <v>0</v>
      </c>
      <c r="S155">
        <f>AND(IF(metadata!E155="",FALSE,TRUE),exact(metadata!E155,"256318"))</f>
        <v>0</v>
      </c>
    </row>
    <row r="156" spans="1:19">
      <c r="A156" s="4">
        <f>IF(B156=" "," ",HYPERLINK(CONCATENATE("#metadata!",ADDRESS(INDEX($K$2:$K$1001,MATCH(ROWS($I$2:I156),$I$2:$I$1001,0),0),1)),INDEX($N$2:$N$1001,MATCH(ROWS($I$2:I156),$I$2:$I$1001,0),0)))</f>
        <v>0</v>
      </c>
      <c r="B156" s="3">
        <f>IF(OR(INDEX($J$2:$J$1001,MATCH(ROWS($I$2:I156),$I$2:$I$1001,0),1)&gt;=100000,INDEX($P$1005:$S$1005,1,MATCH(COLUMNS($P$1006:P1006),$P$1006:$S$1006,0))&gt;=100000), " ",IF(INDEX($P$2:$S$1001,MATCH(ROWS($I$2:I156),$I$2:$I$1001,0),MATCH(COLUMNS($P$1006:P1006),$P$1006:$S$1006,0)), HYPERLINK("#",""), HYPERLINK(CONCATENATE("#metadata!", ADDRESS(INDEX($K$2:$K$1001,MATCH(ROWS($I$2:I156),$I$2:$I$1001,0),0), INDEX($P$1004:$S$1004,1,MATCH(COLUMNS($P$1006:P1006),$P$1006:$S$1006,0)))),"Fix")))</f>
        <v>0</v>
      </c>
      <c r="C156" s="3">
        <f>IF(OR(INDEX($J$2:$J$1001,MATCH(ROWS($I$2:I156),$I$2:$I$1001,0),1)&gt;=100000,INDEX($P$1005:$S$1005,1,MATCH(COLUMNS($P$1006:Q1006),$P$1006:$S$1006,0))&gt;=100000), " ",IF(INDEX($P$2:$S$1001,MATCH(ROWS($I$2:I156),$I$2:$I$1001,0),MATCH(COLUMNS($P$1006:Q1006),$P$1006:$S$1006,0)), HYPERLINK("#",""), HYPERLINK(CONCATENATE("#metadata!", ADDRESS(INDEX($K$2:$K$1001,MATCH(ROWS($I$2:I156),$I$2:$I$1001,0),0), INDEX($P$1004:$S$1004,1,MATCH(COLUMNS($P$1006:Q1006),$P$1006:$S$1006,0)))),"Fix")))</f>
        <v>0</v>
      </c>
      <c r="D156" s="3">
        <f>IF(OR(INDEX($J$2:$J$1001,MATCH(ROWS($I$2:I156),$I$2:$I$1001,0),1)&gt;=100000,INDEX($P$1005:$S$1005,1,MATCH(COLUMNS($P$1006:R1006),$P$1006:$S$1006,0))&gt;=100000), " ",IF(INDEX($P$2:$S$1001,MATCH(ROWS($I$2:I156),$I$2:$I$1001,0),MATCH(COLUMNS($P$1006:R1006),$P$1006:$S$1006,0)), HYPERLINK("#",""), HYPERLINK(CONCATENATE("#metadata!", ADDRESS(INDEX($K$2:$K$1001,MATCH(ROWS($I$2:I156),$I$2:$I$1001,0),0), INDEX($P$1004:$S$1004,1,MATCH(COLUMNS($P$1006:R1006),$P$1006:$S$1006,0)))),"Fix")))</f>
        <v>0</v>
      </c>
      <c r="E156" s="3">
        <f>IF(OR(INDEX($J$2:$J$1001,MATCH(ROWS($I$2:I156),$I$2:$I$1001,0),1)&gt;=100000,INDEX($P$1005:$S$1005,1,MATCH(COLUMNS($P$1006:S1006),$P$1006:$S$1006,0))&gt;=100000), " ",IF(INDEX($P$2:$S$1001,MATCH(ROWS($I$2:I156),$I$2:$I$1001,0),MATCH(COLUMNS($P$1006:S1006),$P$1006:$S$1006,0)), HYPERLINK("#",""), HYPERLINK(CONCATENATE("#metadata!", ADDRESS(INDEX($K$2:$K$1001,MATCH(ROWS($I$2:I156),$I$2:$I$1001,0),0), INDEX($P$1004:$S$1004,1,MATCH(COLUMNS($P$1006:S1006),$P$1006:$S$1006,0)))),"Fix")))</f>
        <v>0</v>
      </c>
      <c r="I156">
        <v>0</v>
      </c>
      <c r="J156">
        <v>0</v>
      </c>
      <c r="K156">
        <v>0</v>
      </c>
      <c r="L156">
        <f>IF(M156,TRUE,AND(P156:S156))</f>
        <v>0</v>
      </c>
      <c r="M156">
        <f>COUNTBLANK(metadata!B156:E156)=COLUMNS(metadata!B156:E156)</f>
        <v>0</v>
      </c>
      <c r="N156">
        <v>0</v>
      </c>
      <c r="P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Q156">
        <f>AND(IF(metadata!C156="",FALSE,TRUE),exact(metadata!C156,"other"))</f>
        <v>0</v>
      </c>
      <c r="R156">
        <f>AND(IF(metadata!D156="",FALSE,TRUE),exact(metadata!D156,"metagenome"))</f>
        <v>0</v>
      </c>
      <c r="S156">
        <f>AND(IF(metadata!E156="",FALSE,TRUE),exact(metadata!E156,"256318"))</f>
        <v>0</v>
      </c>
    </row>
    <row r="157" spans="1:19">
      <c r="A157" s="4">
        <f>IF(B157=" "," ",HYPERLINK(CONCATENATE("#metadata!",ADDRESS(INDEX($K$2:$K$1001,MATCH(ROWS($I$2:I157),$I$2:$I$1001,0),0),1)),INDEX($N$2:$N$1001,MATCH(ROWS($I$2:I157),$I$2:$I$1001,0),0)))</f>
        <v>0</v>
      </c>
      <c r="B157" s="3">
        <f>IF(OR(INDEX($J$2:$J$1001,MATCH(ROWS($I$2:I157),$I$2:$I$1001,0),1)&gt;=100000,INDEX($P$1005:$S$1005,1,MATCH(COLUMNS($P$1006:P1006),$P$1006:$S$1006,0))&gt;=100000), " ",IF(INDEX($P$2:$S$1001,MATCH(ROWS($I$2:I157),$I$2:$I$1001,0),MATCH(COLUMNS($P$1006:P1006),$P$1006:$S$1006,0)), HYPERLINK("#",""), HYPERLINK(CONCATENATE("#metadata!", ADDRESS(INDEX($K$2:$K$1001,MATCH(ROWS($I$2:I157),$I$2:$I$1001,0),0), INDEX($P$1004:$S$1004,1,MATCH(COLUMNS($P$1006:P1006),$P$1006:$S$1006,0)))),"Fix")))</f>
        <v>0</v>
      </c>
      <c r="C157" s="3">
        <f>IF(OR(INDEX($J$2:$J$1001,MATCH(ROWS($I$2:I157),$I$2:$I$1001,0),1)&gt;=100000,INDEX($P$1005:$S$1005,1,MATCH(COLUMNS($P$1006:Q1006),$P$1006:$S$1006,0))&gt;=100000), " ",IF(INDEX($P$2:$S$1001,MATCH(ROWS($I$2:I157),$I$2:$I$1001,0),MATCH(COLUMNS($P$1006:Q1006),$P$1006:$S$1006,0)), HYPERLINK("#",""), HYPERLINK(CONCATENATE("#metadata!", ADDRESS(INDEX($K$2:$K$1001,MATCH(ROWS($I$2:I157),$I$2:$I$1001,0),0), INDEX($P$1004:$S$1004,1,MATCH(COLUMNS($P$1006:Q1006),$P$1006:$S$1006,0)))),"Fix")))</f>
        <v>0</v>
      </c>
      <c r="D157" s="3">
        <f>IF(OR(INDEX($J$2:$J$1001,MATCH(ROWS($I$2:I157),$I$2:$I$1001,0),1)&gt;=100000,INDEX($P$1005:$S$1005,1,MATCH(COLUMNS($P$1006:R1006),$P$1006:$S$1006,0))&gt;=100000), " ",IF(INDEX($P$2:$S$1001,MATCH(ROWS($I$2:I157),$I$2:$I$1001,0),MATCH(COLUMNS($P$1006:R1006),$P$1006:$S$1006,0)), HYPERLINK("#",""), HYPERLINK(CONCATENATE("#metadata!", ADDRESS(INDEX($K$2:$K$1001,MATCH(ROWS($I$2:I157),$I$2:$I$1001,0),0), INDEX($P$1004:$S$1004,1,MATCH(COLUMNS($P$1006:R1006),$P$1006:$S$1006,0)))),"Fix")))</f>
        <v>0</v>
      </c>
      <c r="E157" s="3">
        <f>IF(OR(INDEX($J$2:$J$1001,MATCH(ROWS($I$2:I157),$I$2:$I$1001,0),1)&gt;=100000,INDEX($P$1005:$S$1005,1,MATCH(COLUMNS($P$1006:S1006),$P$1006:$S$1006,0))&gt;=100000), " ",IF(INDEX($P$2:$S$1001,MATCH(ROWS($I$2:I157),$I$2:$I$1001,0),MATCH(COLUMNS($P$1006:S1006),$P$1006:$S$1006,0)), HYPERLINK("#",""), HYPERLINK(CONCATENATE("#metadata!", ADDRESS(INDEX($K$2:$K$1001,MATCH(ROWS($I$2:I157),$I$2:$I$1001,0),0), INDEX($P$1004:$S$1004,1,MATCH(COLUMNS($P$1006:S1006),$P$1006:$S$1006,0)))),"Fix")))</f>
        <v>0</v>
      </c>
      <c r="I157">
        <v>0</v>
      </c>
      <c r="J157">
        <v>0</v>
      </c>
      <c r="K157">
        <v>0</v>
      </c>
      <c r="L157">
        <f>IF(M157,TRUE,AND(P157:S157))</f>
        <v>0</v>
      </c>
      <c r="M157">
        <f>COUNTBLANK(metadata!B157:E157)=COLUMNS(metadata!B157:E157)</f>
        <v>0</v>
      </c>
      <c r="N157">
        <v>0</v>
      </c>
      <c r="P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Q157">
        <f>AND(IF(metadata!C157="",FALSE,TRUE),exact(metadata!C157,"other"))</f>
        <v>0</v>
      </c>
      <c r="R157">
        <f>AND(IF(metadata!D157="",FALSE,TRUE),exact(metadata!D157,"metagenome"))</f>
        <v>0</v>
      </c>
      <c r="S157">
        <f>AND(IF(metadata!E157="",FALSE,TRUE),exact(metadata!E157,"256318"))</f>
        <v>0</v>
      </c>
    </row>
    <row r="158" spans="1:19">
      <c r="A158" s="4">
        <f>IF(B158=" "," ",HYPERLINK(CONCATENATE("#metadata!",ADDRESS(INDEX($K$2:$K$1001,MATCH(ROWS($I$2:I158),$I$2:$I$1001,0),0),1)),INDEX($N$2:$N$1001,MATCH(ROWS($I$2:I158),$I$2:$I$1001,0),0)))</f>
        <v>0</v>
      </c>
      <c r="B158" s="3">
        <f>IF(OR(INDEX($J$2:$J$1001,MATCH(ROWS($I$2:I158),$I$2:$I$1001,0),1)&gt;=100000,INDEX($P$1005:$S$1005,1,MATCH(COLUMNS($P$1006:P1006),$P$1006:$S$1006,0))&gt;=100000), " ",IF(INDEX($P$2:$S$1001,MATCH(ROWS($I$2:I158),$I$2:$I$1001,0),MATCH(COLUMNS($P$1006:P1006),$P$1006:$S$1006,0)), HYPERLINK("#",""), HYPERLINK(CONCATENATE("#metadata!", ADDRESS(INDEX($K$2:$K$1001,MATCH(ROWS($I$2:I158),$I$2:$I$1001,0),0), INDEX($P$1004:$S$1004,1,MATCH(COLUMNS($P$1006:P1006),$P$1006:$S$1006,0)))),"Fix")))</f>
        <v>0</v>
      </c>
      <c r="C158" s="3">
        <f>IF(OR(INDEX($J$2:$J$1001,MATCH(ROWS($I$2:I158),$I$2:$I$1001,0),1)&gt;=100000,INDEX($P$1005:$S$1005,1,MATCH(COLUMNS($P$1006:Q1006),$P$1006:$S$1006,0))&gt;=100000), " ",IF(INDEX($P$2:$S$1001,MATCH(ROWS($I$2:I158),$I$2:$I$1001,0),MATCH(COLUMNS($P$1006:Q1006),$P$1006:$S$1006,0)), HYPERLINK("#",""), HYPERLINK(CONCATENATE("#metadata!", ADDRESS(INDEX($K$2:$K$1001,MATCH(ROWS($I$2:I158),$I$2:$I$1001,0),0), INDEX($P$1004:$S$1004,1,MATCH(COLUMNS($P$1006:Q1006),$P$1006:$S$1006,0)))),"Fix")))</f>
        <v>0</v>
      </c>
      <c r="D158" s="3">
        <f>IF(OR(INDEX($J$2:$J$1001,MATCH(ROWS($I$2:I158),$I$2:$I$1001,0),1)&gt;=100000,INDEX($P$1005:$S$1005,1,MATCH(COLUMNS($P$1006:R1006),$P$1006:$S$1006,0))&gt;=100000), " ",IF(INDEX($P$2:$S$1001,MATCH(ROWS($I$2:I158),$I$2:$I$1001,0),MATCH(COLUMNS($P$1006:R1006),$P$1006:$S$1006,0)), HYPERLINK("#",""), HYPERLINK(CONCATENATE("#metadata!", ADDRESS(INDEX($K$2:$K$1001,MATCH(ROWS($I$2:I158),$I$2:$I$1001,0),0), INDEX($P$1004:$S$1004,1,MATCH(COLUMNS($P$1006:R1006),$P$1006:$S$1006,0)))),"Fix")))</f>
        <v>0</v>
      </c>
      <c r="E158" s="3">
        <f>IF(OR(INDEX($J$2:$J$1001,MATCH(ROWS($I$2:I158),$I$2:$I$1001,0),1)&gt;=100000,INDEX($P$1005:$S$1005,1,MATCH(COLUMNS($P$1006:S1006),$P$1006:$S$1006,0))&gt;=100000), " ",IF(INDEX($P$2:$S$1001,MATCH(ROWS($I$2:I158),$I$2:$I$1001,0),MATCH(COLUMNS($P$1006:S1006),$P$1006:$S$1006,0)), HYPERLINK("#",""), HYPERLINK(CONCATENATE("#metadata!", ADDRESS(INDEX($K$2:$K$1001,MATCH(ROWS($I$2:I158),$I$2:$I$1001,0),0), INDEX($P$1004:$S$1004,1,MATCH(COLUMNS($P$1006:S1006),$P$1006:$S$1006,0)))),"Fix")))</f>
        <v>0</v>
      </c>
      <c r="I158">
        <v>0</v>
      </c>
      <c r="J158">
        <v>0</v>
      </c>
      <c r="K158">
        <v>0</v>
      </c>
      <c r="L158">
        <f>IF(M158,TRUE,AND(P158:S158))</f>
        <v>0</v>
      </c>
      <c r="M158">
        <f>COUNTBLANK(metadata!B158:E158)=COLUMNS(metadata!B158:E158)</f>
        <v>0</v>
      </c>
      <c r="N158">
        <v>0</v>
      </c>
      <c r="P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Q158">
        <f>AND(IF(metadata!C158="",FALSE,TRUE),exact(metadata!C158,"other"))</f>
        <v>0</v>
      </c>
      <c r="R158">
        <f>AND(IF(metadata!D158="",FALSE,TRUE),exact(metadata!D158,"metagenome"))</f>
        <v>0</v>
      </c>
      <c r="S158">
        <f>AND(IF(metadata!E158="",FALSE,TRUE),exact(metadata!E158,"256318"))</f>
        <v>0</v>
      </c>
    </row>
    <row r="159" spans="1:19">
      <c r="A159" s="4">
        <f>IF(B159=" "," ",HYPERLINK(CONCATENATE("#metadata!",ADDRESS(INDEX($K$2:$K$1001,MATCH(ROWS($I$2:I159),$I$2:$I$1001,0),0),1)),INDEX($N$2:$N$1001,MATCH(ROWS($I$2:I159),$I$2:$I$1001,0),0)))</f>
        <v>0</v>
      </c>
      <c r="B159" s="3">
        <f>IF(OR(INDEX($J$2:$J$1001,MATCH(ROWS($I$2:I159),$I$2:$I$1001,0),1)&gt;=100000,INDEX($P$1005:$S$1005,1,MATCH(COLUMNS($P$1006:P1006),$P$1006:$S$1006,0))&gt;=100000), " ",IF(INDEX($P$2:$S$1001,MATCH(ROWS($I$2:I159),$I$2:$I$1001,0),MATCH(COLUMNS($P$1006:P1006),$P$1006:$S$1006,0)), HYPERLINK("#",""), HYPERLINK(CONCATENATE("#metadata!", ADDRESS(INDEX($K$2:$K$1001,MATCH(ROWS($I$2:I159),$I$2:$I$1001,0),0), INDEX($P$1004:$S$1004,1,MATCH(COLUMNS($P$1006:P1006),$P$1006:$S$1006,0)))),"Fix")))</f>
        <v>0</v>
      </c>
      <c r="C159" s="3">
        <f>IF(OR(INDEX($J$2:$J$1001,MATCH(ROWS($I$2:I159),$I$2:$I$1001,0),1)&gt;=100000,INDEX($P$1005:$S$1005,1,MATCH(COLUMNS($P$1006:Q1006),$P$1006:$S$1006,0))&gt;=100000), " ",IF(INDEX($P$2:$S$1001,MATCH(ROWS($I$2:I159),$I$2:$I$1001,0),MATCH(COLUMNS($P$1006:Q1006),$P$1006:$S$1006,0)), HYPERLINK("#",""), HYPERLINK(CONCATENATE("#metadata!", ADDRESS(INDEX($K$2:$K$1001,MATCH(ROWS($I$2:I159),$I$2:$I$1001,0),0), INDEX($P$1004:$S$1004,1,MATCH(COLUMNS($P$1006:Q1006),$P$1006:$S$1006,0)))),"Fix")))</f>
        <v>0</v>
      </c>
      <c r="D159" s="3">
        <f>IF(OR(INDEX($J$2:$J$1001,MATCH(ROWS($I$2:I159),$I$2:$I$1001,0),1)&gt;=100000,INDEX($P$1005:$S$1005,1,MATCH(COLUMNS($P$1006:R1006),$P$1006:$S$1006,0))&gt;=100000), " ",IF(INDEX($P$2:$S$1001,MATCH(ROWS($I$2:I159),$I$2:$I$1001,0),MATCH(COLUMNS($P$1006:R1006),$P$1006:$S$1006,0)), HYPERLINK("#",""), HYPERLINK(CONCATENATE("#metadata!", ADDRESS(INDEX($K$2:$K$1001,MATCH(ROWS($I$2:I159),$I$2:$I$1001,0),0), INDEX($P$1004:$S$1004,1,MATCH(COLUMNS($P$1006:R1006),$P$1006:$S$1006,0)))),"Fix")))</f>
        <v>0</v>
      </c>
      <c r="E159" s="3">
        <f>IF(OR(INDEX($J$2:$J$1001,MATCH(ROWS($I$2:I159),$I$2:$I$1001,0),1)&gt;=100000,INDEX($P$1005:$S$1005,1,MATCH(COLUMNS($P$1006:S1006),$P$1006:$S$1006,0))&gt;=100000), " ",IF(INDEX($P$2:$S$1001,MATCH(ROWS($I$2:I159),$I$2:$I$1001,0),MATCH(COLUMNS($P$1006:S1006),$P$1006:$S$1006,0)), HYPERLINK("#",""), HYPERLINK(CONCATENATE("#metadata!", ADDRESS(INDEX($K$2:$K$1001,MATCH(ROWS($I$2:I159),$I$2:$I$1001,0),0), INDEX($P$1004:$S$1004,1,MATCH(COLUMNS($P$1006:S1006),$P$1006:$S$1006,0)))),"Fix")))</f>
        <v>0</v>
      </c>
      <c r="I159">
        <v>0</v>
      </c>
      <c r="J159">
        <v>0</v>
      </c>
      <c r="K159">
        <v>0</v>
      </c>
      <c r="L159">
        <f>IF(M159,TRUE,AND(P159:S159))</f>
        <v>0</v>
      </c>
      <c r="M159">
        <f>COUNTBLANK(metadata!B159:E159)=COLUMNS(metadata!B159:E159)</f>
        <v>0</v>
      </c>
      <c r="N159">
        <v>0</v>
      </c>
      <c r="P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Q159">
        <f>AND(IF(metadata!C159="",FALSE,TRUE),exact(metadata!C159,"other"))</f>
        <v>0</v>
      </c>
      <c r="R159">
        <f>AND(IF(metadata!D159="",FALSE,TRUE),exact(metadata!D159,"metagenome"))</f>
        <v>0</v>
      </c>
      <c r="S159">
        <f>AND(IF(metadata!E159="",FALSE,TRUE),exact(metadata!E159,"256318"))</f>
        <v>0</v>
      </c>
    </row>
    <row r="160" spans="1:19">
      <c r="A160" s="4">
        <f>IF(B160=" "," ",HYPERLINK(CONCATENATE("#metadata!",ADDRESS(INDEX($K$2:$K$1001,MATCH(ROWS($I$2:I160),$I$2:$I$1001,0),0),1)),INDEX($N$2:$N$1001,MATCH(ROWS($I$2:I160),$I$2:$I$1001,0),0)))</f>
        <v>0</v>
      </c>
      <c r="B160" s="3">
        <f>IF(OR(INDEX($J$2:$J$1001,MATCH(ROWS($I$2:I160),$I$2:$I$1001,0),1)&gt;=100000,INDEX($P$1005:$S$1005,1,MATCH(COLUMNS($P$1006:P1006),$P$1006:$S$1006,0))&gt;=100000), " ",IF(INDEX($P$2:$S$1001,MATCH(ROWS($I$2:I160),$I$2:$I$1001,0),MATCH(COLUMNS($P$1006:P1006),$P$1006:$S$1006,0)), HYPERLINK("#",""), HYPERLINK(CONCATENATE("#metadata!", ADDRESS(INDEX($K$2:$K$1001,MATCH(ROWS($I$2:I160),$I$2:$I$1001,0),0), INDEX($P$1004:$S$1004,1,MATCH(COLUMNS($P$1006:P1006),$P$1006:$S$1006,0)))),"Fix")))</f>
        <v>0</v>
      </c>
      <c r="C160" s="3">
        <f>IF(OR(INDEX($J$2:$J$1001,MATCH(ROWS($I$2:I160),$I$2:$I$1001,0),1)&gt;=100000,INDEX($P$1005:$S$1005,1,MATCH(COLUMNS($P$1006:Q1006),$P$1006:$S$1006,0))&gt;=100000), " ",IF(INDEX($P$2:$S$1001,MATCH(ROWS($I$2:I160),$I$2:$I$1001,0),MATCH(COLUMNS($P$1006:Q1006),$P$1006:$S$1006,0)), HYPERLINK("#",""), HYPERLINK(CONCATENATE("#metadata!", ADDRESS(INDEX($K$2:$K$1001,MATCH(ROWS($I$2:I160),$I$2:$I$1001,0),0), INDEX($P$1004:$S$1004,1,MATCH(COLUMNS($P$1006:Q1006),$P$1006:$S$1006,0)))),"Fix")))</f>
        <v>0</v>
      </c>
      <c r="D160" s="3">
        <f>IF(OR(INDEX($J$2:$J$1001,MATCH(ROWS($I$2:I160),$I$2:$I$1001,0),1)&gt;=100000,INDEX($P$1005:$S$1005,1,MATCH(COLUMNS($P$1006:R1006),$P$1006:$S$1006,0))&gt;=100000), " ",IF(INDEX($P$2:$S$1001,MATCH(ROWS($I$2:I160),$I$2:$I$1001,0),MATCH(COLUMNS($P$1006:R1006),$P$1006:$S$1006,0)), HYPERLINK("#",""), HYPERLINK(CONCATENATE("#metadata!", ADDRESS(INDEX($K$2:$K$1001,MATCH(ROWS($I$2:I160),$I$2:$I$1001,0),0), INDEX($P$1004:$S$1004,1,MATCH(COLUMNS($P$1006:R1006),$P$1006:$S$1006,0)))),"Fix")))</f>
        <v>0</v>
      </c>
      <c r="E160" s="3">
        <f>IF(OR(INDEX($J$2:$J$1001,MATCH(ROWS($I$2:I160),$I$2:$I$1001,0),1)&gt;=100000,INDEX($P$1005:$S$1005,1,MATCH(COLUMNS($P$1006:S1006),$P$1006:$S$1006,0))&gt;=100000), " ",IF(INDEX($P$2:$S$1001,MATCH(ROWS($I$2:I160),$I$2:$I$1001,0),MATCH(COLUMNS($P$1006:S1006),$P$1006:$S$1006,0)), HYPERLINK("#",""), HYPERLINK(CONCATENATE("#metadata!", ADDRESS(INDEX($K$2:$K$1001,MATCH(ROWS($I$2:I160),$I$2:$I$1001,0),0), INDEX($P$1004:$S$1004,1,MATCH(COLUMNS($P$1006:S1006),$P$1006:$S$1006,0)))),"Fix")))</f>
        <v>0</v>
      </c>
      <c r="I160">
        <v>0</v>
      </c>
      <c r="J160">
        <v>0</v>
      </c>
      <c r="K160">
        <v>0</v>
      </c>
      <c r="L160">
        <f>IF(M160,TRUE,AND(P160:S160))</f>
        <v>0</v>
      </c>
      <c r="M160">
        <f>COUNTBLANK(metadata!B160:E160)=COLUMNS(metadata!B160:E160)</f>
        <v>0</v>
      </c>
      <c r="N160">
        <v>0</v>
      </c>
      <c r="P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Q160">
        <f>AND(IF(metadata!C160="",FALSE,TRUE),exact(metadata!C160,"other"))</f>
        <v>0</v>
      </c>
      <c r="R160">
        <f>AND(IF(metadata!D160="",FALSE,TRUE),exact(metadata!D160,"metagenome"))</f>
        <v>0</v>
      </c>
      <c r="S160">
        <f>AND(IF(metadata!E160="",FALSE,TRUE),exact(metadata!E160,"256318"))</f>
        <v>0</v>
      </c>
    </row>
    <row r="161" spans="1:19">
      <c r="A161" s="4">
        <f>IF(B161=" "," ",HYPERLINK(CONCATENATE("#metadata!",ADDRESS(INDEX($K$2:$K$1001,MATCH(ROWS($I$2:I161),$I$2:$I$1001,0),0),1)),INDEX($N$2:$N$1001,MATCH(ROWS($I$2:I161),$I$2:$I$1001,0),0)))</f>
        <v>0</v>
      </c>
      <c r="B161" s="3">
        <f>IF(OR(INDEX($J$2:$J$1001,MATCH(ROWS($I$2:I161),$I$2:$I$1001,0),1)&gt;=100000,INDEX($P$1005:$S$1005,1,MATCH(COLUMNS($P$1006:P1006),$P$1006:$S$1006,0))&gt;=100000), " ",IF(INDEX($P$2:$S$1001,MATCH(ROWS($I$2:I161),$I$2:$I$1001,0),MATCH(COLUMNS($P$1006:P1006),$P$1006:$S$1006,0)), HYPERLINK("#",""), HYPERLINK(CONCATENATE("#metadata!", ADDRESS(INDEX($K$2:$K$1001,MATCH(ROWS($I$2:I161),$I$2:$I$1001,0),0), INDEX($P$1004:$S$1004,1,MATCH(COLUMNS($P$1006:P1006),$P$1006:$S$1006,0)))),"Fix")))</f>
        <v>0</v>
      </c>
      <c r="C161" s="3">
        <f>IF(OR(INDEX($J$2:$J$1001,MATCH(ROWS($I$2:I161),$I$2:$I$1001,0),1)&gt;=100000,INDEX($P$1005:$S$1005,1,MATCH(COLUMNS($P$1006:Q1006),$P$1006:$S$1006,0))&gt;=100000), " ",IF(INDEX($P$2:$S$1001,MATCH(ROWS($I$2:I161),$I$2:$I$1001,0),MATCH(COLUMNS($P$1006:Q1006),$P$1006:$S$1006,0)), HYPERLINK("#",""), HYPERLINK(CONCATENATE("#metadata!", ADDRESS(INDEX($K$2:$K$1001,MATCH(ROWS($I$2:I161),$I$2:$I$1001,0),0), INDEX($P$1004:$S$1004,1,MATCH(COLUMNS($P$1006:Q1006),$P$1006:$S$1006,0)))),"Fix")))</f>
        <v>0</v>
      </c>
      <c r="D161" s="3">
        <f>IF(OR(INDEX($J$2:$J$1001,MATCH(ROWS($I$2:I161),$I$2:$I$1001,0),1)&gt;=100000,INDEX($P$1005:$S$1005,1,MATCH(COLUMNS($P$1006:R1006),$P$1006:$S$1006,0))&gt;=100000), " ",IF(INDEX($P$2:$S$1001,MATCH(ROWS($I$2:I161),$I$2:$I$1001,0),MATCH(COLUMNS($P$1006:R1006),$P$1006:$S$1006,0)), HYPERLINK("#",""), HYPERLINK(CONCATENATE("#metadata!", ADDRESS(INDEX($K$2:$K$1001,MATCH(ROWS($I$2:I161),$I$2:$I$1001,0),0), INDEX($P$1004:$S$1004,1,MATCH(COLUMNS($P$1006:R1006),$P$1006:$S$1006,0)))),"Fix")))</f>
        <v>0</v>
      </c>
      <c r="E161" s="3">
        <f>IF(OR(INDEX($J$2:$J$1001,MATCH(ROWS($I$2:I161),$I$2:$I$1001,0),1)&gt;=100000,INDEX($P$1005:$S$1005,1,MATCH(COLUMNS($P$1006:S1006),$P$1006:$S$1006,0))&gt;=100000), " ",IF(INDEX($P$2:$S$1001,MATCH(ROWS($I$2:I161),$I$2:$I$1001,0),MATCH(COLUMNS($P$1006:S1006),$P$1006:$S$1006,0)), HYPERLINK("#",""), HYPERLINK(CONCATENATE("#metadata!", ADDRESS(INDEX($K$2:$K$1001,MATCH(ROWS($I$2:I161),$I$2:$I$1001,0),0), INDEX($P$1004:$S$1004,1,MATCH(COLUMNS($P$1006:S1006),$P$1006:$S$1006,0)))),"Fix")))</f>
        <v>0</v>
      </c>
      <c r="I161">
        <v>0</v>
      </c>
      <c r="J161">
        <v>0</v>
      </c>
      <c r="K161">
        <v>0</v>
      </c>
      <c r="L161">
        <f>IF(M161,TRUE,AND(P161:S161))</f>
        <v>0</v>
      </c>
      <c r="M161">
        <f>COUNTBLANK(metadata!B161:E161)=COLUMNS(metadata!B161:E161)</f>
        <v>0</v>
      </c>
      <c r="N161">
        <v>0</v>
      </c>
      <c r="P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Q161">
        <f>AND(IF(metadata!C161="",FALSE,TRUE),exact(metadata!C161,"other"))</f>
        <v>0</v>
      </c>
      <c r="R161">
        <f>AND(IF(metadata!D161="",FALSE,TRUE),exact(metadata!D161,"metagenome"))</f>
        <v>0</v>
      </c>
      <c r="S161">
        <f>AND(IF(metadata!E161="",FALSE,TRUE),exact(metadata!E161,"256318"))</f>
        <v>0</v>
      </c>
    </row>
    <row r="162" spans="1:19">
      <c r="A162" s="4">
        <f>IF(B162=" "," ",HYPERLINK(CONCATENATE("#metadata!",ADDRESS(INDEX($K$2:$K$1001,MATCH(ROWS($I$2:I162),$I$2:$I$1001,0),0),1)),INDEX($N$2:$N$1001,MATCH(ROWS($I$2:I162),$I$2:$I$1001,0),0)))</f>
        <v>0</v>
      </c>
      <c r="B162" s="3">
        <f>IF(OR(INDEX($J$2:$J$1001,MATCH(ROWS($I$2:I162),$I$2:$I$1001,0),1)&gt;=100000,INDEX($P$1005:$S$1005,1,MATCH(COLUMNS($P$1006:P1006),$P$1006:$S$1006,0))&gt;=100000), " ",IF(INDEX($P$2:$S$1001,MATCH(ROWS($I$2:I162),$I$2:$I$1001,0),MATCH(COLUMNS($P$1006:P1006),$P$1006:$S$1006,0)), HYPERLINK("#",""), HYPERLINK(CONCATENATE("#metadata!", ADDRESS(INDEX($K$2:$K$1001,MATCH(ROWS($I$2:I162),$I$2:$I$1001,0),0), INDEX($P$1004:$S$1004,1,MATCH(COLUMNS($P$1006:P1006),$P$1006:$S$1006,0)))),"Fix")))</f>
        <v>0</v>
      </c>
      <c r="C162" s="3">
        <f>IF(OR(INDEX($J$2:$J$1001,MATCH(ROWS($I$2:I162),$I$2:$I$1001,0),1)&gt;=100000,INDEX($P$1005:$S$1005,1,MATCH(COLUMNS($P$1006:Q1006),$P$1006:$S$1006,0))&gt;=100000), " ",IF(INDEX($P$2:$S$1001,MATCH(ROWS($I$2:I162),$I$2:$I$1001,0),MATCH(COLUMNS($P$1006:Q1006),$P$1006:$S$1006,0)), HYPERLINK("#",""), HYPERLINK(CONCATENATE("#metadata!", ADDRESS(INDEX($K$2:$K$1001,MATCH(ROWS($I$2:I162),$I$2:$I$1001,0),0), INDEX($P$1004:$S$1004,1,MATCH(COLUMNS($P$1006:Q1006),$P$1006:$S$1006,0)))),"Fix")))</f>
        <v>0</v>
      </c>
      <c r="D162" s="3">
        <f>IF(OR(INDEX($J$2:$J$1001,MATCH(ROWS($I$2:I162),$I$2:$I$1001,0),1)&gt;=100000,INDEX($P$1005:$S$1005,1,MATCH(COLUMNS($P$1006:R1006),$P$1006:$S$1006,0))&gt;=100000), " ",IF(INDEX($P$2:$S$1001,MATCH(ROWS($I$2:I162),$I$2:$I$1001,0),MATCH(COLUMNS($P$1006:R1006),$P$1006:$S$1006,0)), HYPERLINK("#",""), HYPERLINK(CONCATENATE("#metadata!", ADDRESS(INDEX($K$2:$K$1001,MATCH(ROWS($I$2:I162),$I$2:$I$1001,0),0), INDEX($P$1004:$S$1004,1,MATCH(COLUMNS($P$1006:R1006),$P$1006:$S$1006,0)))),"Fix")))</f>
        <v>0</v>
      </c>
      <c r="E162" s="3">
        <f>IF(OR(INDEX($J$2:$J$1001,MATCH(ROWS($I$2:I162),$I$2:$I$1001,0),1)&gt;=100000,INDEX($P$1005:$S$1005,1,MATCH(COLUMNS($P$1006:S1006),$P$1006:$S$1006,0))&gt;=100000), " ",IF(INDEX($P$2:$S$1001,MATCH(ROWS($I$2:I162),$I$2:$I$1001,0),MATCH(COLUMNS($P$1006:S1006),$P$1006:$S$1006,0)), HYPERLINK("#",""), HYPERLINK(CONCATENATE("#metadata!", ADDRESS(INDEX($K$2:$K$1001,MATCH(ROWS($I$2:I162),$I$2:$I$1001,0),0), INDEX($P$1004:$S$1004,1,MATCH(COLUMNS($P$1006:S1006),$P$1006:$S$1006,0)))),"Fix")))</f>
        <v>0</v>
      </c>
      <c r="I162">
        <v>0</v>
      </c>
      <c r="J162">
        <v>0</v>
      </c>
      <c r="K162">
        <v>0</v>
      </c>
      <c r="L162">
        <f>IF(M162,TRUE,AND(P162:S162))</f>
        <v>0</v>
      </c>
      <c r="M162">
        <f>COUNTBLANK(metadata!B162:E162)=COLUMNS(metadata!B162:E162)</f>
        <v>0</v>
      </c>
      <c r="N162">
        <v>0</v>
      </c>
      <c r="P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Q162">
        <f>AND(IF(metadata!C162="",FALSE,TRUE),exact(metadata!C162,"other"))</f>
        <v>0</v>
      </c>
      <c r="R162">
        <f>AND(IF(metadata!D162="",FALSE,TRUE),exact(metadata!D162,"metagenome"))</f>
        <v>0</v>
      </c>
      <c r="S162">
        <f>AND(IF(metadata!E162="",FALSE,TRUE),exact(metadata!E162,"256318"))</f>
        <v>0</v>
      </c>
    </row>
    <row r="163" spans="1:19">
      <c r="A163" s="4">
        <f>IF(B163=" "," ",HYPERLINK(CONCATENATE("#metadata!",ADDRESS(INDEX($K$2:$K$1001,MATCH(ROWS($I$2:I163),$I$2:$I$1001,0),0),1)),INDEX($N$2:$N$1001,MATCH(ROWS($I$2:I163),$I$2:$I$1001,0),0)))</f>
        <v>0</v>
      </c>
      <c r="B163" s="3">
        <f>IF(OR(INDEX($J$2:$J$1001,MATCH(ROWS($I$2:I163),$I$2:$I$1001,0),1)&gt;=100000,INDEX($P$1005:$S$1005,1,MATCH(COLUMNS($P$1006:P1006),$P$1006:$S$1006,0))&gt;=100000), " ",IF(INDEX($P$2:$S$1001,MATCH(ROWS($I$2:I163),$I$2:$I$1001,0),MATCH(COLUMNS($P$1006:P1006),$P$1006:$S$1006,0)), HYPERLINK("#",""), HYPERLINK(CONCATENATE("#metadata!", ADDRESS(INDEX($K$2:$K$1001,MATCH(ROWS($I$2:I163),$I$2:$I$1001,0),0), INDEX($P$1004:$S$1004,1,MATCH(COLUMNS($P$1006:P1006),$P$1006:$S$1006,0)))),"Fix")))</f>
        <v>0</v>
      </c>
      <c r="C163" s="3">
        <f>IF(OR(INDEX($J$2:$J$1001,MATCH(ROWS($I$2:I163),$I$2:$I$1001,0),1)&gt;=100000,INDEX($P$1005:$S$1005,1,MATCH(COLUMNS($P$1006:Q1006),$P$1006:$S$1006,0))&gt;=100000), " ",IF(INDEX($P$2:$S$1001,MATCH(ROWS($I$2:I163),$I$2:$I$1001,0),MATCH(COLUMNS($P$1006:Q1006),$P$1006:$S$1006,0)), HYPERLINK("#",""), HYPERLINK(CONCATENATE("#metadata!", ADDRESS(INDEX($K$2:$K$1001,MATCH(ROWS($I$2:I163),$I$2:$I$1001,0),0), INDEX($P$1004:$S$1004,1,MATCH(COLUMNS($P$1006:Q1006),$P$1006:$S$1006,0)))),"Fix")))</f>
        <v>0</v>
      </c>
      <c r="D163" s="3">
        <f>IF(OR(INDEX($J$2:$J$1001,MATCH(ROWS($I$2:I163),$I$2:$I$1001,0),1)&gt;=100000,INDEX($P$1005:$S$1005,1,MATCH(COLUMNS($P$1006:R1006),$P$1006:$S$1006,0))&gt;=100000), " ",IF(INDEX($P$2:$S$1001,MATCH(ROWS($I$2:I163),$I$2:$I$1001,0),MATCH(COLUMNS($P$1006:R1006),$P$1006:$S$1006,0)), HYPERLINK("#",""), HYPERLINK(CONCATENATE("#metadata!", ADDRESS(INDEX($K$2:$K$1001,MATCH(ROWS($I$2:I163),$I$2:$I$1001,0),0), INDEX($P$1004:$S$1004,1,MATCH(COLUMNS($P$1006:R1006),$P$1006:$S$1006,0)))),"Fix")))</f>
        <v>0</v>
      </c>
      <c r="E163" s="3">
        <f>IF(OR(INDEX($J$2:$J$1001,MATCH(ROWS($I$2:I163),$I$2:$I$1001,0),1)&gt;=100000,INDEX($P$1005:$S$1005,1,MATCH(COLUMNS($P$1006:S1006),$P$1006:$S$1006,0))&gt;=100000), " ",IF(INDEX($P$2:$S$1001,MATCH(ROWS($I$2:I163),$I$2:$I$1001,0),MATCH(COLUMNS($P$1006:S1006),$P$1006:$S$1006,0)), HYPERLINK("#",""), HYPERLINK(CONCATENATE("#metadata!", ADDRESS(INDEX($K$2:$K$1001,MATCH(ROWS($I$2:I163),$I$2:$I$1001,0),0), INDEX($P$1004:$S$1004,1,MATCH(COLUMNS($P$1006:S1006),$P$1006:$S$1006,0)))),"Fix")))</f>
        <v>0</v>
      </c>
      <c r="I163">
        <v>0</v>
      </c>
      <c r="J163">
        <v>0</v>
      </c>
      <c r="K163">
        <v>0</v>
      </c>
      <c r="L163">
        <f>IF(M163,TRUE,AND(P163:S163))</f>
        <v>0</v>
      </c>
      <c r="M163">
        <f>COUNTBLANK(metadata!B163:E163)=COLUMNS(metadata!B163:E163)</f>
        <v>0</v>
      </c>
      <c r="N163">
        <v>0</v>
      </c>
      <c r="P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Q163">
        <f>AND(IF(metadata!C163="",FALSE,TRUE),exact(metadata!C163,"other"))</f>
        <v>0</v>
      </c>
      <c r="R163">
        <f>AND(IF(metadata!D163="",FALSE,TRUE),exact(metadata!D163,"metagenome"))</f>
        <v>0</v>
      </c>
      <c r="S163">
        <f>AND(IF(metadata!E163="",FALSE,TRUE),exact(metadata!E163,"256318"))</f>
        <v>0</v>
      </c>
    </row>
    <row r="164" spans="1:19">
      <c r="A164" s="4">
        <f>IF(B164=" "," ",HYPERLINK(CONCATENATE("#metadata!",ADDRESS(INDEX($K$2:$K$1001,MATCH(ROWS($I$2:I164),$I$2:$I$1001,0),0),1)),INDEX($N$2:$N$1001,MATCH(ROWS($I$2:I164),$I$2:$I$1001,0),0)))</f>
        <v>0</v>
      </c>
      <c r="B164" s="3">
        <f>IF(OR(INDEX($J$2:$J$1001,MATCH(ROWS($I$2:I164),$I$2:$I$1001,0),1)&gt;=100000,INDEX($P$1005:$S$1005,1,MATCH(COLUMNS($P$1006:P1006),$P$1006:$S$1006,0))&gt;=100000), " ",IF(INDEX($P$2:$S$1001,MATCH(ROWS($I$2:I164),$I$2:$I$1001,0),MATCH(COLUMNS($P$1006:P1006),$P$1006:$S$1006,0)), HYPERLINK("#",""), HYPERLINK(CONCATENATE("#metadata!", ADDRESS(INDEX($K$2:$K$1001,MATCH(ROWS($I$2:I164),$I$2:$I$1001,0),0), INDEX($P$1004:$S$1004,1,MATCH(COLUMNS($P$1006:P1006),$P$1006:$S$1006,0)))),"Fix")))</f>
        <v>0</v>
      </c>
      <c r="C164" s="3">
        <f>IF(OR(INDEX($J$2:$J$1001,MATCH(ROWS($I$2:I164),$I$2:$I$1001,0),1)&gt;=100000,INDEX($P$1005:$S$1005,1,MATCH(COLUMNS($P$1006:Q1006),$P$1006:$S$1006,0))&gt;=100000), " ",IF(INDEX($P$2:$S$1001,MATCH(ROWS($I$2:I164),$I$2:$I$1001,0),MATCH(COLUMNS($P$1006:Q1006),$P$1006:$S$1006,0)), HYPERLINK("#",""), HYPERLINK(CONCATENATE("#metadata!", ADDRESS(INDEX($K$2:$K$1001,MATCH(ROWS($I$2:I164),$I$2:$I$1001,0),0), INDEX($P$1004:$S$1004,1,MATCH(COLUMNS($P$1006:Q1006),$P$1006:$S$1006,0)))),"Fix")))</f>
        <v>0</v>
      </c>
      <c r="D164" s="3">
        <f>IF(OR(INDEX($J$2:$J$1001,MATCH(ROWS($I$2:I164),$I$2:$I$1001,0),1)&gt;=100000,INDEX($P$1005:$S$1005,1,MATCH(COLUMNS($P$1006:R1006),$P$1006:$S$1006,0))&gt;=100000), " ",IF(INDEX($P$2:$S$1001,MATCH(ROWS($I$2:I164),$I$2:$I$1001,0),MATCH(COLUMNS($P$1006:R1006),$P$1006:$S$1006,0)), HYPERLINK("#",""), HYPERLINK(CONCATENATE("#metadata!", ADDRESS(INDEX($K$2:$K$1001,MATCH(ROWS($I$2:I164),$I$2:$I$1001,0),0), INDEX($P$1004:$S$1004,1,MATCH(COLUMNS($P$1006:R1006),$P$1006:$S$1006,0)))),"Fix")))</f>
        <v>0</v>
      </c>
      <c r="E164" s="3">
        <f>IF(OR(INDEX($J$2:$J$1001,MATCH(ROWS($I$2:I164),$I$2:$I$1001,0),1)&gt;=100000,INDEX($P$1005:$S$1005,1,MATCH(COLUMNS($P$1006:S1006),$P$1006:$S$1006,0))&gt;=100000), " ",IF(INDEX($P$2:$S$1001,MATCH(ROWS($I$2:I164),$I$2:$I$1001,0),MATCH(COLUMNS($P$1006:S1006),$P$1006:$S$1006,0)), HYPERLINK("#",""), HYPERLINK(CONCATENATE("#metadata!", ADDRESS(INDEX($K$2:$K$1001,MATCH(ROWS($I$2:I164),$I$2:$I$1001,0),0), INDEX($P$1004:$S$1004,1,MATCH(COLUMNS($P$1006:S1006),$P$1006:$S$1006,0)))),"Fix")))</f>
        <v>0</v>
      </c>
      <c r="I164">
        <v>0</v>
      </c>
      <c r="J164">
        <v>0</v>
      </c>
      <c r="K164">
        <v>0</v>
      </c>
      <c r="L164">
        <f>IF(M164,TRUE,AND(P164:S164))</f>
        <v>0</v>
      </c>
      <c r="M164">
        <f>COUNTBLANK(metadata!B164:E164)=COLUMNS(metadata!B164:E164)</f>
        <v>0</v>
      </c>
      <c r="N164">
        <v>0</v>
      </c>
      <c r="P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Q164">
        <f>AND(IF(metadata!C164="",FALSE,TRUE),exact(metadata!C164,"other"))</f>
        <v>0</v>
      </c>
      <c r="R164">
        <f>AND(IF(metadata!D164="",FALSE,TRUE),exact(metadata!D164,"metagenome"))</f>
        <v>0</v>
      </c>
      <c r="S164">
        <f>AND(IF(metadata!E164="",FALSE,TRUE),exact(metadata!E164,"256318"))</f>
        <v>0</v>
      </c>
    </row>
    <row r="165" spans="1:19">
      <c r="A165" s="4">
        <f>IF(B165=" "," ",HYPERLINK(CONCATENATE("#metadata!",ADDRESS(INDEX($K$2:$K$1001,MATCH(ROWS($I$2:I165),$I$2:$I$1001,0),0),1)),INDEX($N$2:$N$1001,MATCH(ROWS($I$2:I165),$I$2:$I$1001,0),0)))</f>
        <v>0</v>
      </c>
      <c r="B165" s="3">
        <f>IF(OR(INDEX($J$2:$J$1001,MATCH(ROWS($I$2:I165),$I$2:$I$1001,0),1)&gt;=100000,INDEX($P$1005:$S$1005,1,MATCH(COLUMNS($P$1006:P1006),$P$1006:$S$1006,0))&gt;=100000), " ",IF(INDEX($P$2:$S$1001,MATCH(ROWS($I$2:I165),$I$2:$I$1001,0),MATCH(COLUMNS($P$1006:P1006),$P$1006:$S$1006,0)), HYPERLINK("#",""), HYPERLINK(CONCATENATE("#metadata!", ADDRESS(INDEX($K$2:$K$1001,MATCH(ROWS($I$2:I165),$I$2:$I$1001,0),0), INDEX($P$1004:$S$1004,1,MATCH(COLUMNS($P$1006:P1006),$P$1006:$S$1006,0)))),"Fix")))</f>
        <v>0</v>
      </c>
      <c r="C165" s="3">
        <f>IF(OR(INDEX($J$2:$J$1001,MATCH(ROWS($I$2:I165),$I$2:$I$1001,0),1)&gt;=100000,INDEX($P$1005:$S$1005,1,MATCH(COLUMNS($P$1006:Q1006),$P$1006:$S$1006,0))&gt;=100000), " ",IF(INDEX($P$2:$S$1001,MATCH(ROWS($I$2:I165),$I$2:$I$1001,0),MATCH(COLUMNS($P$1006:Q1006),$P$1006:$S$1006,0)), HYPERLINK("#",""), HYPERLINK(CONCATENATE("#metadata!", ADDRESS(INDEX($K$2:$K$1001,MATCH(ROWS($I$2:I165),$I$2:$I$1001,0),0), INDEX($P$1004:$S$1004,1,MATCH(COLUMNS($P$1006:Q1006),$P$1006:$S$1006,0)))),"Fix")))</f>
        <v>0</v>
      </c>
      <c r="D165" s="3">
        <f>IF(OR(INDEX($J$2:$J$1001,MATCH(ROWS($I$2:I165),$I$2:$I$1001,0),1)&gt;=100000,INDEX($P$1005:$S$1005,1,MATCH(COLUMNS($P$1006:R1006),$P$1006:$S$1006,0))&gt;=100000), " ",IF(INDEX($P$2:$S$1001,MATCH(ROWS($I$2:I165),$I$2:$I$1001,0),MATCH(COLUMNS($P$1006:R1006),$P$1006:$S$1006,0)), HYPERLINK("#",""), HYPERLINK(CONCATENATE("#metadata!", ADDRESS(INDEX($K$2:$K$1001,MATCH(ROWS($I$2:I165),$I$2:$I$1001,0),0), INDEX($P$1004:$S$1004,1,MATCH(COLUMNS($P$1006:R1006),$P$1006:$S$1006,0)))),"Fix")))</f>
        <v>0</v>
      </c>
      <c r="E165" s="3">
        <f>IF(OR(INDEX($J$2:$J$1001,MATCH(ROWS($I$2:I165),$I$2:$I$1001,0),1)&gt;=100000,INDEX($P$1005:$S$1005,1,MATCH(COLUMNS($P$1006:S1006),$P$1006:$S$1006,0))&gt;=100000), " ",IF(INDEX($P$2:$S$1001,MATCH(ROWS($I$2:I165),$I$2:$I$1001,0),MATCH(COLUMNS($P$1006:S1006),$P$1006:$S$1006,0)), HYPERLINK("#",""), HYPERLINK(CONCATENATE("#metadata!", ADDRESS(INDEX($K$2:$K$1001,MATCH(ROWS($I$2:I165),$I$2:$I$1001,0),0), INDEX($P$1004:$S$1004,1,MATCH(COLUMNS($P$1006:S1006),$P$1006:$S$1006,0)))),"Fix")))</f>
        <v>0</v>
      </c>
      <c r="I165">
        <v>0</v>
      </c>
      <c r="J165">
        <v>0</v>
      </c>
      <c r="K165">
        <v>0</v>
      </c>
      <c r="L165">
        <f>IF(M165,TRUE,AND(P165:S165))</f>
        <v>0</v>
      </c>
      <c r="M165">
        <f>COUNTBLANK(metadata!B165:E165)=COLUMNS(metadata!B165:E165)</f>
        <v>0</v>
      </c>
      <c r="N165">
        <v>0</v>
      </c>
      <c r="P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Q165">
        <f>AND(IF(metadata!C165="",FALSE,TRUE),exact(metadata!C165,"other"))</f>
        <v>0</v>
      </c>
      <c r="R165">
        <f>AND(IF(metadata!D165="",FALSE,TRUE),exact(metadata!D165,"metagenome"))</f>
        <v>0</v>
      </c>
      <c r="S165">
        <f>AND(IF(metadata!E165="",FALSE,TRUE),exact(metadata!E165,"256318"))</f>
        <v>0</v>
      </c>
    </row>
    <row r="166" spans="1:19">
      <c r="A166" s="4">
        <f>IF(B166=" "," ",HYPERLINK(CONCATENATE("#metadata!",ADDRESS(INDEX($K$2:$K$1001,MATCH(ROWS($I$2:I166),$I$2:$I$1001,0),0),1)),INDEX($N$2:$N$1001,MATCH(ROWS($I$2:I166),$I$2:$I$1001,0),0)))</f>
        <v>0</v>
      </c>
      <c r="B166" s="3">
        <f>IF(OR(INDEX($J$2:$J$1001,MATCH(ROWS($I$2:I166),$I$2:$I$1001,0),1)&gt;=100000,INDEX($P$1005:$S$1005,1,MATCH(COLUMNS($P$1006:P1006),$P$1006:$S$1006,0))&gt;=100000), " ",IF(INDEX($P$2:$S$1001,MATCH(ROWS($I$2:I166),$I$2:$I$1001,0),MATCH(COLUMNS($P$1006:P1006),$P$1006:$S$1006,0)), HYPERLINK("#",""), HYPERLINK(CONCATENATE("#metadata!", ADDRESS(INDEX($K$2:$K$1001,MATCH(ROWS($I$2:I166),$I$2:$I$1001,0),0), INDEX($P$1004:$S$1004,1,MATCH(COLUMNS($P$1006:P1006),$P$1006:$S$1006,0)))),"Fix")))</f>
        <v>0</v>
      </c>
      <c r="C166" s="3">
        <f>IF(OR(INDEX($J$2:$J$1001,MATCH(ROWS($I$2:I166),$I$2:$I$1001,0),1)&gt;=100000,INDEX($P$1005:$S$1005,1,MATCH(COLUMNS($P$1006:Q1006),$P$1006:$S$1006,0))&gt;=100000), " ",IF(INDEX($P$2:$S$1001,MATCH(ROWS($I$2:I166),$I$2:$I$1001,0),MATCH(COLUMNS($P$1006:Q1006),$P$1006:$S$1006,0)), HYPERLINK("#",""), HYPERLINK(CONCATENATE("#metadata!", ADDRESS(INDEX($K$2:$K$1001,MATCH(ROWS($I$2:I166),$I$2:$I$1001,0),0), INDEX($P$1004:$S$1004,1,MATCH(COLUMNS($P$1006:Q1006),$P$1006:$S$1006,0)))),"Fix")))</f>
        <v>0</v>
      </c>
      <c r="D166" s="3">
        <f>IF(OR(INDEX($J$2:$J$1001,MATCH(ROWS($I$2:I166),$I$2:$I$1001,0),1)&gt;=100000,INDEX($P$1005:$S$1005,1,MATCH(COLUMNS($P$1006:R1006),$P$1006:$S$1006,0))&gt;=100000), " ",IF(INDEX($P$2:$S$1001,MATCH(ROWS($I$2:I166),$I$2:$I$1001,0),MATCH(COLUMNS($P$1006:R1006),$P$1006:$S$1006,0)), HYPERLINK("#",""), HYPERLINK(CONCATENATE("#metadata!", ADDRESS(INDEX($K$2:$K$1001,MATCH(ROWS($I$2:I166),$I$2:$I$1001,0),0), INDEX($P$1004:$S$1004,1,MATCH(COLUMNS($P$1006:R1006),$P$1006:$S$1006,0)))),"Fix")))</f>
        <v>0</v>
      </c>
      <c r="E166" s="3">
        <f>IF(OR(INDEX($J$2:$J$1001,MATCH(ROWS($I$2:I166),$I$2:$I$1001,0),1)&gt;=100000,INDEX($P$1005:$S$1005,1,MATCH(COLUMNS($P$1006:S1006),$P$1006:$S$1006,0))&gt;=100000), " ",IF(INDEX($P$2:$S$1001,MATCH(ROWS($I$2:I166),$I$2:$I$1001,0),MATCH(COLUMNS($P$1006:S1006),$P$1006:$S$1006,0)), HYPERLINK("#",""), HYPERLINK(CONCATENATE("#metadata!", ADDRESS(INDEX($K$2:$K$1001,MATCH(ROWS($I$2:I166),$I$2:$I$1001,0),0), INDEX($P$1004:$S$1004,1,MATCH(COLUMNS($P$1006:S1006),$P$1006:$S$1006,0)))),"Fix")))</f>
        <v>0</v>
      </c>
      <c r="I166">
        <v>0</v>
      </c>
      <c r="J166">
        <v>0</v>
      </c>
      <c r="K166">
        <v>0</v>
      </c>
      <c r="L166">
        <f>IF(M166,TRUE,AND(P166:S166))</f>
        <v>0</v>
      </c>
      <c r="M166">
        <f>COUNTBLANK(metadata!B166:E166)=COLUMNS(metadata!B166:E166)</f>
        <v>0</v>
      </c>
      <c r="N166">
        <v>0</v>
      </c>
      <c r="P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Q166">
        <f>AND(IF(metadata!C166="",FALSE,TRUE),exact(metadata!C166,"other"))</f>
        <v>0</v>
      </c>
      <c r="R166">
        <f>AND(IF(metadata!D166="",FALSE,TRUE),exact(metadata!D166,"metagenome"))</f>
        <v>0</v>
      </c>
      <c r="S166">
        <f>AND(IF(metadata!E166="",FALSE,TRUE),exact(metadata!E166,"256318"))</f>
        <v>0</v>
      </c>
    </row>
    <row r="167" spans="1:19">
      <c r="A167" s="4">
        <f>IF(B167=" "," ",HYPERLINK(CONCATENATE("#metadata!",ADDRESS(INDEX($K$2:$K$1001,MATCH(ROWS($I$2:I167),$I$2:$I$1001,0),0),1)),INDEX($N$2:$N$1001,MATCH(ROWS($I$2:I167),$I$2:$I$1001,0),0)))</f>
        <v>0</v>
      </c>
      <c r="B167" s="3">
        <f>IF(OR(INDEX($J$2:$J$1001,MATCH(ROWS($I$2:I167),$I$2:$I$1001,0),1)&gt;=100000,INDEX($P$1005:$S$1005,1,MATCH(COLUMNS($P$1006:P1006),$P$1006:$S$1006,0))&gt;=100000), " ",IF(INDEX($P$2:$S$1001,MATCH(ROWS($I$2:I167),$I$2:$I$1001,0),MATCH(COLUMNS($P$1006:P1006),$P$1006:$S$1006,0)), HYPERLINK("#",""), HYPERLINK(CONCATENATE("#metadata!", ADDRESS(INDEX($K$2:$K$1001,MATCH(ROWS($I$2:I167),$I$2:$I$1001,0),0), INDEX($P$1004:$S$1004,1,MATCH(COLUMNS($P$1006:P1006),$P$1006:$S$1006,0)))),"Fix")))</f>
        <v>0</v>
      </c>
      <c r="C167" s="3">
        <f>IF(OR(INDEX($J$2:$J$1001,MATCH(ROWS($I$2:I167),$I$2:$I$1001,0),1)&gt;=100000,INDEX($P$1005:$S$1005,1,MATCH(COLUMNS($P$1006:Q1006),$P$1006:$S$1006,0))&gt;=100000), " ",IF(INDEX($P$2:$S$1001,MATCH(ROWS($I$2:I167),$I$2:$I$1001,0),MATCH(COLUMNS($P$1006:Q1006),$P$1006:$S$1006,0)), HYPERLINK("#",""), HYPERLINK(CONCATENATE("#metadata!", ADDRESS(INDEX($K$2:$K$1001,MATCH(ROWS($I$2:I167),$I$2:$I$1001,0),0), INDEX($P$1004:$S$1004,1,MATCH(COLUMNS($P$1006:Q1006),$P$1006:$S$1006,0)))),"Fix")))</f>
        <v>0</v>
      </c>
      <c r="D167" s="3">
        <f>IF(OR(INDEX($J$2:$J$1001,MATCH(ROWS($I$2:I167),$I$2:$I$1001,0),1)&gt;=100000,INDEX($P$1005:$S$1005,1,MATCH(COLUMNS($P$1006:R1006),$P$1006:$S$1006,0))&gt;=100000), " ",IF(INDEX($P$2:$S$1001,MATCH(ROWS($I$2:I167),$I$2:$I$1001,0),MATCH(COLUMNS($P$1006:R1006),$P$1006:$S$1006,0)), HYPERLINK("#",""), HYPERLINK(CONCATENATE("#metadata!", ADDRESS(INDEX($K$2:$K$1001,MATCH(ROWS($I$2:I167),$I$2:$I$1001,0),0), INDEX($P$1004:$S$1004,1,MATCH(COLUMNS($P$1006:R1006),$P$1006:$S$1006,0)))),"Fix")))</f>
        <v>0</v>
      </c>
      <c r="E167" s="3">
        <f>IF(OR(INDEX($J$2:$J$1001,MATCH(ROWS($I$2:I167),$I$2:$I$1001,0),1)&gt;=100000,INDEX($P$1005:$S$1005,1,MATCH(COLUMNS($P$1006:S1006),$P$1006:$S$1006,0))&gt;=100000), " ",IF(INDEX($P$2:$S$1001,MATCH(ROWS($I$2:I167),$I$2:$I$1001,0),MATCH(COLUMNS($P$1006:S1006),$P$1006:$S$1006,0)), HYPERLINK("#",""), HYPERLINK(CONCATENATE("#metadata!", ADDRESS(INDEX($K$2:$K$1001,MATCH(ROWS($I$2:I167),$I$2:$I$1001,0),0), INDEX($P$1004:$S$1004,1,MATCH(COLUMNS($P$1006:S1006),$P$1006:$S$1006,0)))),"Fix")))</f>
        <v>0</v>
      </c>
      <c r="I167">
        <v>0</v>
      </c>
      <c r="J167">
        <v>0</v>
      </c>
      <c r="K167">
        <v>0</v>
      </c>
      <c r="L167">
        <f>IF(M167,TRUE,AND(P167:S167))</f>
        <v>0</v>
      </c>
      <c r="M167">
        <f>COUNTBLANK(metadata!B167:E167)=COLUMNS(metadata!B167:E167)</f>
        <v>0</v>
      </c>
      <c r="N167">
        <v>0</v>
      </c>
      <c r="P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Q167">
        <f>AND(IF(metadata!C167="",FALSE,TRUE),exact(metadata!C167,"other"))</f>
        <v>0</v>
      </c>
      <c r="R167">
        <f>AND(IF(metadata!D167="",FALSE,TRUE),exact(metadata!D167,"metagenome"))</f>
        <v>0</v>
      </c>
      <c r="S167">
        <f>AND(IF(metadata!E167="",FALSE,TRUE),exact(metadata!E167,"256318"))</f>
        <v>0</v>
      </c>
    </row>
    <row r="168" spans="1:19">
      <c r="A168" s="4">
        <f>IF(B168=" "," ",HYPERLINK(CONCATENATE("#metadata!",ADDRESS(INDEX($K$2:$K$1001,MATCH(ROWS($I$2:I168),$I$2:$I$1001,0),0),1)),INDEX($N$2:$N$1001,MATCH(ROWS($I$2:I168),$I$2:$I$1001,0),0)))</f>
        <v>0</v>
      </c>
      <c r="B168" s="3">
        <f>IF(OR(INDEX($J$2:$J$1001,MATCH(ROWS($I$2:I168),$I$2:$I$1001,0),1)&gt;=100000,INDEX($P$1005:$S$1005,1,MATCH(COLUMNS($P$1006:P1006),$P$1006:$S$1006,0))&gt;=100000), " ",IF(INDEX($P$2:$S$1001,MATCH(ROWS($I$2:I168),$I$2:$I$1001,0),MATCH(COLUMNS($P$1006:P1006),$P$1006:$S$1006,0)), HYPERLINK("#",""), HYPERLINK(CONCATENATE("#metadata!", ADDRESS(INDEX($K$2:$K$1001,MATCH(ROWS($I$2:I168),$I$2:$I$1001,0),0), INDEX($P$1004:$S$1004,1,MATCH(COLUMNS($P$1006:P1006),$P$1006:$S$1006,0)))),"Fix")))</f>
        <v>0</v>
      </c>
      <c r="C168" s="3">
        <f>IF(OR(INDEX($J$2:$J$1001,MATCH(ROWS($I$2:I168),$I$2:$I$1001,0),1)&gt;=100000,INDEX($P$1005:$S$1005,1,MATCH(COLUMNS($P$1006:Q1006),$P$1006:$S$1006,0))&gt;=100000), " ",IF(INDEX($P$2:$S$1001,MATCH(ROWS($I$2:I168),$I$2:$I$1001,0),MATCH(COLUMNS($P$1006:Q1006),$P$1006:$S$1006,0)), HYPERLINK("#",""), HYPERLINK(CONCATENATE("#metadata!", ADDRESS(INDEX($K$2:$K$1001,MATCH(ROWS($I$2:I168),$I$2:$I$1001,0),0), INDEX($P$1004:$S$1004,1,MATCH(COLUMNS($P$1006:Q1006),$P$1006:$S$1006,0)))),"Fix")))</f>
        <v>0</v>
      </c>
      <c r="D168" s="3">
        <f>IF(OR(INDEX($J$2:$J$1001,MATCH(ROWS($I$2:I168),$I$2:$I$1001,0),1)&gt;=100000,INDEX($P$1005:$S$1005,1,MATCH(COLUMNS($P$1006:R1006),$P$1006:$S$1006,0))&gt;=100000), " ",IF(INDEX($P$2:$S$1001,MATCH(ROWS($I$2:I168),$I$2:$I$1001,0),MATCH(COLUMNS($P$1006:R1006),$P$1006:$S$1006,0)), HYPERLINK("#",""), HYPERLINK(CONCATENATE("#metadata!", ADDRESS(INDEX($K$2:$K$1001,MATCH(ROWS($I$2:I168),$I$2:$I$1001,0),0), INDEX($P$1004:$S$1004,1,MATCH(COLUMNS($P$1006:R1006),$P$1006:$S$1006,0)))),"Fix")))</f>
        <v>0</v>
      </c>
      <c r="E168" s="3">
        <f>IF(OR(INDEX($J$2:$J$1001,MATCH(ROWS($I$2:I168),$I$2:$I$1001,0),1)&gt;=100000,INDEX($P$1005:$S$1005,1,MATCH(COLUMNS($P$1006:S1006),$P$1006:$S$1006,0))&gt;=100000), " ",IF(INDEX($P$2:$S$1001,MATCH(ROWS($I$2:I168),$I$2:$I$1001,0),MATCH(COLUMNS($P$1006:S1006),$P$1006:$S$1006,0)), HYPERLINK("#",""), HYPERLINK(CONCATENATE("#metadata!", ADDRESS(INDEX($K$2:$K$1001,MATCH(ROWS($I$2:I168),$I$2:$I$1001,0),0), INDEX($P$1004:$S$1004,1,MATCH(COLUMNS($P$1006:S1006),$P$1006:$S$1006,0)))),"Fix")))</f>
        <v>0</v>
      </c>
      <c r="I168">
        <v>0</v>
      </c>
      <c r="J168">
        <v>0</v>
      </c>
      <c r="K168">
        <v>0</v>
      </c>
      <c r="L168">
        <f>IF(M168,TRUE,AND(P168:S168))</f>
        <v>0</v>
      </c>
      <c r="M168">
        <f>COUNTBLANK(metadata!B168:E168)=COLUMNS(metadata!B168:E168)</f>
        <v>0</v>
      </c>
      <c r="N168">
        <v>0</v>
      </c>
      <c r="P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Q168">
        <f>AND(IF(metadata!C168="",FALSE,TRUE),exact(metadata!C168,"other"))</f>
        <v>0</v>
      </c>
      <c r="R168">
        <f>AND(IF(metadata!D168="",FALSE,TRUE),exact(metadata!D168,"metagenome"))</f>
        <v>0</v>
      </c>
      <c r="S168">
        <f>AND(IF(metadata!E168="",FALSE,TRUE),exact(metadata!E168,"256318"))</f>
        <v>0</v>
      </c>
    </row>
    <row r="169" spans="1:19">
      <c r="A169" s="4">
        <f>IF(B169=" "," ",HYPERLINK(CONCATENATE("#metadata!",ADDRESS(INDEX($K$2:$K$1001,MATCH(ROWS($I$2:I169),$I$2:$I$1001,0),0),1)),INDEX($N$2:$N$1001,MATCH(ROWS($I$2:I169),$I$2:$I$1001,0),0)))</f>
        <v>0</v>
      </c>
      <c r="B169" s="3">
        <f>IF(OR(INDEX($J$2:$J$1001,MATCH(ROWS($I$2:I169),$I$2:$I$1001,0),1)&gt;=100000,INDEX($P$1005:$S$1005,1,MATCH(COLUMNS($P$1006:P1006),$P$1006:$S$1006,0))&gt;=100000), " ",IF(INDEX($P$2:$S$1001,MATCH(ROWS($I$2:I169),$I$2:$I$1001,0),MATCH(COLUMNS($P$1006:P1006),$P$1006:$S$1006,0)), HYPERLINK("#",""), HYPERLINK(CONCATENATE("#metadata!", ADDRESS(INDEX($K$2:$K$1001,MATCH(ROWS($I$2:I169),$I$2:$I$1001,0),0), INDEX($P$1004:$S$1004,1,MATCH(COLUMNS($P$1006:P1006),$P$1006:$S$1006,0)))),"Fix")))</f>
        <v>0</v>
      </c>
      <c r="C169" s="3">
        <f>IF(OR(INDEX($J$2:$J$1001,MATCH(ROWS($I$2:I169),$I$2:$I$1001,0),1)&gt;=100000,INDEX($P$1005:$S$1005,1,MATCH(COLUMNS($P$1006:Q1006),$P$1006:$S$1006,0))&gt;=100000), " ",IF(INDEX($P$2:$S$1001,MATCH(ROWS($I$2:I169),$I$2:$I$1001,0),MATCH(COLUMNS($P$1006:Q1006),$P$1006:$S$1006,0)), HYPERLINK("#",""), HYPERLINK(CONCATENATE("#metadata!", ADDRESS(INDEX($K$2:$K$1001,MATCH(ROWS($I$2:I169),$I$2:$I$1001,0),0), INDEX($P$1004:$S$1004,1,MATCH(COLUMNS($P$1006:Q1006),$P$1006:$S$1006,0)))),"Fix")))</f>
        <v>0</v>
      </c>
      <c r="D169" s="3">
        <f>IF(OR(INDEX($J$2:$J$1001,MATCH(ROWS($I$2:I169),$I$2:$I$1001,0),1)&gt;=100000,INDEX($P$1005:$S$1005,1,MATCH(COLUMNS($P$1006:R1006),$P$1006:$S$1006,0))&gt;=100000), " ",IF(INDEX($P$2:$S$1001,MATCH(ROWS($I$2:I169),$I$2:$I$1001,0),MATCH(COLUMNS($P$1006:R1006),$P$1006:$S$1006,0)), HYPERLINK("#",""), HYPERLINK(CONCATENATE("#metadata!", ADDRESS(INDEX($K$2:$K$1001,MATCH(ROWS($I$2:I169),$I$2:$I$1001,0),0), INDEX($P$1004:$S$1004,1,MATCH(COLUMNS($P$1006:R1006),$P$1006:$S$1006,0)))),"Fix")))</f>
        <v>0</v>
      </c>
      <c r="E169" s="3">
        <f>IF(OR(INDEX($J$2:$J$1001,MATCH(ROWS($I$2:I169),$I$2:$I$1001,0),1)&gt;=100000,INDEX($P$1005:$S$1005,1,MATCH(COLUMNS($P$1006:S1006),$P$1006:$S$1006,0))&gt;=100000), " ",IF(INDEX($P$2:$S$1001,MATCH(ROWS($I$2:I169),$I$2:$I$1001,0),MATCH(COLUMNS($P$1006:S1006),$P$1006:$S$1006,0)), HYPERLINK("#",""), HYPERLINK(CONCATENATE("#metadata!", ADDRESS(INDEX($K$2:$K$1001,MATCH(ROWS($I$2:I169),$I$2:$I$1001,0),0), INDEX($P$1004:$S$1004,1,MATCH(COLUMNS($P$1006:S1006),$P$1006:$S$1006,0)))),"Fix")))</f>
        <v>0</v>
      </c>
      <c r="I169">
        <v>0</v>
      </c>
      <c r="J169">
        <v>0</v>
      </c>
      <c r="K169">
        <v>0</v>
      </c>
      <c r="L169">
        <f>IF(M169,TRUE,AND(P169:S169))</f>
        <v>0</v>
      </c>
      <c r="M169">
        <f>COUNTBLANK(metadata!B169:E169)=COLUMNS(metadata!B169:E169)</f>
        <v>0</v>
      </c>
      <c r="N169">
        <v>0</v>
      </c>
      <c r="P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Q169">
        <f>AND(IF(metadata!C169="",FALSE,TRUE),exact(metadata!C169,"other"))</f>
        <v>0</v>
      </c>
      <c r="R169">
        <f>AND(IF(metadata!D169="",FALSE,TRUE),exact(metadata!D169,"metagenome"))</f>
        <v>0</v>
      </c>
      <c r="S169">
        <f>AND(IF(metadata!E169="",FALSE,TRUE),exact(metadata!E169,"256318"))</f>
        <v>0</v>
      </c>
    </row>
    <row r="170" spans="1:19">
      <c r="A170" s="4">
        <f>IF(B170=" "," ",HYPERLINK(CONCATENATE("#metadata!",ADDRESS(INDEX($K$2:$K$1001,MATCH(ROWS($I$2:I170),$I$2:$I$1001,0),0),1)),INDEX($N$2:$N$1001,MATCH(ROWS($I$2:I170),$I$2:$I$1001,0),0)))</f>
        <v>0</v>
      </c>
      <c r="B170" s="3">
        <f>IF(OR(INDEX($J$2:$J$1001,MATCH(ROWS($I$2:I170),$I$2:$I$1001,0),1)&gt;=100000,INDEX($P$1005:$S$1005,1,MATCH(COLUMNS($P$1006:P1006),$P$1006:$S$1006,0))&gt;=100000), " ",IF(INDEX($P$2:$S$1001,MATCH(ROWS($I$2:I170),$I$2:$I$1001,0),MATCH(COLUMNS($P$1006:P1006),$P$1006:$S$1006,0)), HYPERLINK("#",""), HYPERLINK(CONCATENATE("#metadata!", ADDRESS(INDEX($K$2:$K$1001,MATCH(ROWS($I$2:I170),$I$2:$I$1001,0),0), INDEX($P$1004:$S$1004,1,MATCH(COLUMNS($P$1006:P1006),$P$1006:$S$1006,0)))),"Fix")))</f>
        <v>0</v>
      </c>
      <c r="C170" s="3">
        <f>IF(OR(INDEX($J$2:$J$1001,MATCH(ROWS($I$2:I170),$I$2:$I$1001,0),1)&gt;=100000,INDEX($P$1005:$S$1005,1,MATCH(COLUMNS($P$1006:Q1006),$P$1006:$S$1006,0))&gt;=100000), " ",IF(INDEX($P$2:$S$1001,MATCH(ROWS($I$2:I170),$I$2:$I$1001,0),MATCH(COLUMNS($P$1006:Q1006),$P$1006:$S$1006,0)), HYPERLINK("#",""), HYPERLINK(CONCATENATE("#metadata!", ADDRESS(INDEX($K$2:$K$1001,MATCH(ROWS($I$2:I170),$I$2:$I$1001,0),0), INDEX($P$1004:$S$1004,1,MATCH(COLUMNS($P$1006:Q1006),$P$1006:$S$1006,0)))),"Fix")))</f>
        <v>0</v>
      </c>
      <c r="D170" s="3">
        <f>IF(OR(INDEX($J$2:$J$1001,MATCH(ROWS($I$2:I170),$I$2:$I$1001,0),1)&gt;=100000,INDEX($P$1005:$S$1005,1,MATCH(COLUMNS($P$1006:R1006),$P$1006:$S$1006,0))&gt;=100000), " ",IF(INDEX($P$2:$S$1001,MATCH(ROWS($I$2:I170),$I$2:$I$1001,0),MATCH(COLUMNS($P$1006:R1006),$P$1006:$S$1006,0)), HYPERLINK("#",""), HYPERLINK(CONCATENATE("#metadata!", ADDRESS(INDEX($K$2:$K$1001,MATCH(ROWS($I$2:I170),$I$2:$I$1001,0),0), INDEX($P$1004:$S$1004,1,MATCH(COLUMNS($P$1006:R1006),$P$1006:$S$1006,0)))),"Fix")))</f>
        <v>0</v>
      </c>
      <c r="E170" s="3">
        <f>IF(OR(INDEX($J$2:$J$1001,MATCH(ROWS($I$2:I170),$I$2:$I$1001,0),1)&gt;=100000,INDEX($P$1005:$S$1005,1,MATCH(COLUMNS($P$1006:S1006),$P$1006:$S$1006,0))&gt;=100000), " ",IF(INDEX($P$2:$S$1001,MATCH(ROWS($I$2:I170),$I$2:$I$1001,0),MATCH(COLUMNS($P$1006:S1006),$P$1006:$S$1006,0)), HYPERLINK("#",""), HYPERLINK(CONCATENATE("#metadata!", ADDRESS(INDEX($K$2:$K$1001,MATCH(ROWS($I$2:I170),$I$2:$I$1001,0),0), INDEX($P$1004:$S$1004,1,MATCH(COLUMNS($P$1006:S1006),$P$1006:$S$1006,0)))),"Fix")))</f>
        <v>0</v>
      </c>
      <c r="I170">
        <v>0</v>
      </c>
      <c r="J170">
        <v>0</v>
      </c>
      <c r="K170">
        <v>0</v>
      </c>
      <c r="L170">
        <f>IF(M170,TRUE,AND(P170:S170))</f>
        <v>0</v>
      </c>
      <c r="M170">
        <f>COUNTBLANK(metadata!B170:E170)=COLUMNS(metadata!B170:E170)</f>
        <v>0</v>
      </c>
      <c r="N170">
        <v>0</v>
      </c>
      <c r="P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Q170">
        <f>AND(IF(metadata!C170="",FALSE,TRUE),exact(metadata!C170,"other"))</f>
        <v>0</v>
      </c>
      <c r="R170">
        <f>AND(IF(metadata!D170="",FALSE,TRUE),exact(metadata!D170,"metagenome"))</f>
        <v>0</v>
      </c>
      <c r="S170">
        <f>AND(IF(metadata!E170="",FALSE,TRUE),exact(metadata!E170,"256318"))</f>
        <v>0</v>
      </c>
    </row>
    <row r="171" spans="1:19">
      <c r="A171" s="4">
        <f>IF(B171=" "," ",HYPERLINK(CONCATENATE("#metadata!",ADDRESS(INDEX($K$2:$K$1001,MATCH(ROWS($I$2:I171),$I$2:$I$1001,0),0),1)),INDEX($N$2:$N$1001,MATCH(ROWS($I$2:I171),$I$2:$I$1001,0),0)))</f>
        <v>0</v>
      </c>
      <c r="B171" s="3">
        <f>IF(OR(INDEX($J$2:$J$1001,MATCH(ROWS($I$2:I171),$I$2:$I$1001,0),1)&gt;=100000,INDEX($P$1005:$S$1005,1,MATCH(COLUMNS($P$1006:P1006),$P$1006:$S$1006,0))&gt;=100000), " ",IF(INDEX($P$2:$S$1001,MATCH(ROWS($I$2:I171),$I$2:$I$1001,0),MATCH(COLUMNS($P$1006:P1006),$P$1006:$S$1006,0)), HYPERLINK("#",""), HYPERLINK(CONCATENATE("#metadata!", ADDRESS(INDEX($K$2:$K$1001,MATCH(ROWS($I$2:I171),$I$2:$I$1001,0),0), INDEX($P$1004:$S$1004,1,MATCH(COLUMNS($P$1006:P1006),$P$1006:$S$1006,0)))),"Fix")))</f>
        <v>0</v>
      </c>
      <c r="C171" s="3">
        <f>IF(OR(INDEX($J$2:$J$1001,MATCH(ROWS($I$2:I171),$I$2:$I$1001,0),1)&gt;=100000,INDEX($P$1005:$S$1005,1,MATCH(COLUMNS($P$1006:Q1006),$P$1006:$S$1006,0))&gt;=100000), " ",IF(INDEX($P$2:$S$1001,MATCH(ROWS($I$2:I171),$I$2:$I$1001,0),MATCH(COLUMNS($P$1006:Q1006),$P$1006:$S$1006,0)), HYPERLINK("#",""), HYPERLINK(CONCATENATE("#metadata!", ADDRESS(INDEX($K$2:$K$1001,MATCH(ROWS($I$2:I171),$I$2:$I$1001,0),0), INDEX($P$1004:$S$1004,1,MATCH(COLUMNS($P$1006:Q1006),$P$1006:$S$1006,0)))),"Fix")))</f>
        <v>0</v>
      </c>
      <c r="D171" s="3">
        <f>IF(OR(INDEX($J$2:$J$1001,MATCH(ROWS($I$2:I171),$I$2:$I$1001,0),1)&gt;=100000,INDEX($P$1005:$S$1005,1,MATCH(COLUMNS($P$1006:R1006),$P$1006:$S$1006,0))&gt;=100000), " ",IF(INDEX($P$2:$S$1001,MATCH(ROWS($I$2:I171),$I$2:$I$1001,0),MATCH(COLUMNS($P$1006:R1006),$P$1006:$S$1006,0)), HYPERLINK("#",""), HYPERLINK(CONCATENATE("#metadata!", ADDRESS(INDEX($K$2:$K$1001,MATCH(ROWS($I$2:I171),$I$2:$I$1001,0),0), INDEX($P$1004:$S$1004,1,MATCH(COLUMNS($P$1006:R1006),$P$1006:$S$1006,0)))),"Fix")))</f>
        <v>0</v>
      </c>
      <c r="E171" s="3">
        <f>IF(OR(INDEX($J$2:$J$1001,MATCH(ROWS($I$2:I171),$I$2:$I$1001,0),1)&gt;=100000,INDEX($P$1005:$S$1005,1,MATCH(COLUMNS($P$1006:S1006),$P$1006:$S$1006,0))&gt;=100000), " ",IF(INDEX($P$2:$S$1001,MATCH(ROWS($I$2:I171),$I$2:$I$1001,0),MATCH(COLUMNS($P$1006:S1006),$P$1006:$S$1006,0)), HYPERLINK("#",""), HYPERLINK(CONCATENATE("#metadata!", ADDRESS(INDEX($K$2:$K$1001,MATCH(ROWS($I$2:I171),$I$2:$I$1001,0),0), INDEX($P$1004:$S$1004,1,MATCH(COLUMNS($P$1006:S1006),$P$1006:$S$1006,0)))),"Fix")))</f>
        <v>0</v>
      </c>
      <c r="I171">
        <v>0</v>
      </c>
      <c r="J171">
        <v>0</v>
      </c>
      <c r="K171">
        <v>0</v>
      </c>
      <c r="L171">
        <f>IF(M171,TRUE,AND(P171:S171))</f>
        <v>0</v>
      </c>
      <c r="M171">
        <f>COUNTBLANK(metadata!B171:E171)=COLUMNS(metadata!B171:E171)</f>
        <v>0</v>
      </c>
      <c r="N171">
        <v>0</v>
      </c>
      <c r="P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Q171">
        <f>AND(IF(metadata!C171="",FALSE,TRUE),exact(metadata!C171,"other"))</f>
        <v>0</v>
      </c>
      <c r="R171">
        <f>AND(IF(metadata!D171="",FALSE,TRUE),exact(metadata!D171,"metagenome"))</f>
        <v>0</v>
      </c>
      <c r="S171">
        <f>AND(IF(metadata!E171="",FALSE,TRUE),exact(metadata!E171,"256318"))</f>
        <v>0</v>
      </c>
    </row>
    <row r="172" spans="1:19">
      <c r="A172" s="4">
        <f>IF(B172=" "," ",HYPERLINK(CONCATENATE("#metadata!",ADDRESS(INDEX($K$2:$K$1001,MATCH(ROWS($I$2:I172),$I$2:$I$1001,0),0),1)),INDEX($N$2:$N$1001,MATCH(ROWS($I$2:I172),$I$2:$I$1001,0),0)))</f>
        <v>0</v>
      </c>
      <c r="B172" s="3">
        <f>IF(OR(INDEX($J$2:$J$1001,MATCH(ROWS($I$2:I172),$I$2:$I$1001,0),1)&gt;=100000,INDEX($P$1005:$S$1005,1,MATCH(COLUMNS($P$1006:P1006),$P$1006:$S$1006,0))&gt;=100000), " ",IF(INDEX($P$2:$S$1001,MATCH(ROWS($I$2:I172),$I$2:$I$1001,0),MATCH(COLUMNS($P$1006:P1006),$P$1006:$S$1006,0)), HYPERLINK("#",""), HYPERLINK(CONCATENATE("#metadata!", ADDRESS(INDEX($K$2:$K$1001,MATCH(ROWS($I$2:I172),$I$2:$I$1001,0),0), INDEX($P$1004:$S$1004,1,MATCH(COLUMNS($P$1006:P1006),$P$1006:$S$1006,0)))),"Fix")))</f>
        <v>0</v>
      </c>
      <c r="C172" s="3">
        <f>IF(OR(INDEX($J$2:$J$1001,MATCH(ROWS($I$2:I172),$I$2:$I$1001,0),1)&gt;=100000,INDEX($P$1005:$S$1005,1,MATCH(COLUMNS($P$1006:Q1006),$P$1006:$S$1006,0))&gt;=100000), " ",IF(INDEX($P$2:$S$1001,MATCH(ROWS($I$2:I172),$I$2:$I$1001,0),MATCH(COLUMNS($P$1006:Q1006),$P$1006:$S$1006,0)), HYPERLINK("#",""), HYPERLINK(CONCATENATE("#metadata!", ADDRESS(INDEX($K$2:$K$1001,MATCH(ROWS($I$2:I172),$I$2:$I$1001,0),0), INDEX($P$1004:$S$1004,1,MATCH(COLUMNS($P$1006:Q1006),$P$1006:$S$1006,0)))),"Fix")))</f>
        <v>0</v>
      </c>
      <c r="D172" s="3">
        <f>IF(OR(INDEX($J$2:$J$1001,MATCH(ROWS($I$2:I172),$I$2:$I$1001,0),1)&gt;=100000,INDEX($P$1005:$S$1005,1,MATCH(COLUMNS($P$1006:R1006),$P$1006:$S$1006,0))&gt;=100000), " ",IF(INDEX($P$2:$S$1001,MATCH(ROWS($I$2:I172),$I$2:$I$1001,0),MATCH(COLUMNS($P$1006:R1006),$P$1006:$S$1006,0)), HYPERLINK("#",""), HYPERLINK(CONCATENATE("#metadata!", ADDRESS(INDEX($K$2:$K$1001,MATCH(ROWS($I$2:I172),$I$2:$I$1001,0),0), INDEX($P$1004:$S$1004,1,MATCH(COLUMNS($P$1006:R1006),$P$1006:$S$1006,0)))),"Fix")))</f>
        <v>0</v>
      </c>
      <c r="E172" s="3">
        <f>IF(OR(INDEX($J$2:$J$1001,MATCH(ROWS($I$2:I172),$I$2:$I$1001,0),1)&gt;=100000,INDEX($P$1005:$S$1005,1,MATCH(COLUMNS($P$1006:S1006),$P$1006:$S$1006,0))&gt;=100000), " ",IF(INDEX($P$2:$S$1001,MATCH(ROWS($I$2:I172),$I$2:$I$1001,0),MATCH(COLUMNS($P$1006:S1006),$P$1006:$S$1006,0)), HYPERLINK("#",""), HYPERLINK(CONCATENATE("#metadata!", ADDRESS(INDEX($K$2:$K$1001,MATCH(ROWS($I$2:I172),$I$2:$I$1001,0),0), INDEX($P$1004:$S$1004,1,MATCH(COLUMNS($P$1006:S1006),$P$1006:$S$1006,0)))),"Fix")))</f>
        <v>0</v>
      </c>
      <c r="I172">
        <v>0</v>
      </c>
      <c r="J172">
        <v>0</v>
      </c>
      <c r="K172">
        <v>0</v>
      </c>
      <c r="L172">
        <f>IF(M172,TRUE,AND(P172:S172))</f>
        <v>0</v>
      </c>
      <c r="M172">
        <f>COUNTBLANK(metadata!B172:E172)=COLUMNS(metadata!B172:E172)</f>
        <v>0</v>
      </c>
      <c r="N172">
        <v>0</v>
      </c>
      <c r="P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Q172">
        <f>AND(IF(metadata!C172="",FALSE,TRUE),exact(metadata!C172,"other"))</f>
        <v>0</v>
      </c>
      <c r="R172">
        <f>AND(IF(metadata!D172="",FALSE,TRUE),exact(metadata!D172,"metagenome"))</f>
        <v>0</v>
      </c>
      <c r="S172">
        <f>AND(IF(metadata!E172="",FALSE,TRUE),exact(metadata!E172,"256318"))</f>
        <v>0</v>
      </c>
    </row>
    <row r="173" spans="1:19">
      <c r="A173" s="4">
        <f>IF(B173=" "," ",HYPERLINK(CONCATENATE("#metadata!",ADDRESS(INDEX($K$2:$K$1001,MATCH(ROWS($I$2:I173),$I$2:$I$1001,0),0),1)),INDEX($N$2:$N$1001,MATCH(ROWS($I$2:I173),$I$2:$I$1001,0),0)))</f>
        <v>0</v>
      </c>
      <c r="B173" s="3">
        <f>IF(OR(INDEX($J$2:$J$1001,MATCH(ROWS($I$2:I173),$I$2:$I$1001,0),1)&gt;=100000,INDEX($P$1005:$S$1005,1,MATCH(COLUMNS($P$1006:P1006),$P$1006:$S$1006,0))&gt;=100000), " ",IF(INDEX($P$2:$S$1001,MATCH(ROWS($I$2:I173),$I$2:$I$1001,0),MATCH(COLUMNS($P$1006:P1006),$P$1006:$S$1006,0)), HYPERLINK("#",""), HYPERLINK(CONCATENATE("#metadata!", ADDRESS(INDEX($K$2:$K$1001,MATCH(ROWS($I$2:I173),$I$2:$I$1001,0),0), INDEX($P$1004:$S$1004,1,MATCH(COLUMNS($P$1006:P1006),$P$1006:$S$1006,0)))),"Fix")))</f>
        <v>0</v>
      </c>
      <c r="C173" s="3">
        <f>IF(OR(INDEX($J$2:$J$1001,MATCH(ROWS($I$2:I173),$I$2:$I$1001,0),1)&gt;=100000,INDEX($P$1005:$S$1005,1,MATCH(COLUMNS($P$1006:Q1006),$P$1006:$S$1006,0))&gt;=100000), " ",IF(INDEX($P$2:$S$1001,MATCH(ROWS($I$2:I173),$I$2:$I$1001,0),MATCH(COLUMNS($P$1006:Q1006),$P$1006:$S$1006,0)), HYPERLINK("#",""), HYPERLINK(CONCATENATE("#metadata!", ADDRESS(INDEX($K$2:$K$1001,MATCH(ROWS($I$2:I173),$I$2:$I$1001,0),0), INDEX($P$1004:$S$1004,1,MATCH(COLUMNS($P$1006:Q1006),$P$1006:$S$1006,0)))),"Fix")))</f>
        <v>0</v>
      </c>
      <c r="D173" s="3">
        <f>IF(OR(INDEX($J$2:$J$1001,MATCH(ROWS($I$2:I173),$I$2:$I$1001,0),1)&gt;=100000,INDEX($P$1005:$S$1005,1,MATCH(COLUMNS($P$1006:R1006),$P$1006:$S$1006,0))&gt;=100000), " ",IF(INDEX($P$2:$S$1001,MATCH(ROWS($I$2:I173),$I$2:$I$1001,0),MATCH(COLUMNS($P$1006:R1006),$P$1006:$S$1006,0)), HYPERLINK("#",""), HYPERLINK(CONCATENATE("#metadata!", ADDRESS(INDEX($K$2:$K$1001,MATCH(ROWS($I$2:I173),$I$2:$I$1001,0),0), INDEX($P$1004:$S$1004,1,MATCH(COLUMNS($P$1006:R1006),$P$1006:$S$1006,0)))),"Fix")))</f>
        <v>0</v>
      </c>
      <c r="E173" s="3">
        <f>IF(OR(INDEX($J$2:$J$1001,MATCH(ROWS($I$2:I173),$I$2:$I$1001,0),1)&gt;=100000,INDEX($P$1005:$S$1005,1,MATCH(COLUMNS($P$1006:S1006),$P$1006:$S$1006,0))&gt;=100000), " ",IF(INDEX($P$2:$S$1001,MATCH(ROWS($I$2:I173),$I$2:$I$1001,0),MATCH(COLUMNS($P$1006:S1006),$P$1006:$S$1006,0)), HYPERLINK("#",""), HYPERLINK(CONCATENATE("#metadata!", ADDRESS(INDEX($K$2:$K$1001,MATCH(ROWS($I$2:I173),$I$2:$I$1001,0),0), INDEX($P$1004:$S$1004,1,MATCH(COLUMNS($P$1006:S1006),$P$1006:$S$1006,0)))),"Fix")))</f>
        <v>0</v>
      </c>
      <c r="I173">
        <v>0</v>
      </c>
      <c r="J173">
        <v>0</v>
      </c>
      <c r="K173">
        <v>0</v>
      </c>
      <c r="L173">
        <f>IF(M173,TRUE,AND(P173:S173))</f>
        <v>0</v>
      </c>
      <c r="M173">
        <f>COUNTBLANK(metadata!B173:E173)=COLUMNS(metadata!B173:E173)</f>
        <v>0</v>
      </c>
      <c r="N173">
        <v>0</v>
      </c>
      <c r="P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Q173">
        <f>AND(IF(metadata!C173="",FALSE,TRUE),exact(metadata!C173,"other"))</f>
        <v>0</v>
      </c>
      <c r="R173">
        <f>AND(IF(metadata!D173="",FALSE,TRUE),exact(metadata!D173,"metagenome"))</f>
        <v>0</v>
      </c>
      <c r="S173">
        <f>AND(IF(metadata!E173="",FALSE,TRUE),exact(metadata!E173,"256318"))</f>
        <v>0</v>
      </c>
    </row>
    <row r="174" spans="1:19">
      <c r="A174" s="4">
        <f>IF(B174=" "," ",HYPERLINK(CONCATENATE("#metadata!",ADDRESS(INDEX($K$2:$K$1001,MATCH(ROWS($I$2:I174),$I$2:$I$1001,0),0),1)),INDEX($N$2:$N$1001,MATCH(ROWS($I$2:I174),$I$2:$I$1001,0),0)))</f>
        <v>0</v>
      </c>
      <c r="B174" s="3">
        <f>IF(OR(INDEX($J$2:$J$1001,MATCH(ROWS($I$2:I174),$I$2:$I$1001,0),1)&gt;=100000,INDEX($P$1005:$S$1005,1,MATCH(COLUMNS($P$1006:P1006),$P$1006:$S$1006,0))&gt;=100000), " ",IF(INDEX($P$2:$S$1001,MATCH(ROWS($I$2:I174),$I$2:$I$1001,0),MATCH(COLUMNS($P$1006:P1006),$P$1006:$S$1006,0)), HYPERLINK("#",""), HYPERLINK(CONCATENATE("#metadata!", ADDRESS(INDEX($K$2:$K$1001,MATCH(ROWS($I$2:I174),$I$2:$I$1001,0),0), INDEX($P$1004:$S$1004,1,MATCH(COLUMNS($P$1006:P1006),$P$1006:$S$1006,0)))),"Fix")))</f>
        <v>0</v>
      </c>
      <c r="C174" s="3">
        <f>IF(OR(INDEX($J$2:$J$1001,MATCH(ROWS($I$2:I174),$I$2:$I$1001,0),1)&gt;=100000,INDEX($P$1005:$S$1005,1,MATCH(COLUMNS($P$1006:Q1006),$P$1006:$S$1006,0))&gt;=100000), " ",IF(INDEX($P$2:$S$1001,MATCH(ROWS($I$2:I174),$I$2:$I$1001,0),MATCH(COLUMNS($P$1006:Q1006),$P$1006:$S$1006,0)), HYPERLINK("#",""), HYPERLINK(CONCATENATE("#metadata!", ADDRESS(INDEX($K$2:$K$1001,MATCH(ROWS($I$2:I174),$I$2:$I$1001,0),0), INDEX($P$1004:$S$1004,1,MATCH(COLUMNS($P$1006:Q1006),$P$1006:$S$1006,0)))),"Fix")))</f>
        <v>0</v>
      </c>
      <c r="D174" s="3">
        <f>IF(OR(INDEX($J$2:$J$1001,MATCH(ROWS($I$2:I174),$I$2:$I$1001,0),1)&gt;=100000,INDEX($P$1005:$S$1005,1,MATCH(COLUMNS($P$1006:R1006),$P$1006:$S$1006,0))&gt;=100000), " ",IF(INDEX($P$2:$S$1001,MATCH(ROWS($I$2:I174),$I$2:$I$1001,0),MATCH(COLUMNS($P$1006:R1006),$P$1006:$S$1006,0)), HYPERLINK("#",""), HYPERLINK(CONCATENATE("#metadata!", ADDRESS(INDEX($K$2:$K$1001,MATCH(ROWS($I$2:I174),$I$2:$I$1001,0),0), INDEX($P$1004:$S$1004,1,MATCH(COLUMNS($P$1006:R1006),$P$1006:$S$1006,0)))),"Fix")))</f>
        <v>0</v>
      </c>
      <c r="E174" s="3">
        <f>IF(OR(INDEX($J$2:$J$1001,MATCH(ROWS($I$2:I174),$I$2:$I$1001,0),1)&gt;=100000,INDEX($P$1005:$S$1005,1,MATCH(COLUMNS($P$1006:S1006),$P$1006:$S$1006,0))&gt;=100000), " ",IF(INDEX($P$2:$S$1001,MATCH(ROWS($I$2:I174),$I$2:$I$1001,0),MATCH(COLUMNS($P$1006:S1006),$P$1006:$S$1006,0)), HYPERLINK("#",""), HYPERLINK(CONCATENATE("#metadata!", ADDRESS(INDEX($K$2:$K$1001,MATCH(ROWS($I$2:I174),$I$2:$I$1001,0),0), INDEX($P$1004:$S$1004,1,MATCH(COLUMNS($P$1006:S1006),$P$1006:$S$1006,0)))),"Fix")))</f>
        <v>0</v>
      </c>
      <c r="I174">
        <v>0</v>
      </c>
      <c r="J174">
        <v>0</v>
      </c>
      <c r="K174">
        <v>0</v>
      </c>
      <c r="L174">
        <f>IF(M174,TRUE,AND(P174:S174))</f>
        <v>0</v>
      </c>
      <c r="M174">
        <f>COUNTBLANK(metadata!B174:E174)=COLUMNS(metadata!B174:E174)</f>
        <v>0</v>
      </c>
      <c r="N174">
        <v>0</v>
      </c>
      <c r="P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Q174">
        <f>AND(IF(metadata!C174="",FALSE,TRUE),exact(metadata!C174,"other"))</f>
        <v>0</v>
      </c>
      <c r="R174">
        <f>AND(IF(metadata!D174="",FALSE,TRUE),exact(metadata!D174,"metagenome"))</f>
        <v>0</v>
      </c>
      <c r="S174">
        <f>AND(IF(metadata!E174="",FALSE,TRUE),exact(metadata!E174,"256318"))</f>
        <v>0</v>
      </c>
    </row>
    <row r="175" spans="1:19">
      <c r="A175" s="4">
        <f>IF(B175=" "," ",HYPERLINK(CONCATENATE("#metadata!",ADDRESS(INDEX($K$2:$K$1001,MATCH(ROWS($I$2:I175),$I$2:$I$1001,0),0),1)),INDEX($N$2:$N$1001,MATCH(ROWS($I$2:I175),$I$2:$I$1001,0),0)))</f>
        <v>0</v>
      </c>
      <c r="B175" s="3">
        <f>IF(OR(INDEX($J$2:$J$1001,MATCH(ROWS($I$2:I175),$I$2:$I$1001,0),1)&gt;=100000,INDEX($P$1005:$S$1005,1,MATCH(COLUMNS($P$1006:P1006),$P$1006:$S$1006,0))&gt;=100000), " ",IF(INDEX($P$2:$S$1001,MATCH(ROWS($I$2:I175),$I$2:$I$1001,0),MATCH(COLUMNS($P$1006:P1006),$P$1006:$S$1006,0)), HYPERLINK("#",""), HYPERLINK(CONCATENATE("#metadata!", ADDRESS(INDEX($K$2:$K$1001,MATCH(ROWS($I$2:I175),$I$2:$I$1001,0),0), INDEX($P$1004:$S$1004,1,MATCH(COLUMNS($P$1006:P1006),$P$1006:$S$1006,0)))),"Fix")))</f>
        <v>0</v>
      </c>
      <c r="C175" s="3">
        <f>IF(OR(INDEX($J$2:$J$1001,MATCH(ROWS($I$2:I175),$I$2:$I$1001,0),1)&gt;=100000,INDEX($P$1005:$S$1005,1,MATCH(COLUMNS($P$1006:Q1006),$P$1006:$S$1006,0))&gt;=100000), " ",IF(INDEX($P$2:$S$1001,MATCH(ROWS($I$2:I175),$I$2:$I$1001,0),MATCH(COLUMNS($P$1006:Q1006),$P$1006:$S$1006,0)), HYPERLINK("#",""), HYPERLINK(CONCATENATE("#metadata!", ADDRESS(INDEX($K$2:$K$1001,MATCH(ROWS($I$2:I175),$I$2:$I$1001,0),0), INDEX($P$1004:$S$1004,1,MATCH(COLUMNS($P$1006:Q1006),$P$1006:$S$1006,0)))),"Fix")))</f>
        <v>0</v>
      </c>
      <c r="D175" s="3">
        <f>IF(OR(INDEX($J$2:$J$1001,MATCH(ROWS($I$2:I175),$I$2:$I$1001,0),1)&gt;=100000,INDEX($P$1005:$S$1005,1,MATCH(COLUMNS($P$1006:R1006),$P$1006:$S$1006,0))&gt;=100000), " ",IF(INDEX($P$2:$S$1001,MATCH(ROWS($I$2:I175),$I$2:$I$1001,0),MATCH(COLUMNS($P$1006:R1006),$P$1006:$S$1006,0)), HYPERLINK("#",""), HYPERLINK(CONCATENATE("#metadata!", ADDRESS(INDEX($K$2:$K$1001,MATCH(ROWS($I$2:I175),$I$2:$I$1001,0),0), INDEX($P$1004:$S$1004,1,MATCH(COLUMNS($P$1006:R1006),$P$1006:$S$1006,0)))),"Fix")))</f>
        <v>0</v>
      </c>
      <c r="E175" s="3">
        <f>IF(OR(INDEX($J$2:$J$1001,MATCH(ROWS($I$2:I175),$I$2:$I$1001,0),1)&gt;=100000,INDEX($P$1005:$S$1005,1,MATCH(COLUMNS($P$1006:S1006),$P$1006:$S$1006,0))&gt;=100000), " ",IF(INDEX($P$2:$S$1001,MATCH(ROWS($I$2:I175),$I$2:$I$1001,0),MATCH(COLUMNS($P$1006:S1006),$P$1006:$S$1006,0)), HYPERLINK("#",""), HYPERLINK(CONCATENATE("#metadata!", ADDRESS(INDEX($K$2:$K$1001,MATCH(ROWS($I$2:I175),$I$2:$I$1001,0),0), INDEX($P$1004:$S$1004,1,MATCH(COLUMNS($P$1006:S1006),$P$1006:$S$1006,0)))),"Fix")))</f>
        <v>0</v>
      </c>
      <c r="I175">
        <v>0</v>
      </c>
      <c r="J175">
        <v>0</v>
      </c>
      <c r="K175">
        <v>0</v>
      </c>
      <c r="L175">
        <f>IF(M175,TRUE,AND(P175:S175))</f>
        <v>0</v>
      </c>
      <c r="M175">
        <f>COUNTBLANK(metadata!B175:E175)=COLUMNS(metadata!B175:E175)</f>
        <v>0</v>
      </c>
      <c r="N175">
        <v>0</v>
      </c>
      <c r="P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Q175">
        <f>AND(IF(metadata!C175="",FALSE,TRUE),exact(metadata!C175,"other"))</f>
        <v>0</v>
      </c>
      <c r="R175">
        <f>AND(IF(metadata!D175="",FALSE,TRUE),exact(metadata!D175,"metagenome"))</f>
        <v>0</v>
      </c>
      <c r="S175">
        <f>AND(IF(metadata!E175="",FALSE,TRUE),exact(metadata!E175,"256318"))</f>
        <v>0</v>
      </c>
    </row>
    <row r="176" spans="1:19">
      <c r="A176" s="4">
        <f>IF(B176=" "," ",HYPERLINK(CONCATENATE("#metadata!",ADDRESS(INDEX($K$2:$K$1001,MATCH(ROWS($I$2:I176),$I$2:$I$1001,0),0),1)),INDEX($N$2:$N$1001,MATCH(ROWS($I$2:I176),$I$2:$I$1001,0),0)))</f>
        <v>0</v>
      </c>
      <c r="B176" s="3">
        <f>IF(OR(INDEX($J$2:$J$1001,MATCH(ROWS($I$2:I176),$I$2:$I$1001,0),1)&gt;=100000,INDEX($P$1005:$S$1005,1,MATCH(COLUMNS($P$1006:P1006),$P$1006:$S$1006,0))&gt;=100000), " ",IF(INDEX($P$2:$S$1001,MATCH(ROWS($I$2:I176),$I$2:$I$1001,0),MATCH(COLUMNS($P$1006:P1006),$P$1006:$S$1006,0)), HYPERLINK("#",""), HYPERLINK(CONCATENATE("#metadata!", ADDRESS(INDEX($K$2:$K$1001,MATCH(ROWS($I$2:I176),$I$2:$I$1001,0),0), INDEX($P$1004:$S$1004,1,MATCH(COLUMNS($P$1006:P1006),$P$1006:$S$1006,0)))),"Fix")))</f>
        <v>0</v>
      </c>
      <c r="C176" s="3">
        <f>IF(OR(INDEX($J$2:$J$1001,MATCH(ROWS($I$2:I176),$I$2:$I$1001,0),1)&gt;=100000,INDEX($P$1005:$S$1005,1,MATCH(COLUMNS($P$1006:Q1006),$P$1006:$S$1006,0))&gt;=100000), " ",IF(INDEX($P$2:$S$1001,MATCH(ROWS($I$2:I176),$I$2:$I$1001,0),MATCH(COLUMNS($P$1006:Q1006),$P$1006:$S$1006,0)), HYPERLINK("#",""), HYPERLINK(CONCATENATE("#metadata!", ADDRESS(INDEX($K$2:$K$1001,MATCH(ROWS($I$2:I176),$I$2:$I$1001,0),0), INDEX($P$1004:$S$1004,1,MATCH(COLUMNS($P$1006:Q1006),$P$1006:$S$1006,0)))),"Fix")))</f>
        <v>0</v>
      </c>
      <c r="D176" s="3">
        <f>IF(OR(INDEX($J$2:$J$1001,MATCH(ROWS($I$2:I176),$I$2:$I$1001,0),1)&gt;=100000,INDEX($P$1005:$S$1005,1,MATCH(COLUMNS($P$1006:R1006),$P$1006:$S$1006,0))&gt;=100000), " ",IF(INDEX($P$2:$S$1001,MATCH(ROWS($I$2:I176),$I$2:$I$1001,0),MATCH(COLUMNS($P$1006:R1006),$P$1006:$S$1006,0)), HYPERLINK("#",""), HYPERLINK(CONCATENATE("#metadata!", ADDRESS(INDEX($K$2:$K$1001,MATCH(ROWS($I$2:I176),$I$2:$I$1001,0),0), INDEX($P$1004:$S$1004,1,MATCH(COLUMNS($P$1006:R1006),$P$1006:$S$1006,0)))),"Fix")))</f>
        <v>0</v>
      </c>
      <c r="E176" s="3">
        <f>IF(OR(INDEX($J$2:$J$1001,MATCH(ROWS($I$2:I176),$I$2:$I$1001,0),1)&gt;=100000,INDEX($P$1005:$S$1005,1,MATCH(COLUMNS($P$1006:S1006),$P$1006:$S$1006,0))&gt;=100000), " ",IF(INDEX($P$2:$S$1001,MATCH(ROWS($I$2:I176),$I$2:$I$1001,0),MATCH(COLUMNS($P$1006:S1006),$P$1006:$S$1006,0)), HYPERLINK("#",""), HYPERLINK(CONCATENATE("#metadata!", ADDRESS(INDEX($K$2:$K$1001,MATCH(ROWS($I$2:I176),$I$2:$I$1001,0),0), INDEX($P$1004:$S$1004,1,MATCH(COLUMNS($P$1006:S1006),$P$1006:$S$1006,0)))),"Fix")))</f>
        <v>0</v>
      </c>
      <c r="I176">
        <v>0</v>
      </c>
      <c r="J176">
        <v>0</v>
      </c>
      <c r="K176">
        <v>0</v>
      </c>
      <c r="L176">
        <f>IF(M176,TRUE,AND(P176:S176))</f>
        <v>0</v>
      </c>
      <c r="M176">
        <f>COUNTBLANK(metadata!B176:E176)=COLUMNS(metadata!B176:E176)</f>
        <v>0</v>
      </c>
      <c r="N176">
        <v>0</v>
      </c>
      <c r="P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Q176">
        <f>AND(IF(metadata!C176="",FALSE,TRUE),exact(metadata!C176,"other"))</f>
        <v>0</v>
      </c>
      <c r="R176">
        <f>AND(IF(metadata!D176="",FALSE,TRUE),exact(metadata!D176,"metagenome"))</f>
        <v>0</v>
      </c>
      <c r="S176">
        <f>AND(IF(metadata!E176="",FALSE,TRUE),exact(metadata!E176,"256318"))</f>
        <v>0</v>
      </c>
    </row>
    <row r="177" spans="1:19">
      <c r="A177" s="4">
        <f>IF(B177=" "," ",HYPERLINK(CONCATENATE("#metadata!",ADDRESS(INDEX($K$2:$K$1001,MATCH(ROWS($I$2:I177),$I$2:$I$1001,0),0),1)),INDEX($N$2:$N$1001,MATCH(ROWS($I$2:I177),$I$2:$I$1001,0),0)))</f>
        <v>0</v>
      </c>
      <c r="B177" s="3">
        <f>IF(OR(INDEX($J$2:$J$1001,MATCH(ROWS($I$2:I177),$I$2:$I$1001,0),1)&gt;=100000,INDEX($P$1005:$S$1005,1,MATCH(COLUMNS($P$1006:P1006),$P$1006:$S$1006,0))&gt;=100000), " ",IF(INDEX($P$2:$S$1001,MATCH(ROWS($I$2:I177),$I$2:$I$1001,0),MATCH(COLUMNS($P$1006:P1006),$P$1006:$S$1006,0)), HYPERLINK("#",""), HYPERLINK(CONCATENATE("#metadata!", ADDRESS(INDEX($K$2:$K$1001,MATCH(ROWS($I$2:I177),$I$2:$I$1001,0),0), INDEX($P$1004:$S$1004,1,MATCH(COLUMNS($P$1006:P1006),$P$1006:$S$1006,0)))),"Fix")))</f>
        <v>0</v>
      </c>
      <c r="C177" s="3">
        <f>IF(OR(INDEX($J$2:$J$1001,MATCH(ROWS($I$2:I177),$I$2:$I$1001,0),1)&gt;=100000,INDEX($P$1005:$S$1005,1,MATCH(COLUMNS($P$1006:Q1006),$P$1006:$S$1006,0))&gt;=100000), " ",IF(INDEX($P$2:$S$1001,MATCH(ROWS($I$2:I177),$I$2:$I$1001,0),MATCH(COLUMNS($P$1006:Q1006),$P$1006:$S$1006,0)), HYPERLINK("#",""), HYPERLINK(CONCATENATE("#metadata!", ADDRESS(INDEX($K$2:$K$1001,MATCH(ROWS($I$2:I177),$I$2:$I$1001,0),0), INDEX($P$1004:$S$1004,1,MATCH(COLUMNS($P$1006:Q1006),$P$1006:$S$1006,0)))),"Fix")))</f>
        <v>0</v>
      </c>
      <c r="D177" s="3">
        <f>IF(OR(INDEX($J$2:$J$1001,MATCH(ROWS($I$2:I177),$I$2:$I$1001,0),1)&gt;=100000,INDEX($P$1005:$S$1005,1,MATCH(COLUMNS($P$1006:R1006),$P$1006:$S$1006,0))&gt;=100000), " ",IF(INDEX($P$2:$S$1001,MATCH(ROWS($I$2:I177),$I$2:$I$1001,0),MATCH(COLUMNS($P$1006:R1006),$P$1006:$S$1006,0)), HYPERLINK("#",""), HYPERLINK(CONCATENATE("#metadata!", ADDRESS(INDEX($K$2:$K$1001,MATCH(ROWS($I$2:I177),$I$2:$I$1001,0),0), INDEX($P$1004:$S$1004,1,MATCH(COLUMNS($P$1006:R1006),$P$1006:$S$1006,0)))),"Fix")))</f>
        <v>0</v>
      </c>
      <c r="E177" s="3">
        <f>IF(OR(INDEX($J$2:$J$1001,MATCH(ROWS($I$2:I177),$I$2:$I$1001,0),1)&gt;=100000,INDEX($P$1005:$S$1005,1,MATCH(COLUMNS($P$1006:S1006),$P$1006:$S$1006,0))&gt;=100000), " ",IF(INDEX($P$2:$S$1001,MATCH(ROWS($I$2:I177),$I$2:$I$1001,0),MATCH(COLUMNS($P$1006:S1006),$P$1006:$S$1006,0)), HYPERLINK("#",""), HYPERLINK(CONCATENATE("#metadata!", ADDRESS(INDEX($K$2:$K$1001,MATCH(ROWS($I$2:I177),$I$2:$I$1001,0),0), INDEX($P$1004:$S$1004,1,MATCH(COLUMNS($P$1006:S1006),$P$1006:$S$1006,0)))),"Fix")))</f>
        <v>0</v>
      </c>
      <c r="I177">
        <v>0</v>
      </c>
      <c r="J177">
        <v>0</v>
      </c>
      <c r="K177">
        <v>0</v>
      </c>
      <c r="L177">
        <f>IF(M177,TRUE,AND(P177:S177))</f>
        <v>0</v>
      </c>
      <c r="M177">
        <f>COUNTBLANK(metadata!B177:E177)=COLUMNS(metadata!B177:E177)</f>
        <v>0</v>
      </c>
      <c r="N177">
        <v>0</v>
      </c>
      <c r="P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Q177">
        <f>AND(IF(metadata!C177="",FALSE,TRUE),exact(metadata!C177,"other"))</f>
        <v>0</v>
      </c>
      <c r="R177">
        <f>AND(IF(metadata!D177="",FALSE,TRUE),exact(metadata!D177,"metagenome"))</f>
        <v>0</v>
      </c>
      <c r="S177">
        <f>AND(IF(metadata!E177="",FALSE,TRUE),exact(metadata!E177,"256318"))</f>
        <v>0</v>
      </c>
    </row>
    <row r="178" spans="1:19">
      <c r="A178" s="4">
        <f>IF(B178=" "," ",HYPERLINK(CONCATENATE("#metadata!",ADDRESS(INDEX($K$2:$K$1001,MATCH(ROWS($I$2:I178),$I$2:$I$1001,0),0),1)),INDEX($N$2:$N$1001,MATCH(ROWS($I$2:I178),$I$2:$I$1001,0),0)))</f>
        <v>0</v>
      </c>
      <c r="B178" s="3">
        <f>IF(OR(INDEX($J$2:$J$1001,MATCH(ROWS($I$2:I178),$I$2:$I$1001,0),1)&gt;=100000,INDEX($P$1005:$S$1005,1,MATCH(COLUMNS($P$1006:P1006),$P$1006:$S$1006,0))&gt;=100000), " ",IF(INDEX($P$2:$S$1001,MATCH(ROWS($I$2:I178),$I$2:$I$1001,0),MATCH(COLUMNS($P$1006:P1006),$P$1006:$S$1006,0)), HYPERLINK("#",""), HYPERLINK(CONCATENATE("#metadata!", ADDRESS(INDEX($K$2:$K$1001,MATCH(ROWS($I$2:I178),$I$2:$I$1001,0),0), INDEX($P$1004:$S$1004,1,MATCH(COLUMNS($P$1006:P1006),$P$1006:$S$1006,0)))),"Fix")))</f>
        <v>0</v>
      </c>
      <c r="C178" s="3">
        <f>IF(OR(INDEX($J$2:$J$1001,MATCH(ROWS($I$2:I178),$I$2:$I$1001,0),1)&gt;=100000,INDEX($P$1005:$S$1005,1,MATCH(COLUMNS($P$1006:Q1006),$P$1006:$S$1006,0))&gt;=100000), " ",IF(INDEX($P$2:$S$1001,MATCH(ROWS($I$2:I178),$I$2:$I$1001,0),MATCH(COLUMNS($P$1006:Q1006),$P$1006:$S$1006,0)), HYPERLINK("#",""), HYPERLINK(CONCATENATE("#metadata!", ADDRESS(INDEX($K$2:$K$1001,MATCH(ROWS($I$2:I178),$I$2:$I$1001,0),0), INDEX($P$1004:$S$1004,1,MATCH(COLUMNS($P$1006:Q1006),$P$1006:$S$1006,0)))),"Fix")))</f>
        <v>0</v>
      </c>
      <c r="D178" s="3">
        <f>IF(OR(INDEX($J$2:$J$1001,MATCH(ROWS($I$2:I178),$I$2:$I$1001,0),1)&gt;=100000,INDEX($P$1005:$S$1005,1,MATCH(COLUMNS($P$1006:R1006),$P$1006:$S$1006,0))&gt;=100000), " ",IF(INDEX($P$2:$S$1001,MATCH(ROWS($I$2:I178),$I$2:$I$1001,0),MATCH(COLUMNS($P$1006:R1006),$P$1006:$S$1006,0)), HYPERLINK("#",""), HYPERLINK(CONCATENATE("#metadata!", ADDRESS(INDEX($K$2:$K$1001,MATCH(ROWS($I$2:I178),$I$2:$I$1001,0),0), INDEX($P$1004:$S$1004,1,MATCH(COLUMNS($P$1006:R1006),$P$1006:$S$1006,0)))),"Fix")))</f>
        <v>0</v>
      </c>
      <c r="E178" s="3">
        <f>IF(OR(INDEX($J$2:$J$1001,MATCH(ROWS($I$2:I178),$I$2:$I$1001,0),1)&gt;=100000,INDEX($P$1005:$S$1005,1,MATCH(COLUMNS($P$1006:S1006),$P$1006:$S$1006,0))&gt;=100000), " ",IF(INDEX($P$2:$S$1001,MATCH(ROWS($I$2:I178),$I$2:$I$1001,0),MATCH(COLUMNS($P$1006:S1006),$P$1006:$S$1006,0)), HYPERLINK("#",""), HYPERLINK(CONCATENATE("#metadata!", ADDRESS(INDEX($K$2:$K$1001,MATCH(ROWS($I$2:I178),$I$2:$I$1001,0),0), INDEX($P$1004:$S$1004,1,MATCH(COLUMNS($P$1006:S1006),$P$1006:$S$1006,0)))),"Fix")))</f>
        <v>0</v>
      </c>
      <c r="I178">
        <v>0</v>
      </c>
      <c r="J178">
        <v>0</v>
      </c>
      <c r="K178">
        <v>0</v>
      </c>
      <c r="L178">
        <f>IF(M178,TRUE,AND(P178:S178))</f>
        <v>0</v>
      </c>
      <c r="M178">
        <f>COUNTBLANK(metadata!B178:E178)=COLUMNS(metadata!B178:E178)</f>
        <v>0</v>
      </c>
      <c r="N178">
        <v>0</v>
      </c>
      <c r="P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Q178">
        <f>AND(IF(metadata!C178="",FALSE,TRUE),exact(metadata!C178,"other"))</f>
        <v>0</v>
      </c>
      <c r="R178">
        <f>AND(IF(metadata!D178="",FALSE,TRUE),exact(metadata!D178,"metagenome"))</f>
        <v>0</v>
      </c>
      <c r="S178">
        <f>AND(IF(metadata!E178="",FALSE,TRUE),exact(metadata!E178,"256318"))</f>
        <v>0</v>
      </c>
    </row>
    <row r="179" spans="1:19">
      <c r="A179" s="4">
        <f>IF(B179=" "," ",HYPERLINK(CONCATENATE("#metadata!",ADDRESS(INDEX($K$2:$K$1001,MATCH(ROWS($I$2:I179),$I$2:$I$1001,0),0),1)),INDEX($N$2:$N$1001,MATCH(ROWS($I$2:I179),$I$2:$I$1001,0),0)))</f>
        <v>0</v>
      </c>
      <c r="B179" s="3">
        <f>IF(OR(INDEX($J$2:$J$1001,MATCH(ROWS($I$2:I179),$I$2:$I$1001,0),1)&gt;=100000,INDEX($P$1005:$S$1005,1,MATCH(COLUMNS($P$1006:P1006),$P$1006:$S$1006,0))&gt;=100000), " ",IF(INDEX($P$2:$S$1001,MATCH(ROWS($I$2:I179),$I$2:$I$1001,0),MATCH(COLUMNS($P$1006:P1006),$P$1006:$S$1006,0)), HYPERLINK("#",""), HYPERLINK(CONCATENATE("#metadata!", ADDRESS(INDEX($K$2:$K$1001,MATCH(ROWS($I$2:I179),$I$2:$I$1001,0),0), INDEX($P$1004:$S$1004,1,MATCH(COLUMNS($P$1006:P1006),$P$1006:$S$1006,0)))),"Fix")))</f>
        <v>0</v>
      </c>
      <c r="C179" s="3">
        <f>IF(OR(INDEX($J$2:$J$1001,MATCH(ROWS($I$2:I179),$I$2:$I$1001,0),1)&gt;=100000,INDEX($P$1005:$S$1005,1,MATCH(COLUMNS($P$1006:Q1006),$P$1006:$S$1006,0))&gt;=100000), " ",IF(INDEX($P$2:$S$1001,MATCH(ROWS($I$2:I179),$I$2:$I$1001,0),MATCH(COLUMNS($P$1006:Q1006),$P$1006:$S$1006,0)), HYPERLINK("#",""), HYPERLINK(CONCATENATE("#metadata!", ADDRESS(INDEX($K$2:$K$1001,MATCH(ROWS($I$2:I179),$I$2:$I$1001,0),0), INDEX($P$1004:$S$1004,1,MATCH(COLUMNS($P$1006:Q1006),$P$1006:$S$1006,0)))),"Fix")))</f>
        <v>0</v>
      </c>
      <c r="D179" s="3">
        <f>IF(OR(INDEX($J$2:$J$1001,MATCH(ROWS($I$2:I179),$I$2:$I$1001,0),1)&gt;=100000,INDEX($P$1005:$S$1005,1,MATCH(COLUMNS($P$1006:R1006),$P$1006:$S$1006,0))&gt;=100000), " ",IF(INDEX($P$2:$S$1001,MATCH(ROWS($I$2:I179),$I$2:$I$1001,0),MATCH(COLUMNS($P$1006:R1006),$P$1006:$S$1006,0)), HYPERLINK("#",""), HYPERLINK(CONCATENATE("#metadata!", ADDRESS(INDEX($K$2:$K$1001,MATCH(ROWS($I$2:I179),$I$2:$I$1001,0),0), INDEX($P$1004:$S$1004,1,MATCH(COLUMNS($P$1006:R1006),$P$1006:$S$1006,0)))),"Fix")))</f>
        <v>0</v>
      </c>
      <c r="E179" s="3">
        <f>IF(OR(INDEX($J$2:$J$1001,MATCH(ROWS($I$2:I179),$I$2:$I$1001,0),1)&gt;=100000,INDEX($P$1005:$S$1005,1,MATCH(COLUMNS($P$1006:S1006),$P$1006:$S$1006,0))&gt;=100000), " ",IF(INDEX($P$2:$S$1001,MATCH(ROWS($I$2:I179),$I$2:$I$1001,0),MATCH(COLUMNS($P$1006:S1006),$P$1006:$S$1006,0)), HYPERLINK("#",""), HYPERLINK(CONCATENATE("#metadata!", ADDRESS(INDEX($K$2:$K$1001,MATCH(ROWS($I$2:I179),$I$2:$I$1001,0),0), INDEX($P$1004:$S$1004,1,MATCH(COLUMNS($P$1006:S1006),$P$1006:$S$1006,0)))),"Fix")))</f>
        <v>0</v>
      </c>
      <c r="I179">
        <v>0</v>
      </c>
      <c r="J179">
        <v>0</v>
      </c>
      <c r="K179">
        <v>0</v>
      </c>
      <c r="L179">
        <f>IF(M179,TRUE,AND(P179:S179))</f>
        <v>0</v>
      </c>
      <c r="M179">
        <f>COUNTBLANK(metadata!B179:E179)=COLUMNS(metadata!B179:E179)</f>
        <v>0</v>
      </c>
      <c r="N179">
        <v>0</v>
      </c>
      <c r="P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Q179">
        <f>AND(IF(metadata!C179="",FALSE,TRUE),exact(metadata!C179,"other"))</f>
        <v>0</v>
      </c>
      <c r="R179">
        <f>AND(IF(metadata!D179="",FALSE,TRUE),exact(metadata!D179,"metagenome"))</f>
        <v>0</v>
      </c>
      <c r="S179">
        <f>AND(IF(metadata!E179="",FALSE,TRUE),exact(metadata!E179,"256318"))</f>
        <v>0</v>
      </c>
    </row>
    <row r="180" spans="1:19">
      <c r="A180" s="4">
        <f>IF(B180=" "," ",HYPERLINK(CONCATENATE("#metadata!",ADDRESS(INDEX($K$2:$K$1001,MATCH(ROWS($I$2:I180),$I$2:$I$1001,0),0),1)),INDEX($N$2:$N$1001,MATCH(ROWS($I$2:I180),$I$2:$I$1001,0),0)))</f>
        <v>0</v>
      </c>
      <c r="B180" s="3">
        <f>IF(OR(INDEX($J$2:$J$1001,MATCH(ROWS($I$2:I180),$I$2:$I$1001,0),1)&gt;=100000,INDEX($P$1005:$S$1005,1,MATCH(COLUMNS($P$1006:P1006),$P$1006:$S$1006,0))&gt;=100000), " ",IF(INDEX($P$2:$S$1001,MATCH(ROWS($I$2:I180),$I$2:$I$1001,0),MATCH(COLUMNS($P$1006:P1006),$P$1006:$S$1006,0)), HYPERLINK("#",""), HYPERLINK(CONCATENATE("#metadata!", ADDRESS(INDEX($K$2:$K$1001,MATCH(ROWS($I$2:I180),$I$2:$I$1001,0),0), INDEX($P$1004:$S$1004,1,MATCH(COLUMNS($P$1006:P1006),$P$1006:$S$1006,0)))),"Fix")))</f>
        <v>0</v>
      </c>
      <c r="C180" s="3">
        <f>IF(OR(INDEX($J$2:$J$1001,MATCH(ROWS($I$2:I180),$I$2:$I$1001,0),1)&gt;=100000,INDEX($P$1005:$S$1005,1,MATCH(COLUMNS($P$1006:Q1006),$P$1006:$S$1006,0))&gt;=100000), " ",IF(INDEX($P$2:$S$1001,MATCH(ROWS($I$2:I180),$I$2:$I$1001,0),MATCH(COLUMNS($P$1006:Q1006),$P$1006:$S$1006,0)), HYPERLINK("#",""), HYPERLINK(CONCATENATE("#metadata!", ADDRESS(INDEX($K$2:$K$1001,MATCH(ROWS($I$2:I180),$I$2:$I$1001,0),0), INDEX($P$1004:$S$1004,1,MATCH(COLUMNS($P$1006:Q1006),$P$1006:$S$1006,0)))),"Fix")))</f>
        <v>0</v>
      </c>
      <c r="D180" s="3">
        <f>IF(OR(INDEX($J$2:$J$1001,MATCH(ROWS($I$2:I180),$I$2:$I$1001,0),1)&gt;=100000,INDEX($P$1005:$S$1005,1,MATCH(COLUMNS($P$1006:R1006),$P$1006:$S$1006,0))&gt;=100000), " ",IF(INDEX($P$2:$S$1001,MATCH(ROWS($I$2:I180),$I$2:$I$1001,0),MATCH(COLUMNS($P$1006:R1006),$P$1006:$S$1006,0)), HYPERLINK("#",""), HYPERLINK(CONCATENATE("#metadata!", ADDRESS(INDEX($K$2:$K$1001,MATCH(ROWS($I$2:I180),$I$2:$I$1001,0),0), INDEX($P$1004:$S$1004,1,MATCH(COLUMNS($P$1006:R1006),$P$1006:$S$1006,0)))),"Fix")))</f>
        <v>0</v>
      </c>
      <c r="E180" s="3">
        <f>IF(OR(INDEX($J$2:$J$1001,MATCH(ROWS($I$2:I180),$I$2:$I$1001,0),1)&gt;=100000,INDEX($P$1005:$S$1005,1,MATCH(COLUMNS($P$1006:S1006),$P$1006:$S$1006,0))&gt;=100000), " ",IF(INDEX($P$2:$S$1001,MATCH(ROWS($I$2:I180),$I$2:$I$1001,0),MATCH(COLUMNS($P$1006:S1006),$P$1006:$S$1006,0)), HYPERLINK("#",""), HYPERLINK(CONCATENATE("#metadata!", ADDRESS(INDEX($K$2:$K$1001,MATCH(ROWS($I$2:I180),$I$2:$I$1001,0),0), INDEX($P$1004:$S$1004,1,MATCH(COLUMNS($P$1006:S1006),$P$1006:$S$1006,0)))),"Fix")))</f>
        <v>0</v>
      </c>
      <c r="I180">
        <v>0</v>
      </c>
      <c r="J180">
        <v>0</v>
      </c>
      <c r="K180">
        <v>0</v>
      </c>
      <c r="L180">
        <f>IF(M180,TRUE,AND(P180:S180))</f>
        <v>0</v>
      </c>
      <c r="M180">
        <f>COUNTBLANK(metadata!B180:E180)=COLUMNS(metadata!B180:E180)</f>
        <v>0</v>
      </c>
      <c r="N180">
        <v>0</v>
      </c>
      <c r="P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Q180">
        <f>AND(IF(metadata!C180="",FALSE,TRUE),exact(metadata!C180,"other"))</f>
        <v>0</v>
      </c>
      <c r="R180">
        <f>AND(IF(metadata!D180="",FALSE,TRUE),exact(metadata!D180,"metagenome"))</f>
        <v>0</v>
      </c>
      <c r="S180">
        <f>AND(IF(metadata!E180="",FALSE,TRUE),exact(metadata!E180,"256318"))</f>
        <v>0</v>
      </c>
    </row>
    <row r="181" spans="1:19">
      <c r="A181" s="4">
        <f>IF(B181=" "," ",HYPERLINK(CONCATENATE("#metadata!",ADDRESS(INDEX($K$2:$K$1001,MATCH(ROWS($I$2:I181),$I$2:$I$1001,0),0),1)),INDEX($N$2:$N$1001,MATCH(ROWS($I$2:I181),$I$2:$I$1001,0),0)))</f>
        <v>0</v>
      </c>
      <c r="B181" s="3">
        <f>IF(OR(INDEX($J$2:$J$1001,MATCH(ROWS($I$2:I181),$I$2:$I$1001,0),1)&gt;=100000,INDEX($P$1005:$S$1005,1,MATCH(COLUMNS($P$1006:P1006),$P$1006:$S$1006,0))&gt;=100000), " ",IF(INDEX($P$2:$S$1001,MATCH(ROWS($I$2:I181),$I$2:$I$1001,0),MATCH(COLUMNS($P$1006:P1006),$P$1006:$S$1006,0)), HYPERLINK("#",""), HYPERLINK(CONCATENATE("#metadata!", ADDRESS(INDEX($K$2:$K$1001,MATCH(ROWS($I$2:I181),$I$2:$I$1001,0),0), INDEX($P$1004:$S$1004,1,MATCH(COLUMNS($P$1006:P1006),$P$1006:$S$1006,0)))),"Fix")))</f>
        <v>0</v>
      </c>
      <c r="C181" s="3">
        <f>IF(OR(INDEX($J$2:$J$1001,MATCH(ROWS($I$2:I181),$I$2:$I$1001,0),1)&gt;=100000,INDEX($P$1005:$S$1005,1,MATCH(COLUMNS($P$1006:Q1006),$P$1006:$S$1006,0))&gt;=100000), " ",IF(INDEX($P$2:$S$1001,MATCH(ROWS($I$2:I181),$I$2:$I$1001,0),MATCH(COLUMNS($P$1006:Q1006),$P$1006:$S$1006,0)), HYPERLINK("#",""), HYPERLINK(CONCATENATE("#metadata!", ADDRESS(INDEX($K$2:$K$1001,MATCH(ROWS($I$2:I181),$I$2:$I$1001,0),0), INDEX($P$1004:$S$1004,1,MATCH(COLUMNS($P$1006:Q1006),$P$1006:$S$1006,0)))),"Fix")))</f>
        <v>0</v>
      </c>
      <c r="D181" s="3">
        <f>IF(OR(INDEX($J$2:$J$1001,MATCH(ROWS($I$2:I181),$I$2:$I$1001,0),1)&gt;=100000,INDEX($P$1005:$S$1005,1,MATCH(COLUMNS($P$1006:R1006),$P$1006:$S$1006,0))&gt;=100000), " ",IF(INDEX($P$2:$S$1001,MATCH(ROWS($I$2:I181),$I$2:$I$1001,0),MATCH(COLUMNS($P$1006:R1006),$P$1006:$S$1006,0)), HYPERLINK("#",""), HYPERLINK(CONCATENATE("#metadata!", ADDRESS(INDEX($K$2:$K$1001,MATCH(ROWS($I$2:I181),$I$2:$I$1001,0),0), INDEX($P$1004:$S$1004,1,MATCH(COLUMNS($P$1006:R1006),$P$1006:$S$1006,0)))),"Fix")))</f>
        <v>0</v>
      </c>
      <c r="E181" s="3">
        <f>IF(OR(INDEX($J$2:$J$1001,MATCH(ROWS($I$2:I181),$I$2:$I$1001,0),1)&gt;=100000,INDEX($P$1005:$S$1005,1,MATCH(COLUMNS($P$1006:S1006),$P$1006:$S$1006,0))&gt;=100000), " ",IF(INDEX($P$2:$S$1001,MATCH(ROWS($I$2:I181),$I$2:$I$1001,0),MATCH(COLUMNS($P$1006:S1006),$P$1006:$S$1006,0)), HYPERLINK("#",""), HYPERLINK(CONCATENATE("#metadata!", ADDRESS(INDEX($K$2:$K$1001,MATCH(ROWS($I$2:I181),$I$2:$I$1001,0),0), INDEX($P$1004:$S$1004,1,MATCH(COLUMNS($P$1006:S1006),$P$1006:$S$1006,0)))),"Fix")))</f>
        <v>0</v>
      </c>
      <c r="I181">
        <v>0</v>
      </c>
      <c r="J181">
        <v>0</v>
      </c>
      <c r="K181">
        <v>0</v>
      </c>
      <c r="L181">
        <f>IF(M181,TRUE,AND(P181:S181))</f>
        <v>0</v>
      </c>
      <c r="M181">
        <f>COUNTBLANK(metadata!B181:E181)=COLUMNS(metadata!B181:E181)</f>
        <v>0</v>
      </c>
      <c r="N181">
        <v>0</v>
      </c>
      <c r="P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Q181">
        <f>AND(IF(metadata!C181="",FALSE,TRUE),exact(metadata!C181,"other"))</f>
        <v>0</v>
      </c>
      <c r="R181">
        <f>AND(IF(metadata!D181="",FALSE,TRUE),exact(metadata!D181,"metagenome"))</f>
        <v>0</v>
      </c>
      <c r="S181">
        <f>AND(IF(metadata!E181="",FALSE,TRUE),exact(metadata!E181,"256318"))</f>
        <v>0</v>
      </c>
    </row>
    <row r="182" spans="1:19">
      <c r="A182" s="4">
        <f>IF(B182=" "," ",HYPERLINK(CONCATENATE("#metadata!",ADDRESS(INDEX($K$2:$K$1001,MATCH(ROWS($I$2:I182),$I$2:$I$1001,0),0),1)),INDEX($N$2:$N$1001,MATCH(ROWS($I$2:I182),$I$2:$I$1001,0),0)))</f>
        <v>0</v>
      </c>
      <c r="B182" s="3">
        <f>IF(OR(INDEX($J$2:$J$1001,MATCH(ROWS($I$2:I182),$I$2:$I$1001,0),1)&gt;=100000,INDEX($P$1005:$S$1005,1,MATCH(COLUMNS($P$1006:P1006),$P$1006:$S$1006,0))&gt;=100000), " ",IF(INDEX($P$2:$S$1001,MATCH(ROWS($I$2:I182),$I$2:$I$1001,0),MATCH(COLUMNS($P$1006:P1006),$P$1006:$S$1006,0)), HYPERLINK("#",""), HYPERLINK(CONCATENATE("#metadata!", ADDRESS(INDEX($K$2:$K$1001,MATCH(ROWS($I$2:I182),$I$2:$I$1001,0),0), INDEX($P$1004:$S$1004,1,MATCH(COLUMNS($P$1006:P1006),$P$1006:$S$1006,0)))),"Fix")))</f>
        <v>0</v>
      </c>
      <c r="C182" s="3">
        <f>IF(OR(INDEX($J$2:$J$1001,MATCH(ROWS($I$2:I182),$I$2:$I$1001,0),1)&gt;=100000,INDEX($P$1005:$S$1005,1,MATCH(COLUMNS($P$1006:Q1006),$P$1006:$S$1006,0))&gt;=100000), " ",IF(INDEX($P$2:$S$1001,MATCH(ROWS($I$2:I182),$I$2:$I$1001,0),MATCH(COLUMNS($P$1006:Q1006),$P$1006:$S$1006,0)), HYPERLINK("#",""), HYPERLINK(CONCATENATE("#metadata!", ADDRESS(INDEX($K$2:$K$1001,MATCH(ROWS($I$2:I182),$I$2:$I$1001,0),0), INDEX($P$1004:$S$1004,1,MATCH(COLUMNS($P$1006:Q1006),$P$1006:$S$1006,0)))),"Fix")))</f>
        <v>0</v>
      </c>
      <c r="D182" s="3">
        <f>IF(OR(INDEX($J$2:$J$1001,MATCH(ROWS($I$2:I182),$I$2:$I$1001,0),1)&gt;=100000,INDEX($P$1005:$S$1005,1,MATCH(COLUMNS($P$1006:R1006),$P$1006:$S$1006,0))&gt;=100000), " ",IF(INDEX($P$2:$S$1001,MATCH(ROWS($I$2:I182),$I$2:$I$1001,0),MATCH(COLUMNS($P$1006:R1006),$P$1006:$S$1006,0)), HYPERLINK("#",""), HYPERLINK(CONCATENATE("#metadata!", ADDRESS(INDEX($K$2:$K$1001,MATCH(ROWS($I$2:I182),$I$2:$I$1001,0),0), INDEX($P$1004:$S$1004,1,MATCH(COLUMNS($P$1006:R1006),$P$1006:$S$1006,0)))),"Fix")))</f>
        <v>0</v>
      </c>
      <c r="E182" s="3">
        <f>IF(OR(INDEX($J$2:$J$1001,MATCH(ROWS($I$2:I182),$I$2:$I$1001,0),1)&gt;=100000,INDEX($P$1005:$S$1005,1,MATCH(COLUMNS($P$1006:S1006),$P$1006:$S$1006,0))&gt;=100000), " ",IF(INDEX($P$2:$S$1001,MATCH(ROWS($I$2:I182),$I$2:$I$1001,0),MATCH(COLUMNS($P$1006:S1006),$P$1006:$S$1006,0)), HYPERLINK("#",""), HYPERLINK(CONCATENATE("#metadata!", ADDRESS(INDEX($K$2:$K$1001,MATCH(ROWS($I$2:I182),$I$2:$I$1001,0),0), INDEX($P$1004:$S$1004,1,MATCH(COLUMNS($P$1006:S1006),$P$1006:$S$1006,0)))),"Fix")))</f>
        <v>0</v>
      </c>
      <c r="I182">
        <v>0</v>
      </c>
      <c r="J182">
        <v>0</v>
      </c>
      <c r="K182">
        <v>0</v>
      </c>
      <c r="L182">
        <f>IF(M182,TRUE,AND(P182:S182))</f>
        <v>0</v>
      </c>
      <c r="M182">
        <f>COUNTBLANK(metadata!B182:E182)=COLUMNS(metadata!B182:E182)</f>
        <v>0</v>
      </c>
      <c r="N182">
        <v>0</v>
      </c>
      <c r="P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Q182">
        <f>AND(IF(metadata!C182="",FALSE,TRUE),exact(metadata!C182,"other"))</f>
        <v>0</v>
      </c>
      <c r="R182">
        <f>AND(IF(metadata!D182="",FALSE,TRUE),exact(metadata!D182,"metagenome"))</f>
        <v>0</v>
      </c>
      <c r="S182">
        <f>AND(IF(metadata!E182="",FALSE,TRUE),exact(metadata!E182,"256318"))</f>
        <v>0</v>
      </c>
    </row>
    <row r="183" spans="1:19">
      <c r="A183" s="4">
        <f>IF(B183=" "," ",HYPERLINK(CONCATENATE("#metadata!",ADDRESS(INDEX($K$2:$K$1001,MATCH(ROWS($I$2:I183),$I$2:$I$1001,0),0),1)),INDEX($N$2:$N$1001,MATCH(ROWS($I$2:I183),$I$2:$I$1001,0),0)))</f>
        <v>0</v>
      </c>
      <c r="B183" s="3">
        <f>IF(OR(INDEX($J$2:$J$1001,MATCH(ROWS($I$2:I183),$I$2:$I$1001,0),1)&gt;=100000,INDEX($P$1005:$S$1005,1,MATCH(COLUMNS($P$1006:P1006),$P$1006:$S$1006,0))&gt;=100000), " ",IF(INDEX($P$2:$S$1001,MATCH(ROWS($I$2:I183),$I$2:$I$1001,0),MATCH(COLUMNS($P$1006:P1006),$P$1006:$S$1006,0)), HYPERLINK("#",""), HYPERLINK(CONCATENATE("#metadata!", ADDRESS(INDEX($K$2:$K$1001,MATCH(ROWS($I$2:I183),$I$2:$I$1001,0),0), INDEX($P$1004:$S$1004,1,MATCH(COLUMNS($P$1006:P1006),$P$1006:$S$1006,0)))),"Fix")))</f>
        <v>0</v>
      </c>
      <c r="C183" s="3">
        <f>IF(OR(INDEX($J$2:$J$1001,MATCH(ROWS($I$2:I183),$I$2:$I$1001,0),1)&gt;=100000,INDEX($P$1005:$S$1005,1,MATCH(COLUMNS($P$1006:Q1006),$P$1006:$S$1006,0))&gt;=100000), " ",IF(INDEX($P$2:$S$1001,MATCH(ROWS($I$2:I183),$I$2:$I$1001,0),MATCH(COLUMNS($P$1006:Q1006),$P$1006:$S$1006,0)), HYPERLINK("#",""), HYPERLINK(CONCATENATE("#metadata!", ADDRESS(INDEX($K$2:$K$1001,MATCH(ROWS($I$2:I183),$I$2:$I$1001,0),0), INDEX($P$1004:$S$1004,1,MATCH(COLUMNS($P$1006:Q1006),$P$1006:$S$1006,0)))),"Fix")))</f>
        <v>0</v>
      </c>
      <c r="D183" s="3">
        <f>IF(OR(INDEX($J$2:$J$1001,MATCH(ROWS($I$2:I183),$I$2:$I$1001,0),1)&gt;=100000,INDEX($P$1005:$S$1005,1,MATCH(COLUMNS($P$1006:R1006),$P$1006:$S$1006,0))&gt;=100000), " ",IF(INDEX($P$2:$S$1001,MATCH(ROWS($I$2:I183),$I$2:$I$1001,0),MATCH(COLUMNS($P$1006:R1006),$P$1006:$S$1006,0)), HYPERLINK("#",""), HYPERLINK(CONCATENATE("#metadata!", ADDRESS(INDEX($K$2:$K$1001,MATCH(ROWS($I$2:I183),$I$2:$I$1001,0),0), INDEX($P$1004:$S$1004,1,MATCH(COLUMNS($P$1006:R1006),$P$1006:$S$1006,0)))),"Fix")))</f>
        <v>0</v>
      </c>
      <c r="E183" s="3">
        <f>IF(OR(INDEX($J$2:$J$1001,MATCH(ROWS($I$2:I183),$I$2:$I$1001,0),1)&gt;=100000,INDEX($P$1005:$S$1005,1,MATCH(COLUMNS($P$1006:S1006),$P$1006:$S$1006,0))&gt;=100000), " ",IF(INDEX($P$2:$S$1001,MATCH(ROWS($I$2:I183),$I$2:$I$1001,0),MATCH(COLUMNS($P$1006:S1006),$P$1006:$S$1006,0)), HYPERLINK("#",""), HYPERLINK(CONCATENATE("#metadata!", ADDRESS(INDEX($K$2:$K$1001,MATCH(ROWS($I$2:I183),$I$2:$I$1001,0),0), INDEX($P$1004:$S$1004,1,MATCH(COLUMNS($P$1006:S1006),$P$1006:$S$1006,0)))),"Fix")))</f>
        <v>0</v>
      </c>
      <c r="I183">
        <v>0</v>
      </c>
      <c r="J183">
        <v>0</v>
      </c>
      <c r="K183">
        <v>0</v>
      </c>
      <c r="L183">
        <f>IF(M183,TRUE,AND(P183:S183))</f>
        <v>0</v>
      </c>
      <c r="M183">
        <f>COUNTBLANK(metadata!B183:E183)=COLUMNS(metadata!B183:E183)</f>
        <v>0</v>
      </c>
      <c r="N183">
        <v>0</v>
      </c>
      <c r="P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Q183">
        <f>AND(IF(metadata!C183="",FALSE,TRUE),exact(metadata!C183,"other"))</f>
        <v>0</v>
      </c>
      <c r="R183">
        <f>AND(IF(metadata!D183="",FALSE,TRUE),exact(metadata!D183,"metagenome"))</f>
        <v>0</v>
      </c>
      <c r="S183">
        <f>AND(IF(metadata!E183="",FALSE,TRUE),exact(metadata!E183,"256318"))</f>
        <v>0</v>
      </c>
    </row>
    <row r="184" spans="1:19">
      <c r="A184" s="4">
        <f>IF(B184=" "," ",HYPERLINK(CONCATENATE("#metadata!",ADDRESS(INDEX($K$2:$K$1001,MATCH(ROWS($I$2:I184),$I$2:$I$1001,0),0),1)),INDEX($N$2:$N$1001,MATCH(ROWS($I$2:I184),$I$2:$I$1001,0),0)))</f>
        <v>0</v>
      </c>
      <c r="B184" s="3">
        <f>IF(OR(INDEX($J$2:$J$1001,MATCH(ROWS($I$2:I184),$I$2:$I$1001,0),1)&gt;=100000,INDEX($P$1005:$S$1005,1,MATCH(COLUMNS($P$1006:P1006),$P$1006:$S$1006,0))&gt;=100000), " ",IF(INDEX($P$2:$S$1001,MATCH(ROWS($I$2:I184),$I$2:$I$1001,0),MATCH(COLUMNS($P$1006:P1006),$P$1006:$S$1006,0)), HYPERLINK("#",""), HYPERLINK(CONCATENATE("#metadata!", ADDRESS(INDEX($K$2:$K$1001,MATCH(ROWS($I$2:I184),$I$2:$I$1001,0),0), INDEX($P$1004:$S$1004,1,MATCH(COLUMNS($P$1006:P1006),$P$1006:$S$1006,0)))),"Fix")))</f>
        <v>0</v>
      </c>
      <c r="C184" s="3">
        <f>IF(OR(INDEX($J$2:$J$1001,MATCH(ROWS($I$2:I184),$I$2:$I$1001,0),1)&gt;=100000,INDEX($P$1005:$S$1005,1,MATCH(COLUMNS($P$1006:Q1006),$P$1006:$S$1006,0))&gt;=100000), " ",IF(INDEX($P$2:$S$1001,MATCH(ROWS($I$2:I184),$I$2:$I$1001,0),MATCH(COLUMNS($P$1006:Q1006),$P$1006:$S$1006,0)), HYPERLINK("#",""), HYPERLINK(CONCATENATE("#metadata!", ADDRESS(INDEX($K$2:$K$1001,MATCH(ROWS($I$2:I184),$I$2:$I$1001,0),0), INDEX($P$1004:$S$1004,1,MATCH(COLUMNS($P$1006:Q1006),$P$1006:$S$1006,0)))),"Fix")))</f>
        <v>0</v>
      </c>
      <c r="D184" s="3">
        <f>IF(OR(INDEX($J$2:$J$1001,MATCH(ROWS($I$2:I184),$I$2:$I$1001,0),1)&gt;=100000,INDEX($P$1005:$S$1005,1,MATCH(COLUMNS($P$1006:R1006),$P$1006:$S$1006,0))&gt;=100000), " ",IF(INDEX($P$2:$S$1001,MATCH(ROWS($I$2:I184),$I$2:$I$1001,0),MATCH(COLUMNS($P$1006:R1006),$P$1006:$S$1006,0)), HYPERLINK("#",""), HYPERLINK(CONCATENATE("#metadata!", ADDRESS(INDEX($K$2:$K$1001,MATCH(ROWS($I$2:I184),$I$2:$I$1001,0),0), INDEX($P$1004:$S$1004,1,MATCH(COLUMNS($P$1006:R1006),$P$1006:$S$1006,0)))),"Fix")))</f>
        <v>0</v>
      </c>
      <c r="E184" s="3">
        <f>IF(OR(INDEX($J$2:$J$1001,MATCH(ROWS($I$2:I184),$I$2:$I$1001,0),1)&gt;=100000,INDEX($P$1005:$S$1005,1,MATCH(COLUMNS($P$1006:S1006),$P$1006:$S$1006,0))&gt;=100000), " ",IF(INDEX($P$2:$S$1001,MATCH(ROWS($I$2:I184),$I$2:$I$1001,0),MATCH(COLUMNS($P$1006:S1006),$P$1006:$S$1006,0)), HYPERLINK("#",""), HYPERLINK(CONCATENATE("#metadata!", ADDRESS(INDEX($K$2:$K$1001,MATCH(ROWS($I$2:I184),$I$2:$I$1001,0),0), INDEX($P$1004:$S$1004,1,MATCH(COLUMNS($P$1006:S1006),$P$1006:$S$1006,0)))),"Fix")))</f>
        <v>0</v>
      </c>
      <c r="I184">
        <v>0</v>
      </c>
      <c r="J184">
        <v>0</v>
      </c>
      <c r="K184">
        <v>0</v>
      </c>
      <c r="L184">
        <f>IF(M184,TRUE,AND(P184:S184))</f>
        <v>0</v>
      </c>
      <c r="M184">
        <f>COUNTBLANK(metadata!B184:E184)=COLUMNS(metadata!B184:E184)</f>
        <v>0</v>
      </c>
      <c r="N184">
        <v>0</v>
      </c>
      <c r="P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Q184">
        <f>AND(IF(metadata!C184="",FALSE,TRUE),exact(metadata!C184,"other"))</f>
        <v>0</v>
      </c>
      <c r="R184">
        <f>AND(IF(metadata!D184="",FALSE,TRUE),exact(metadata!D184,"metagenome"))</f>
        <v>0</v>
      </c>
      <c r="S184">
        <f>AND(IF(metadata!E184="",FALSE,TRUE),exact(metadata!E184,"256318"))</f>
        <v>0</v>
      </c>
    </row>
    <row r="185" spans="1:19">
      <c r="A185" s="4">
        <f>IF(B185=" "," ",HYPERLINK(CONCATENATE("#metadata!",ADDRESS(INDEX($K$2:$K$1001,MATCH(ROWS($I$2:I185),$I$2:$I$1001,0),0),1)),INDEX($N$2:$N$1001,MATCH(ROWS($I$2:I185),$I$2:$I$1001,0),0)))</f>
        <v>0</v>
      </c>
      <c r="B185" s="3">
        <f>IF(OR(INDEX($J$2:$J$1001,MATCH(ROWS($I$2:I185),$I$2:$I$1001,0),1)&gt;=100000,INDEX($P$1005:$S$1005,1,MATCH(COLUMNS($P$1006:P1006),$P$1006:$S$1006,0))&gt;=100000), " ",IF(INDEX($P$2:$S$1001,MATCH(ROWS($I$2:I185),$I$2:$I$1001,0),MATCH(COLUMNS($P$1006:P1006),$P$1006:$S$1006,0)), HYPERLINK("#",""), HYPERLINK(CONCATENATE("#metadata!", ADDRESS(INDEX($K$2:$K$1001,MATCH(ROWS($I$2:I185),$I$2:$I$1001,0),0), INDEX($P$1004:$S$1004,1,MATCH(COLUMNS($P$1006:P1006),$P$1006:$S$1006,0)))),"Fix")))</f>
        <v>0</v>
      </c>
      <c r="C185" s="3">
        <f>IF(OR(INDEX($J$2:$J$1001,MATCH(ROWS($I$2:I185),$I$2:$I$1001,0),1)&gt;=100000,INDEX($P$1005:$S$1005,1,MATCH(COLUMNS($P$1006:Q1006),$P$1006:$S$1006,0))&gt;=100000), " ",IF(INDEX($P$2:$S$1001,MATCH(ROWS($I$2:I185),$I$2:$I$1001,0),MATCH(COLUMNS($P$1006:Q1006),$P$1006:$S$1006,0)), HYPERLINK("#",""), HYPERLINK(CONCATENATE("#metadata!", ADDRESS(INDEX($K$2:$K$1001,MATCH(ROWS($I$2:I185),$I$2:$I$1001,0),0), INDEX($P$1004:$S$1004,1,MATCH(COLUMNS($P$1006:Q1006),$P$1006:$S$1006,0)))),"Fix")))</f>
        <v>0</v>
      </c>
      <c r="D185" s="3">
        <f>IF(OR(INDEX($J$2:$J$1001,MATCH(ROWS($I$2:I185),$I$2:$I$1001,0),1)&gt;=100000,INDEX($P$1005:$S$1005,1,MATCH(COLUMNS($P$1006:R1006),$P$1006:$S$1006,0))&gt;=100000), " ",IF(INDEX($P$2:$S$1001,MATCH(ROWS($I$2:I185),$I$2:$I$1001,0),MATCH(COLUMNS($P$1006:R1006),$P$1006:$S$1006,0)), HYPERLINK("#",""), HYPERLINK(CONCATENATE("#metadata!", ADDRESS(INDEX($K$2:$K$1001,MATCH(ROWS($I$2:I185),$I$2:$I$1001,0),0), INDEX($P$1004:$S$1004,1,MATCH(COLUMNS($P$1006:R1006),$P$1006:$S$1006,0)))),"Fix")))</f>
        <v>0</v>
      </c>
      <c r="E185" s="3">
        <f>IF(OR(INDEX($J$2:$J$1001,MATCH(ROWS($I$2:I185),$I$2:$I$1001,0),1)&gt;=100000,INDEX($P$1005:$S$1005,1,MATCH(COLUMNS($P$1006:S1006),$P$1006:$S$1006,0))&gt;=100000), " ",IF(INDEX($P$2:$S$1001,MATCH(ROWS($I$2:I185),$I$2:$I$1001,0),MATCH(COLUMNS($P$1006:S1006),$P$1006:$S$1006,0)), HYPERLINK("#",""), HYPERLINK(CONCATENATE("#metadata!", ADDRESS(INDEX($K$2:$K$1001,MATCH(ROWS($I$2:I185),$I$2:$I$1001,0),0), INDEX($P$1004:$S$1004,1,MATCH(COLUMNS($P$1006:S1006),$P$1006:$S$1006,0)))),"Fix")))</f>
        <v>0</v>
      </c>
      <c r="I185">
        <v>0</v>
      </c>
      <c r="J185">
        <v>0</v>
      </c>
      <c r="K185">
        <v>0</v>
      </c>
      <c r="L185">
        <f>IF(M185,TRUE,AND(P185:S185))</f>
        <v>0</v>
      </c>
      <c r="M185">
        <f>COUNTBLANK(metadata!B185:E185)=COLUMNS(metadata!B185:E185)</f>
        <v>0</v>
      </c>
      <c r="N185">
        <v>0</v>
      </c>
      <c r="P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Q185">
        <f>AND(IF(metadata!C185="",FALSE,TRUE),exact(metadata!C185,"other"))</f>
        <v>0</v>
      </c>
      <c r="R185">
        <f>AND(IF(metadata!D185="",FALSE,TRUE),exact(metadata!D185,"metagenome"))</f>
        <v>0</v>
      </c>
      <c r="S185">
        <f>AND(IF(metadata!E185="",FALSE,TRUE),exact(metadata!E185,"256318"))</f>
        <v>0</v>
      </c>
    </row>
    <row r="186" spans="1:19">
      <c r="A186" s="4">
        <f>IF(B186=" "," ",HYPERLINK(CONCATENATE("#metadata!",ADDRESS(INDEX($K$2:$K$1001,MATCH(ROWS($I$2:I186),$I$2:$I$1001,0),0),1)),INDEX($N$2:$N$1001,MATCH(ROWS($I$2:I186),$I$2:$I$1001,0),0)))</f>
        <v>0</v>
      </c>
      <c r="B186" s="3">
        <f>IF(OR(INDEX($J$2:$J$1001,MATCH(ROWS($I$2:I186),$I$2:$I$1001,0),1)&gt;=100000,INDEX($P$1005:$S$1005,1,MATCH(COLUMNS($P$1006:P1006),$P$1006:$S$1006,0))&gt;=100000), " ",IF(INDEX($P$2:$S$1001,MATCH(ROWS($I$2:I186),$I$2:$I$1001,0),MATCH(COLUMNS($P$1006:P1006),$P$1006:$S$1006,0)), HYPERLINK("#",""), HYPERLINK(CONCATENATE("#metadata!", ADDRESS(INDEX($K$2:$K$1001,MATCH(ROWS($I$2:I186),$I$2:$I$1001,0),0), INDEX($P$1004:$S$1004,1,MATCH(COLUMNS($P$1006:P1006),$P$1006:$S$1006,0)))),"Fix")))</f>
        <v>0</v>
      </c>
      <c r="C186" s="3">
        <f>IF(OR(INDEX($J$2:$J$1001,MATCH(ROWS($I$2:I186),$I$2:$I$1001,0),1)&gt;=100000,INDEX($P$1005:$S$1005,1,MATCH(COLUMNS($P$1006:Q1006),$P$1006:$S$1006,0))&gt;=100000), " ",IF(INDEX($P$2:$S$1001,MATCH(ROWS($I$2:I186),$I$2:$I$1001,0),MATCH(COLUMNS($P$1006:Q1006),$P$1006:$S$1006,0)), HYPERLINK("#",""), HYPERLINK(CONCATENATE("#metadata!", ADDRESS(INDEX($K$2:$K$1001,MATCH(ROWS($I$2:I186),$I$2:$I$1001,0),0), INDEX($P$1004:$S$1004,1,MATCH(COLUMNS($P$1006:Q1006),$P$1006:$S$1006,0)))),"Fix")))</f>
        <v>0</v>
      </c>
      <c r="D186" s="3">
        <f>IF(OR(INDEX($J$2:$J$1001,MATCH(ROWS($I$2:I186),$I$2:$I$1001,0),1)&gt;=100000,INDEX($P$1005:$S$1005,1,MATCH(COLUMNS($P$1006:R1006),$P$1006:$S$1006,0))&gt;=100000), " ",IF(INDEX($P$2:$S$1001,MATCH(ROWS($I$2:I186),$I$2:$I$1001,0),MATCH(COLUMNS($P$1006:R1006),$P$1006:$S$1006,0)), HYPERLINK("#",""), HYPERLINK(CONCATENATE("#metadata!", ADDRESS(INDEX($K$2:$K$1001,MATCH(ROWS($I$2:I186),$I$2:$I$1001,0),0), INDEX($P$1004:$S$1004,1,MATCH(COLUMNS($P$1006:R1006),$P$1006:$S$1006,0)))),"Fix")))</f>
        <v>0</v>
      </c>
      <c r="E186" s="3">
        <f>IF(OR(INDEX($J$2:$J$1001,MATCH(ROWS($I$2:I186),$I$2:$I$1001,0),1)&gt;=100000,INDEX($P$1005:$S$1005,1,MATCH(COLUMNS($P$1006:S1006),$P$1006:$S$1006,0))&gt;=100000), " ",IF(INDEX($P$2:$S$1001,MATCH(ROWS($I$2:I186),$I$2:$I$1001,0),MATCH(COLUMNS($P$1006:S1006),$P$1006:$S$1006,0)), HYPERLINK("#",""), HYPERLINK(CONCATENATE("#metadata!", ADDRESS(INDEX($K$2:$K$1001,MATCH(ROWS($I$2:I186),$I$2:$I$1001,0),0), INDEX($P$1004:$S$1004,1,MATCH(COLUMNS($P$1006:S1006),$P$1006:$S$1006,0)))),"Fix")))</f>
        <v>0</v>
      </c>
      <c r="I186">
        <v>0</v>
      </c>
      <c r="J186">
        <v>0</v>
      </c>
      <c r="K186">
        <v>0</v>
      </c>
      <c r="L186">
        <f>IF(M186,TRUE,AND(P186:S186))</f>
        <v>0</v>
      </c>
      <c r="M186">
        <f>COUNTBLANK(metadata!B186:E186)=COLUMNS(metadata!B186:E186)</f>
        <v>0</v>
      </c>
      <c r="N186">
        <v>0</v>
      </c>
      <c r="P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Q186">
        <f>AND(IF(metadata!C186="",FALSE,TRUE),exact(metadata!C186,"other"))</f>
        <v>0</v>
      </c>
      <c r="R186">
        <f>AND(IF(metadata!D186="",FALSE,TRUE),exact(metadata!D186,"metagenome"))</f>
        <v>0</v>
      </c>
      <c r="S186">
        <f>AND(IF(metadata!E186="",FALSE,TRUE),exact(metadata!E186,"256318"))</f>
        <v>0</v>
      </c>
    </row>
    <row r="187" spans="1:19">
      <c r="A187" s="4">
        <f>IF(B187=" "," ",HYPERLINK(CONCATENATE("#metadata!",ADDRESS(INDEX($K$2:$K$1001,MATCH(ROWS($I$2:I187),$I$2:$I$1001,0),0),1)),INDEX($N$2:$N$1001,MATCH(ROWS($I$2:I187),$I$2:$I$1001,0),0)))</f>
        <v>0</v>
      </c>
      <c r="B187" s="3">
        <f>IF(OR(INDEX($J$2:$J$1001,MATCH(ROWS($I$2:I187),$I$2:$I$1001,0),1)&gt;=100000,INDEX($P$1005:$S$1005,1,MATCH(COLUMNS($P$1006:P1006),$P$1006:$S$1006,0))&gt;=100000), " ",IF(INDEX($P$2:$S$1001,MATCH(ROWS($I$2:I187),$I$2:$I$1001,0),MATCH(COLUMNS($P$1006:P1006),$P$1006:$S$1006,0)), HYPERLINK("#",""), HYPERLINK(CONCATENATE("#metadata!", ADDRESS(INDEX($K$2:$K$1001,MATCH(ROWS($I$2:I187),$I$2:$I$1001,0),0), INDEX($P$1004:$S$1004,1,MATCH(COLUMNS($P$1006:P1006),$P$1006:$S$1006,0)))),"Fix")))</f>
        <v>0</v>
      </c>
      <c r="C187" s="3">
        <f>IF(OR(INDEX($J$2:$J$1001,MATCH(ROWS($I$2:I187),$I$2:$I$1001,0),1)&gt;=100000,INDEX($P$1005:$S$1005,1,MATCH(COLUMNS($P$1006:Q1006),$P$1006:$S$1006,0))&gt;=100000), " ",IF(INDEX($P$2:$S$1001,MATCH(ROWS($I$2:I187),$I$2:$I$1001,0),MATCH(COLUMNS($P$1006:Q1006),$P$1006:$S$1006,0)), HYPERLINK("#",""), HYPERLINK(CONCATENATE("#metadata!", ADDRESS(INDEX($K$2:$K$1001,MATCH(ROWS($I$2:I187),$I$2:$I$1001,0),0), INDEX($P$1004:$S$1004,1,MATCH(COLUMNS($P$1006:Q1006),$P$1006:$S$1006,0)))),"Fix")))</f>
        <v>0</v>
      </c>
      <c r="D187" s="3">
        <f>IF(OR(INDEX($J$2:$J$1001,MATCH(ROWS($I$2:I187),$I$2:$I$1001,0),1)&gt;=100000,INDEX($P$1005:$S$1005,1,MATCH(COLUMNS($P$1006:R1006),$P$1006:$S$1006,0))&gt;=100000), " ",IF(INDEX($P$2:$S$1001,MATCH(ROWS($I$2:I187),$I$2:$I$1001,0),MATCH(COLUMNS($P$1006:R1006),$P$1006:$S$1006,0)), HYPERLINK("#",""), HYPERLINK(CONCATENATE("#metadata!", ADDRESS(INDEX($K$2:$K$1001,MATCH(ROWS($I$2:I187),$I$2:$I$1001,0),0), INDEX($P$1004:$S$1004,1,MATCH(COLUMNS($P$1006:R1006),$P$1006:$S$1006,0)))),"Fix")))</f>
        <v>0</v>
      </c>
      <c r="E187" s="3">
        <f>IF(OR(INDEX($J$2:$J$1001,MATCH(ROWS($I$2:I187),$I$2:$I$1001,0),1)&gt;=100000,INDEX($P$1005:$S$1005,1,MATCH(COLUMNS($P$1006:S1006),$P$1006:$S$1006,0))&gt;=100000), " ",IF(INDEX($P$2:$S$1001,MATCH(ROWS($I$2:I187),$I$2:$I$1001,0),MATCH(COLUMNS($P$1006:S1006),$P$1006:$S$1006,0)), HYPERLINK("#",""), HYPERLINK(CONCATENATE("#metadata!", ADDRESS(INDEX($K$2:$K$1001,MATCH(ROWS($I$2:I187),$I$2:$I$1001,0),0), INDEX($P$1004:$S$1004,1,MATCH(COLUMNS($P$1006:S1006),$P$1006:$S$1006,0)))),"Fix")))</f>
        <v>0</v>
      </c>
      <c r="I187">
        <v>0</v>
      </c>
      <c r="J187">
        <v>0</v>
      </c>
      <c r="K187">
        <v>0</v>
      </c>
      <c r="L187">
        <f>IF(M187,TRUE,AND(P187:S187))</f>
        <v>0</v>
      </c>
      <c r="M187">
        <f>COUNTBLANK(metadata!B187:E187)=COLUMNS(metadata!B187:E187)</f>
        <v>0</v>
      </c>
      <c r="N187">
        <v>0</v>
      </c>
      <c r="P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Q187">
        <f>AND(IF(metadata!C187="",FALSE,TRUE),exact(metadata!C187,"other"))</f>
        <v>0</v>
      </c>
      <c r="R187">
        <f>AND(IF(metadata!D187="",FALSE,TRUE),exact(metadata!D187,"metagenome"))</f>
        <v>0</v>
      </c>
      <c r="S187">
        <f>AND(IF(metadata!E187="",FALSE,TRUE),exact(metadata!E187,"256318"))</f>
        <v>0</v>
      </c>
    </row>
    <row r="188" spans="1:19">
      <c r="A188" s="4">
        <f>IF(B188=" "," ",HYPERLINK(CONCATENATE("#metadata!",ADDRESS(INDEX($K$2:$K$1001,MATCH(ROWS($I$2:I188),$I$2:$I$1001,0),0),1)),INDEX($N$2:$N$1001,MATCH(ROWS($I$2:I188),$I$2:$I$1001,0),0)))</f>
        <v>0</v>
      </c>
      <c r="B188" s="3">
        <f>IF(OR(INDEX($J$2:$J$1001,MATCH(ROWS($I$2:I188),$I$2:$I$1001,0),1)&gt;=100000,INDEX($P$1005:$S$1005,1,MATCH(COLUMNS($P$1006:P1006),$P$1006:$S$1006,0))&gt;=100000), " ",IF(INDEX($P$2:$S$1001,MATCH(ROWS($I$2:I188),$I$2:$I$1001,0),MATCH(COLUMNS($P$1006:P1006),$P$1006:$S$1006,0)), HYPERLINK("#",""), HYPERLINK(CONCATENATE("#metadata!", ADDRESS(INDEX($K$2:$K$1001,MATCH(ROWS($I$2:I188),$I$2:$I$1001,0),0), INDEX($P$1004:$S$1004,1,MATCH(COLUMNS($P$1006:P1006),$P$1006:$S$1006,0)))),"Fix")))</f>
        <v>0</v>
      </c>
      <c r="C188" s="3">
        <f>IF(OR(INDEX($J$2:$J$1001,MATCH(ROWS($I$2:I188),$I$2:$I$1001,0),1)&gt;=100000,INDEX($P$1005:$S$1005,1,MATCH(COLUMNS($P$1006:Q1006),$P$1006:$S$1006,0))&gt;=100000), " ",IF(INDEX($P$2:$S$1001,MATCH(ROWS($I$2:I188),$I$2:$I$1001,0),MATCH(COLUMNS($P$1006:Q1006),$P$1006:$S$1006,0)), HYPERLINK("#",""), HYPERLINK(CONCATENATE("#metadata!", ADDRESS(INDEX($K$2:$K$1001,MATCH(ROWS($I$2:I188),$I$2:$I$1001,0),0), INDEX($P$1004:$S$1004,1,MATCH(COLUMNS($P$1006:Q1006),$P$1006:$S$1006,0)))),"Fix")))</f>
        <v>0</v>
      </c>
      <c r="D188" s="3">
        <f>IF(OR(INDEX($J$2:$J$1001,MATCH(ROWS($I$2:I188),$I$2:$I$1001,0),1)&gt;=100000,INDEX($P$1005:$S$1005,1,MATCH(COLUMNS($P$1006:R1006),$P$1006:$S$1006,0))&gt;=100000), " ",IF(INDEX($P$2:$S$1001,MATCH(ROWS($I$2:I188),$I$2:$I$1001,0),MATCH(COLUMNS($P$1006:R1006),$P$1006:$S$1006,0)), HYPERLINK("#",""), HYPERLINK(CONCATENATE("#metadata!", ADDRESS(INDEX($K$2:$K$1001,MATCH(ROWS($I$2:I188),$I$2:$I$1001,0),0), INDEX($P$1004:$S$1004,1,MATCH(COLUMNS($P$1006:R1006),$P$1006:$S$1006,0)))),"Fix")))</f>
        <v>0</v>
      </c>
      <c r="E188" s="3">
        <f>IF(OR(INDEX($J$2:$J$1001,MATCH(ROWS($I$2:I188),$I$2:$I$1001,0),1)&gt;=100000,INDEX($P$1005:$S$1005,1,MATCH(COLUMNS($P$1006:S1006),$P$1006:$S$1006,0))&gt;=100000), " ",IF(INDEX($P$2:$S$1001,MATCH(ROWS($I$2:I188),$I$2:$I$1001,0),MATCH(COLUMNS($P$1006:S1006),$P$1006:$S$1006,0)), HYPERLINK("#",""), HYPERLINK(CONCATENATE("#metadata!", ADDRESS(INDEX($K$2:$K$1001,MATCH(ROWS($I$2:I188),$I$2:$I$1001,0),0), INDEX($P$1004:$S$1004,1,MATCH(COLUMNS($P$1006:S1006),$P$1006:$S$1006,0)))),"Fix")))</f>
        <v>0</v>
      </c>
      <c r="I188">
        <v>0</v>
      </c>
      <c r="J188">
        <v>0</v>
      </c>
      <c r="K188">
        <v>0</v>
      </c>
      <c r="L188">
        <f>IF(M188,TRUE,AND(P188:S188))</f>
        <v>0</v>
      </c>
      <c r="M188">
        <f>COUNTBLANK(metadata!B188:E188)=COLUMNS(metadata!B188:E188)</f>
        <v>0</v>
      </c>
      <c r="N188">
        <v>0</v>
      </c>
      <c r="P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Q188">
        <f>AND(IF(metadata!C188="",FALSE,TRUE),exact(metadata!C188,"other"))</f>
        <v>0</v>
      </c>
      <c r="R188">
        <f>AND(IF(metadata!D188="",FALSE,TRUE),exact(metadata!D188,"metagenome"))</f>
        <v>0</v>
      </c>
      <c r="S188">
        <f>AND(IF(metadata!E188="",FALSE,TRUE),exact(metadata!E188,"256318"))</f>
        <v>0</v>
      </c>
    </row>
    <row r="189" spans="1:19">
      <c r="A189" s="4">
        <f>IF(B189=" "," ",HYPERLINK(CONCATENATE("#metadata!",ADDRESS(INDEX($K$2:$K$1001,MATCH(ROWS($I$2:I189),$I$2:$I$1001,0),0),1)),INDEX($N$2:$N$1001,MATCH(ROWS($I$2:I189),$I$2:$I$1001,0),0)))</f>
        <v>0</v>
      </c>
      <c r="B189" s="3">
        <f>IF(OR(INDEX($J$2:$J$1001,MATCH(ROWS($I$2:I189),$I$2:$I$1001,0),1)&gt;=100000,INDEX($P$1005:$S$1005,1,MATCH(COLUMNS($P$1006:P1006),$P$1006:$S$1006,0))&gt;=100000), " ",IF(INDEX($P$2:$S$1001,MATCH(ROWS($I$2:I189),$I$2:$I$1001,0),MATCH(COLUMNS($P$1006:P1006),$P$1006:$S$1006,0)), HYPERLINK("#",""), HYPERLINK(CONCATENATE("#metadata!", ADDRESS(INDEX($K$2:$K$1001,MATCH(ROWS($I$2:I189),$I$2:$I$1001,0),0), INDEX($P$1004:$S$1004,1,MATCH(COLUMNS($P$1006:P1006),$P$1006:$S$1006,0)))),"Fix")))</f>
        <v>0</v>
      </c>
      <c r="C189" s="3">
        <f>IF(OR(INDEX($J$2:$J$1001,MATCH(ROWS($I$2:I189),$I$2:$I$1001,0),1)&gt;=100000,INDEX($P$1005:$S$1005,1,MATCH(COLUMNS($P$1006:Q1006),$P$1006:$S$1006,0))&gt;=100000), " ",IF(INDEX($P$2:$S$1001,MATCH(ROWS($I$2:I189),$I$2:$I$1001,0),MATCH(COLUMNS($P$1006:Q1006),$P$1006:$S$1006,0)), HYPERLINK("#",""), HYPERLINK(CONCATENATE("#metadata!", ADDRESS(INDEX($K$2:$K$1001,MATCH(ROWS($I$2:I189),$I$2:$I$1001,0),0), INDEX($P$1004:$S$1004,1,MATCH(COLUMNS($P$1006:Q1006),$P$1006:$S$1006,0)))),"Fix")))</f>
        <v>0</v>
      </c>
      <c r="D189" s="3">
        <f>IF(OR(INDEX($J$2:$J$1001,MATCH(ROWS($I$2:I189),$I$2:$I$1001,0),1)&gt;=100000,INDEX($P$1005:$S$1005,1,MATCH(COLUMNS($P$1006:R1006),$P$1006:$S$1006,0))&gt;=100000), " ",IF(INDEX($P$2:$S$1001,MATCH(ROWS($I$2:I189),$I$2:$I$1001,0),MATCH(COLUMNS($P$1006:R1006),$P$1006:$S$1006,0)), HYPERLINK("#",""), HYPERLINK(CONCATENATE("#metadata!", ADDRESS(INDEX($K$2:$K$1001,MATCH(ROWS($I$2:I189),$I$2:$I$1001,0),0), INDEX($P$1004:$S$1004,1,MATCH(COLUMNS($P$1006:R1006),$P$1006:$S$1006,0)))),"Fix")))</f>
        <v>0</v>
      </c>
      <c r="E189" s="3">
        <f>IF(OR(INDEX($J$2:$J$1001,MATCH(ROWS($I$2:I189),$I$2:$I$1001,0),1)&gt;=100000,INDEX($P$1005:$S$1005,1,MATCH(COLUMNS($P$1006:S1006),$P$1006:$S$1006,0))&gt;=100000), " ",IF(INDEX($P$2:$S$1001,MATCH(ROWS($I$2:I189),$I$2:$I$1001,0),MATCH(COLUMNS($P$1006:S1006),$P$1006:$S$1006,0)), HYPERLINK("#",""), HYPERLINK(CONCATENATE("#metadata!", ADDRESS(INDEX($K$2:$K$1001,MATCH(ROWS($I$2:I189),$I$2:$I$1001,0),0), INDEX($P$1004:$S$1004,1,MATCH(COLUMNS($P$1006:S1006),$P$1006:$S$1006,0)))),"Fix")))</f>
        <v>0</v>
      </c>
      <c r="I189">
        <v>0</v>
      </c>
      <c r="J189">
        <v>0</v>
      </c>
      <c r="K189">
        <v>0</v>
      </c>
      <c r="L189">
        <f>IF(M189,TRUE,AND(P189:S189))</f>
        <v>0</v>
      </c>
      <c r="M189">
        <f>COUNTBLANK(metadata!B189:E189)=COLUMNS(metadata!B189:E189)</f>
        <v>0</v>
      </c>
      <c r="N189">
        <v>0</v>
      </c>
      <c r="P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Q189">
        <f>AND(IF(metadata!C189="",FALSE,TRUE),exact(metadata!C189,"other"))</f>
        <v>0</v>
      </c>
      <c r="R189">
        <f>AND(IF(metadata!D189="",FALSE,TRUE),exact(metadata!D189,"metagenome"))</f>
        <v>0</v>
      </c>
      <c r="S189">
        <f>AND(IF(metadata!E189="",FALSE,TRUE),exact(metadata!E189,"256318"))</f>
        <v>0</v>
      </c>
    </row>
    <row r="190" spans="1:19">
      <c r="A190" s="4">
        <f>IF(B190=" "," ",HYPERLINK(CONCATENATE("#metadata!",ADDRESS(INDEX($K$2:$K$1001,MATCH(ROWS($I$2:I190),$I$2:$I$1001,0),0),1)),INDEX($N$2:$N$1001,MATCH(ROWS($I$2:I190),$I$2:$I$1001,0),0)))</f>
        <v>0</v>
      </c>
      <c r="B190" s="3">
        <f>IF(OR(INDEX($J$2:$J$1001,MATCH(ROWS($I$2:I190),$I$2:$I$1001,0),1)&gt;=100000,INDEX($P$1005:$S$1005,1,MATCH(COLUMNS($P$1006:P1006),$P$1006:$S$1006,0))&gt;=100000), " ",IF(INDEX($P$2:$S$1001,MATCH(ROWS($I$2:I190),$I$2:$I$1001,0),MATCH(COLUMNS($P$1006:P1006),$P$1006:$S$1006,0)), HYPERLINK("#",""), HYPERLINK(CONCATENATE("#metadata!", ADDRESS(INDEX($K$2:$K$1001,MATCH(ROWS($I$2:I190),$I$2:$I$1001,0),0), INDEX($P$1004:$S$1004,1,MATCH(COLUMNS($P$1006:P1006),$P$1006:$S$1006,0)))),"Fix")))</f>
        <v>0</v>
      </c>
      <c r="C190" s="3">
        <f>IF(OR(INDEX($J$2:$J$1001,MATCH(ROWS($I$2:I190),$I$2:$I$1001,0),1)&gt;=100000,INDEX($P$1005:$S$1005,1,MATCH(COLUMNS($P$1006:Q1006),$P$1006:$S$1006,0))&gt;=100000), " ",IF(INDEX($P$2:$S$1001,MATCH(ROWS($I$2:I190),$I$2:$I$1001,0),MATCH(COLUMNS($P$1006:Q1006),$P$1006:$S$1006,0)), HYPERLINK("#",""), HYPERLINK(CONCATENATE("#metadata!", ADDRESS(INDEX($K$2:$K$1001,MATCH(ROWS($I$2:I190),$I$2:$I$1001,0),0), INDEX($P$1004:$S$1004,1,MATCH(COLUMNS($P$1006:Q1006),$P$1006:$S$1006,0)))),"Fix")))</f>
        <v>0</v>
      </c>
      <c r="D190" s="3">
        <f>IF(OR(INDEX($J$2:$J$1001,MATCH(ROWS($I$2:I190),$I$2:$I$1001,0),1)&gt;=100000,INDEX($P$1005:$S$1005,1,MATCH(COLUMNS($P$1006:R1006),$P$1006:$S$1006,0))&gt;=100000), " ",IF(INDEX($P$2:$S$1001,MATCH(ROWS($I$2:I190),$I$2:$I$1001,0),MATCH(COLUMNS($P$1006:R1006),$P$1006:$S$1006,0)), HYPERLINK("#",""), HYPERLINK(CONCATENATE("#metadata!", ADDRESS(INDEX($K$2:$K$1001,MATCH(ROWS($I$2:I190),$I$2:$I$1001,0),0), INDEX($P$1004:$S$1004,1,MATCH(COLUMNS($P$1006:R1006),$P$1006:$S$1006,0)))),"Fix")))</f>
        <v>0</v>
      </c>
      <c r="E190" s="3">
        <f>IF(OR(INDEX($J$2:$J$1001,MATCH(ROWS($I$2:I190),$I$2:$I$1001,0),1)&gt;=100000,INDEX($P$1005:$S$1005,1,MATCH(COLUMNS($P$1006:S1006),$P$1006:$S$1006,0))&gt;=100000), " ",IF(INDEX($P$2:$S$1001,MATCH(ROWS($I$2:I190),$I$2:$I$1001,0),MATCH(COLUMNS($P$1006:S1006),$P$1006:$S$1006,0)), HYPERLINK("#",""), HYPERLINK(CONCATENATE("#metadata!", ADDRESS(INDEX($K$2:$K$1001,MATCH(ROWS($I$2:I190),$I$2:$I$1001,0),0), INDEX($P$1004:$S$1004,1,MATCH(COLUMNS($P$1006:S1006),$P$1006:$S$1006,0)))),"Fix")))</f>
        <v>0</v>
      </c>
      <c r="I190">
        <v>0</v>
      </c>
      <c r="J190">
        <v>0</v>
      </c>
      <c r="K190">
        <v>0</v>
      </c>
      <c r="L190">
        <f>IF(M190,TRUE,AND(P190:S190))</f>
        <v>0</v>
      </c>
      <c r="M190">
        <f>COUNTBLANK(metadata!B190:E190)=COLUMNS(metadata!B190:E190)</f>
        <v>0</v>
      </c>
      <c r="N190">
        <v>0</v>
      </c>
      <c r="P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Q190">
        <f>AND(IF(metadata!C190="",FALSE,TRUE),exact(metadata!C190,"other"))</f>
        <v>0</v>
      </c>
      <c r="R190">
        <f>AND(IF(metadata!D190="",FALSE,TRUE),exact(metadata!D190,"metagenome"))</f>
        <v>0</v>
      </c>
      <c r="S190">
        <f>AND(IF(metadata!E190="",FALSE,TRUE),exact(metadata!E190,"256318"))</f>
        <v>0</v>
      </c>
    </row>
    <row r="191" spans="1:19">
      <c r="A191" s="4">
        <f>IF(B191=" "," ",HYPERLINK(CONCATENATE("#metadata!",ADDRESS(INDEX($K$2:$K$1001,MATCH(ROWS($I$2:I191),$I$2:$I$1001,0),0),1)),INDEX($N$2:$N$1001,MATCH(ROWS($I$2:I191),$I$2:$I$1001,0),0)))</f>
        <v>0</v>
      </c>
      <c r="B191" s="3">
        <f>IF(OR(INDEX($J$2:$J$1001,MATCH(ROWS($I$2:I191),$I$2:$I$1001,0),1)&gt;=100000,INDEX($P$1005:$S$1005,1,MATCH(COLUMNS($P$1006:P1006),$P$1006:$S$1006,0))&gt;=100000), " ",IF(INDEX($P$2:$S$1001,MATCH(ROWS($I$2:I191),$I$2:$I$1001,0),MATCH(COLUMNS($P$1006:P1006),$P$1006:$S$1006,0)), HYPERLINK("#",""), HYPERLINK(CONCATENATE("#metadata!", ADDRESS(INDEX($K$2:$K$1001,MATCH(ROWS($I$2:I191),$I$2:$I$1001,0),0), INDEX($P$1004:$S$1004,1,MATCH(COLUMNS($P$1006:P1006),$P$1006:$S$1006,0)))),"Fix")))</f>
        <v>0</v>
      </c>
      <c r="C191" s="3">
        <f>IF(OR(INDEX($J$2:$J$1001,MATCH(ROWS($I$2:I191),$I$2:$I$1001,0),1)&gt;=100000,INDEX($P$1005:$S$1005,1,MATCH(COLUMNS($P$1006:Q1006),$P$1006:$S$1006,0))&gt;=100000), " ",IF(INDEX($P$2:$S$1001,MATCH(ROWS($I$2:I191),$I$2:$I$1001,0),MATCH(COLUMNS($P$1006:Q1006),$P$1006:$S$1006,0)), HYPERLINK("#",""), HYPERLINK(CONCATENATE("#metadata!", ADDRESS(INDEX($K$2:$K$1001,MATCH(ROWS($I$2:I191),$I$2:$I$1001,0),0), INDEX($P$1004:$S$1004,1,MATCH(COLUMNS($P$1006:Q1006),$P$1006:$S$1006,0)))),"Fix")))</f>
        <v>0</v>
      </c>
      <c r="D191" s="3">
        <f>IF(OR(INDEX($J$2:$J$1001,MATCH(ROWS($I$2:I191),$I$2:$I$1001,0),1)&gt;=100000,INDEX($P$1005:$S$1005,1,MATCH(COLUMNS($P$1006:R1006),$P$1006:$S$1006,0))&gt;=100000), " ",IF(INDEX($P$2:$S$1001,MATCH(ROWS($I$2:I191),$I$2:$I$1001,0),MATCH(COLUMNS($P$1006:R1006),$P$1006:$S$1006,0)), HYPERLINK("#",""), HYPERLINK(CONCATENATE("#metadata!", ADDRESS(INDEX($K$2:$K$1001,MATCH(ROWS($I$2:I191),$I$2:$I$1001,0),0), INDEX($P$1004:$S$1004,1,MATCH(COLUMNS($P$1006:R1006),$P$1006:$S$1006,0)))),"Fix")))</f>
        <v>0</v>
      </c>
      <c r="E191" s="3">
        <f>IF(OR(INDEX($J$2:$J$1001,MATCH(ROWS($I$2:I191),$I$2:$I$1001,0),1)&gt;=100000,INDEX($P$1005:$S$1005,1,MATCH(COLUMNS($P$1006:S1006),$P$1006:$S$1006,0))&gt;=100000), " ",IF(INDEX($P$2:$S$1001,MATCH(ROWS($I$2:I191),$I$2:$I$1001,0),MATCH(COLUMNS($P$1006:S1006),$P$1006:$S$1006,0)), HYPERLINK("#",""), HYPERLINK(CONCATENATE("#metadata!", ADDRESS(INDEX($K$2:$K$1001,MATCH(ROWS($I$2:I191),$I$2:$I$1001,0),0), INDEX($P$1004:$S$1004,1,MATCH(COLUMNS($P$1006:S1006),$P$1006:$S$1006,0)))),"Fix")))</f>
        <v>0</v>
      </c>
      <c r="I191">
        <v>0</v>
      </c>
      <c r="J191">
        <v>0</v>
      </c>
      <c r="K191">
        <v>0</v>
      </c>
      <c r="L191">
        <f>IF(M191,TRUE,AND(P191:S191))</f>
        <v>0</v>
      </c>
      <c r="M191">
        <f>COUNTBLANK(metadata!B191:E191)=COLUMNS(metadata!B191:E191)</f>
        <v>0</v>
      </c>
      <c r="N191">
        <v>0</v>
      </c>
      <c r="P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Q191">
        <f>AND(IF(metadata!C191="",FALSE,TRUE),exact(metadata!C191,"other"))</f>
        <v>0</v>
      </c>
      <c r="R191">
        <f>AND(IF(metadata!D191="",FALSE,TRUE),exact(metadata!D191,"metagenome"))</f>
        <v>0</v>
      </c>
      <c r="S191">
        <f>AND(IF(metadata!E191="",FALSE,TRUE),exact(metadata!E191,"256318"))</f>
        <v>0</v>
      </c>
    </row>
    <row r="192" spans="1:19">
      <c r="A192" s="4">
        <f>IF(B192=" "," ",HYPERLINK(CONCATENATE("#metadata!",ADDRESS(INDEX($K$2:$K$1001,MATCH(ROWS($I$2:I192),$I$2:$I$1001,0),0),1)),INDEX($N$2:$N$1001,MATCH(ROWS($I$2:I192),$I$2:$I$1001,0),0)))</f>
        <v>0</v>
      </c>
      <c r="B192" s="3">
        <f>IF(OR(INDEX($J$2:$J$1001,MATCH(ROWS($I$2:I192),$I$2:$I$1001,0),1)&gt;=100000,INDEX($P$1005:$S$1005,1,MATCH(COLUMNS($P$1006:P1006),$P$1006:$S$1006,0))&gt;=100000), " ",IF(INDEX($P$2:$S$1001,MATCH(ROWS($I$2:I192),$I$2:$I$1001,0),MATCH(COLUMNS($P$1006:P1006),$P$1006:$S$1006,0)), HYPERLINK("#",""), HYPERLINK(CONCATENATE("#metadata!", ADDRESS(INDEX($K$2:$K$1001,MATCH(ROWS($I$2:I192),$I$2:$I$1001,0),0), INDEX($P$1004:$S$1004,1,MATCH(COLUMNS($P$1006:P1006),$P$1006:$S$1006,0)))),"Fix")))</f>
        <v>0</v>
      </c>
      <c r="C192" s="3">
        <f>IF(OR(INDEX($J$2:$J$1001,MATCH(ROWS($I$2:I192),$I$2:$I$1001,0),1)&gt;=100000,INDEX($P$1005:$S$1005,1,MATCH(COLUMNS($P$1006:Q1006),$P$1006:$S$1006,0))&gt;=100000), " ",IF(INDEX($P$2:$S$1001,MATCH(ROWS($I$2:I192),$I$2:$I$1001,0),MATCH(COLUMNS($P$1006:Q1006),$P$1006:$S$1006,0)), HYPERLINK("#",""), HYPERLINK(CONCATENATE("#metadata!", ADDRESS(INDEX($K$2:$K$1001,MATCH(ROWS($I$2:I192),$I$2:$I$1001,0),0), INDEX($P$1004:$S$1004,1,MATCH(COLUMNS($P$1006:Q1006),$P$1006:$S$1006,0)))),"Fix")))</f>
        <v>0</v>
      </c>
      <c r="D192" s="3">
        <f>IF(OR(INDEX($J$2:$J$1001,MATCH(ROWS($I$2:I192),$I$2:$I$1001,0),1)&gt;=100000,INDEX($P$1005:$S$1005,1,MATCH(COLUMNS($P$1006:R1006),$P$1006:$S$1006,0))&gt;=100000), " ",IF(INDEX($P$2:$S$1001,MATCH(ROWS($I$2:I192),$I$2:$I$1001,0),MATCH(COLUMNS($P$1006:R1006),$P$1006:$S$1006,0)), HYPERLINK("#",""), HYPERLINK(CONCATENATE("#metadata!", ADDRESS(INDEX($K$2:$K$1001,MATCH(ROWS($I$2:I192),$I$2:$I$1001,0),0), INDEX($P$1004:$S$1004,1,MATCH(COLUMNS($P$1006:R1006),$P$1006:$S$1006,0)))),"Fix")))</f>
        <v>0</v>
      </c>
      <c r="E192" s="3">
        <f>IF(OR(INDEX($J$2:$J$1001,MATCH(ROWS($I$2:I192),$I$2:$I$1001,0),1)&gt;=100000,INDEX($P$1005:$S$1005,1,MATCH(COLUMNS($P$1006:S1006),$P$1006:$S$1006,0))&gt;=100000), " ",IF(INDEX($P$2:$S$1001,MATCH(ROWS($I$2:I192),$I$2:$I$1001,0),MATCH(COLUMNS($P$1006:S1006),$P$1006:$S$1006,0)), HYPERLINK("#",""), HYPERLINK(CONCATENATE("#metadata!", ADDRESS(INDEX($K$2:$K$1001,MATCH(ROWS($I$2:I192),$I$2:$I$1001,0),0), INDEX($P$1004:$S$1004,1,MATCH(COLUMNS($P$1006:S1006),$P$1006:$S$1006,0)))),"Fix")))</f>
        <v>0</v>
      </c>
      <c r="I192">
        <v>0</v>
      </c>
      <c r="J192">
        <v>0</v>
      </c>
      <c r="K192">
        <v>0</v>
      </c>
      <c r="L192">
        <f>IF(M192,TRUE,AND(P192:S192))</f>
        <v>0</v>
      </c>
      <c r="M192">
        <f>COUNTBLANK(metadata!B192:E192)=COLUMNS(metadata!B192:E192)</f>
        <v>0</v>
      </c>
      <c r="N192">
        <v>0</v>
      </c>
      <c r="P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Q192">
        <f>AND(IF(metadata!C192="",FALSE,TRUE),exact(metadata!C192,"other"))</f>
        <v>0</v>
      </c>
      <c r="R192">
        <f>AND(IF(metadata!D192="",FALSE,TRUE),exact(metadata!D192,"metagenome"))</f>
        <v>0</v>
      </c>
      <c r="S192">
        <f>AND(IF(metadata!E192="",FALSE,TRUE),exact(metadata!E192,"256318"))</f>
        <v>0</v>
      </c>
    </row>
    <row r="193" spans="1:19">
      <c r="A193" s="4">
        <f>IF(B193=" "," ",HYPERLINK(CONCATENATE("#metadata!",ADDRESS(INDEX($K$2:$K$1001,MATCH(ROWS($I$2:I193),$I$2:$I$1001,0),0),1)),INDEX($N$2:$N$1001,MATCH(ROWS($I$2:I193),$I$2:$I$1001,0),0)))</f>
        <v>0</v>
      </c>
      <c r="B193" s="3">
        <f>IF(OR(INDEX($J$2:$J$1001,MATCH(ROWS($I$2:I193),$I$2:$I$1001,0),1)&gt;=100000,INDEX($P$1005:$S$1005,1,MATCH(COLUMNS($P$1006:P1006),$P$1006:$S$1006,0))&gt;=100000), " ",IF(INDEX($P$2:$S$1001,MATCH(ROWS($I$2:I193),$I$2:$I$1001,0),MATCH(COLUMNS($P$1006:P1006),$P$1006:$S$1006,0)), HYPERLINK("#",""), HYPERLINK(CONCATENATE("#metadata!", ADDRESS(INDEX($K$2:$K$1001,MATCH(ROWS($I$2:I193),$I$2:$I$1001,0),0), INDEX($P$1004:$S$1004,1,MATCH(COLUMNS($P$1006:P1006),$P$1006:$S$1006,0)))),"Fix")))</f>
        <v>0</v>
      </c>
      <c r="C193" s="3">
        <f>IF(OR(INDEX($J$2:$J$1001,MATCH(ROWS($I$2:I193),$I$2:$I$1001,0),1)&gt;=100000,INDEX($P$1005:$S$1005,1,MATCH(COLUMNS($P$1006:Q1006),$P$1006:$S$1006,0))&gt;=100000), " ",IF(INDEX($P$2:$S$1001,MATCH(ROWS($I$2:I193),$I$2:$I$1001,0),MATCH(COLUMNS($P$1006:Q1006),$P$1006:$S$1006,0)), HYPERLINK("#",""), HYPERLINK(CONCATENATE("#metadata!", ADDRESS(INDEX($K$2:$K$1001,MATCH(ROWS($I$2:I193),$I$2:$I$1001,0),0), INDEX($P$1004:$S$1004,1,MATCH(COLUMNS($P$1006:Q1006),$P$1006:$S$1006,0)))),"Fix")))</f>
        <v>0</v>
      </c>
      <c r="D193" s="3">
        <f>IF(OR(INDEX($J$2:$J$1001,MATCH(ROWS($I$2:I193),$I$2:$I$1001,0),1)&gt;=100000,INDEX($P$1005:$S$1005,1,MATCH(COLUMNS($P$1006:R1006),$P$1006:$S$1006,0))&gt;=100000), " ",IF(INDEX($P$2:$S$1001,MATCH(ROWS($I$2:I193),$I$2:$I$1001,0),MATCH(COLUMNS($P$1006:R1006),$P$1006:$S$1006,0)), HYPERLINK("#",""), HYPERLINK(CONCATENATE("#metadata!", ADDRESS(INDEX($K$2:$K$1001,MATCH(ROWS($I$2:I193),$I$2:$I$1001,0),0), INDEX($P$1004:$S$1004,1,MATCH(COLUMNS($P$1006:R1006),$P$1006:$S$1006,0)))),"Fix")))</f>
        <v>0</v>
      </c>
      <c r="E193" s="3">
        <f>IF(OR(INDEX($J$2:$J$1001,MATCH(ROWS($I$2:I193),$I$2:$I$1001,0),1)&gt;=100000,INDEX($P$1005:$S$1005,1,MATCH(COLUMNS($P$1006:S1006),$P$1006:$S$1006,0))&gt;=100000), " ",IF(INDEX($P$2:$S$1001,MATCH(ROWS($I$2:I193),$I$2:$I$1001,0),MATCH(COLUMNS($P$1006:S1006),$P$1006:$S$1006,0)), HYPERLINK("#",""), HYPERLINK(CONCATENATE("#metadata!", ADDRESS(INDEX($K$2:$K$1001,MATCH(ROWS($I$2:I193),$I$2:$I$1001,0),0), INDEX($P$1004:$S$1004,1,MATCH(COLUMNS($P$1006:S1006),$P$1006:$S$1006,0)))),"Fix")))</f>
        <v>0</v>
      </c>
      <c r="I193">
        <v>0</v>
      </c>
      <c r="J193">
        <v>0</v>
      </c>
      <c r="K193">
        <v>0</v>
      </c>
      <c r="L193">
        <f>IF(M193,TRUE,AND(P193:S193))</f>
        <v>0</v>
      </c>
      <c r="M193">
        <f>COUNTBLANK(metadata!B193:E193)=COLUMNS(metadata!B193:E193)</f>
        <v>0</v>
      </c>
      <c r="N193">
        <v>0</v>
      </c>
      <c r="P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Q193">
        <f>AND(IF(metadata!C193="",FALSE,TRUE),exact(metadata!C193,"other"))</f>
        <v>0</v>
      </c>
      <c r="R193">
        <f>AND(IF(metadata!D193="",FALSE,TRUE),exact(metadata!D193,"metagenome"))</f>
        <v>0</v>
      </c>
      <c r="S193">
        <f>AND(IF(metadata!E193="",FALSE,TRUE),exact(metadata!E193,"256318"))</f>
        <v>0</v>
      </c>
    </row>
    <row r="194" spans="1:19">
      <c r="A194" s="4">
        <f>IF(B194=" "," ",HYPERLINK(CONCATENATE("#metadata!",ADDRESS(INDEX($K$2:$K$1001,MATCH(ROWS($I$2:I194),$I$2:$I$1001,0),0),1)),INDEX($N$2:$N$1001,MATCH(ROWS($I$2:I194),$I$2:$I$1001,0),0)))</f>
        <v>0</v>
      </c>
      <c r="B194" s="3">
        <f>IF(OR(INDEX($J$2:$J$1001,MATCH(ROWS($I$2:I194),$I$2:$I$1001,0),1)&gt;=100000,INDEX($P$1005:$S$1005,1,MATCH(COLUMNS($P$1006:P1006),$P$1006:$S$1006,0))&gt;=100000), " ",IF(INDEX($P$2:$S$1001,MATCH(ROWS($I$2:I194),$I$2:$I$1001,0),MATCH(COLUMNS($P$1006:P1006),$P$1006:$S$1006,0)), HYPERLINK("#",""), HYPERLINK(CONCATENATE("#metadata!", ADDRESS(INDEX($K$2:$K$1001,MATCH(ROWS($I$2:I194),$I$2:$I$1001,0),0), INDEX($P$1004:$S$1004,1,MATCH(COLUMNS($P$1006:P1006),$P$1006:$S$1006,0)))),"Fix")))</f>
        <v>0</v>
      </c>
      <c r="C194" s="3">
        <f>IF(OR(INDEX($J$2:$J$1001,MATCH(ROWS($I$2:I194),$I$2:$I$1001,0),1)&gt;=100000,INDEX($P$1005:$S$1005,1,MATCH(COLUMNS($P$1006:Q1006),$P$1006:$S$1006,0))&gt;=100000), " ",IF(INDEX($P$2:$S$1001,MATCH(ROWS($I$2:I194),$I$2:$I$1001,0),MATCH(COLUMNS($P$1006:Q1006),$P$1006:$S$1006,0)), HYPERLINK("#",""), HYPERLINK(CONCATENATE("#metadata!", ADDRESS(INDEX($K$2:$K$1001,MATCH(ROWS($I$2:I194),$I$2:$I$1001,0),0), INDEX($P$1004:$S$1004,1,MATCH(COLUMNS($P$1006:Q1006),$P$1006:$S$1006,0)))),"Fix")))</f>
        <v>0</v>
      </c>
      <c r="D194" s="3">
        <f>IF(OR(INDEX($J$2:$J$1001,MATCH(ROWS($I$2:I194),$I$2:$I$1001,0),1)&gt;=100000,INDEX($P$1005:$S$1005,1,MATCH(COLUMNS($P$1006:R1006),$P$1006:$S$1006,0))&gt;=100000), " ",IF(INDEX($P$2:$S$1001,MATCH(ROWS($I$2:I194),$I$2:$I$1001,0),MATCH(COLUMNS($P$1006:R1006),$P$1006:$S$1006,0)), HYPERLINK("#",""), HYPERLINK(CONCATENATE("#metadata!", ADDRESS(INDEX($K$2:$K$1001,MATCH(ROWS($I$2:I194),$I$2:$I$1001,0),0), INDEX($P$1004:$S$1004,1,MATCH(COLUMNS($P$1006:R1006),$P$1006:$S$1006,0)))),"Fix")))</f>
        <v>0</v>
      </c>
      <c r="E194" s="3">
        <f>IF(OR(INDEX($J$2:$J$1001,MATCH(ROWS($I$2:I194),$I$2:$I$1001,0),1)&gt;=100000,INDEX($P$1005:$S$1005,1,MATCH(COLUMNS($P$1006:S1006),$P$1006:$S$1006,0))&gt;=100000), " ",IF(INDEX($P$2:$S$1001,MATCH(ROWS($I$2:I194),$I$2:$I$1001,0),MATCH(COLUMNS($P$1006:S1006),$P$1006:$S$1006,0)), HYPERLINK("#",""), HYPERLINK(CONCATENATE("#metadata!", ADDRESS(INDEX($K$2:$K$1001,MATCH(ROWS($I$2:I194),$I$2:$I$1001,0),0), INDEX($P$1004:$S$1004,1,MATCH(COLUMNS($P$1006:S1006),$P$1006:$S$1006,0)))),"Fix")))</f>
        <v>0</v>
      </c>
      <c r="I194">
        <v>0</v>
      </c>
      <c r="J194">
        <v>0</v>
      </c>
      <c r="K194">
        <v>0</v>
      </c>
      <c r="L194">
        <f>IF(M194,TRUE,AND(P194:S194))</f>
        <v>0</v>
      </c>
      <c r="M194">
        <f>COUNTBLANK(metadata!B194:E194)=COLUMNS(metadata!B194:E194)</f>
        <v>0</v>
      </c>
      <c r="N194">
        <v>0</v>
      </c>
      <c r="P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Q194">
        <f>AND(IF(metadata!C194="",FALSE,TRUE),exact(metadata!C194,"other"))</f>
        <v>0</v>
      </c>
      <c r="R194">
        <f>AND(IF(metadata!D194="",FALSE,TRUE),exact(metadata!D194,"metagenome"))</f>
        <v>0</v>
      </c>
      <c r="S194">
        <f>AND(IF(metadata!E194="",FALSE,TRUE),exact(metadata!E194,"256318"))</f>
        <v>0</v>
      </c>
    </row>
    <row r="195" spans="1:19">
      <c r="A195" s="4">
        <f>IF(B195=" "," ",HYPERLINK(CONCATENATE("#metadata!",ADDRESS(INDEX($K$2:$K$1001,MATCH(ROWS($I$2:I195),$I$2:$I$1001,0),0),1)),INDEX($N$2:$N$1001,MATCH(ROWS($I$2:I195),$I$2:$I$1001,0),0)))</f>
        <v>0</v>
      </c>
      <c r="B195" s="3">
        <f>IF(OR(INDEX($J$2:$J$1001,MATCH(ROWS($I$2:I195),$I$2:$I$1001,0),1)&gt;=100000,INDEX($P$1005:$S$1005,1,MATCH(COLUMNS($P$1006:P1006),$P$1006:$S$1006,0))&gt;=100000), " ",IF(INDEX($P$2:$S$1001,MATCH(ROWS($I$2:I195),$I$2:$I$1001,0),MATCH(COLUMNS($P$1006:P1006),$P$1006:$S$1006,0)), HYPERLINK("#",""), HYPERLINK(CONCATENATE("#metadata!", ADDRESS(INDEX($K$2:$K$1001,MATCH(ROWS($I$2:I195),$I$2:$I$1001,0),0), INDEX($P$1004:$S$1004,1,MATCH(COLUMNS($P$1006:P1006),$P$1006:$S$1006,0)))),"Fix")))</f>
        <v>0</v>
      </c>
      <c r="C195" s="3">
        <f>IF(OR(INDEX($J$2:$J$1001,MATCH(ROWS($I$2:I195),$I$2:$I$1001,0),1)&gt;=100000,INDEX($P$1005:$S$1005,1,MATCH(COLUMNS($P$1006:Q1006),$P$1006:$S$1006,0))&gt;=100000), " ",IF(INDEX($P$2:$S$1001,MATCH(ROWS($I$2:I195),$I$2:$I$1001,0),MATCH(COLUMNS($P$1006:Q1006),$P$1006:$S$1006,0)), HYPERLINK("#",""), HYPERLINK(CONCATENATE("#metadata!", ADDRESS(INDEX($K$2:$K$1001,MATCH(ROWS($I$2:I195),$I$2:$I$1001,0),0), INDEX($P$1004:$S$1004,1,MATCH(COLUMNS($P$1006:Q1006),$P$1006:$S$1006,0)))),"Fix")))</f>
        <v>0</v>
      </c>
      <c r="D195" s="3">
        <f>IF(OR(INDEX($J$2:$J$1001,MATCH(ROWS($I$2:I195),$I$2:$I$1001,0),1)&gt;=100000,INDEX($P$1005:$S$1005,1,MATCH(COLUMNS($P$1006:R1006),$P$1006:$S$1006,0))&gt;=100000), " ",IF(INDEX($P$2:$S$1001,MATCH(ROWS($I$2:I195),$I$2:$I$1001,0),MATCH(COLUMNS($P$1006:R1006),$P$1006:$S$1006,0)), HYPERLINK("#",""), HYPERLINK(CONCATENATE("#metadata!", ADDRESS(INDEX($K$2:$K$1001,MATCH(ROWS($I$2:I195),$I$2:$I$1001,0),0), INDEX($P$1004:$S$1004,1,MATCH(COLUMNS($P$1006:R1006),$P$1006:$S$1006,0)))),"Fix")))</f>
        <v>0</v>
      </c>
      <c r="E195" s="3">
        <f>IF(OR(INDEX($J$2:$J$1001,MATCH(ROWS($I$2:I195),$I$2:$I$1001,0),1)&gt;=100000,INDEX($P$1005:$S$1005,1,MATCH(COLUMNS($P$1006:S1006),$P$1006:$S$1006,0))&gt;=100000), " ",IF(INDEX($P$2:$S$1001,MATCH(ROWS($I$2:I195),$I$2:$I$1001,0),MATCH(COLUMNS($P$1006:S1006),$P$1006:$S$1006,0)), HYPERLINK("#",""), HYPERLINK(CONCATENATE("#metadata!", ADDRESS(INDEX($K$2:$K$1001,MATCH(ROWS($I$2:I195),$I$2:$I$1001,0),0), INDEX($P$1004:$S$1004,1,MATCH(COLUMNS($P$1006:S1006),$P$1006:$S$1006,0)))),"Fix")))</f>
        <v>0</v>
      </c>
      <c r="I195">
        <v>0</v>
      </c>
      <c r="J195">
        <v>0</v>
      </c>
      <c r="K195">
        <v>0</v>
      </c>
      <c r="L195">
        <f>IF(M195,TRUE,AND(P195:S195))</f>
        <v>0</v>
      </c>
      <c r="M195">
        <f>COUNTBLANK(metadata!B195:E195)=COLUMNS(metadata!B195:E195)</f>
        <v>0</v>
      </c>
      <c r="N195">
        <v>0</v>
      </c>
      <c r="P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Q195">
        <f>AND(IF(metadata!C195="",FALSE,TRUE),exact(metadata!C195,"other"))</f>
        <v>0</v>
      </c>
      <c r="R195">
        <f>AND(IF(metadata!D195="",FALSE,TRUE),exact(metadata!D195,"metagenome"))</f>
        <v>0</v>
      </c>
      <c r="S195">
        <f>AND(IF(metadata!E195="",FALSE,TRUE),exact(metadata!E195,"256318"))</f>
        <v>0</v>
      </c>
    </row>
    <row r="196" spans="1:19">
      <c r="A196" s="4">
        <f>IF(B196=" "," ",HYPERLINK(CONCATENATE("#metadata!",ADDRESS(INDEX($K$2:$K$1001,MATCH(ROWS($I$2:I196),$I$2:$I$1001,0),0),1)),INDEX($N$2:$N$1001,MATCH(ROWS($I$2:I196),$I$2:$I$1001,0),0)))</f>
        <v>0</v>
      </c>
      <c r="B196" s="3">
        <f>IF(OR(INDEX($J$2:$J$1001,MATCH(ROWS($I$2:I196),$I$2:$I$1001,0),1)&gt;=100000,INDEX($P$1005:$S$1005,1,MATCH(COLUMNS($P$1006:P1006),$P$1006:$S$1006,0))&gt;=100000), " ",IF(INDEX($P$2:$S$1001,MATCH(ROWS($I$2:I196),$I$2:$I$1001,0),MATCH(COLUMNS($P$1006:P1006),$P$1006:$S$1006,0)), HYPERLINK("#",""), HYPERLINK(CONCATENATE("#metadata!", ADDRESS(INDEX($K$2:$K$1001,MATCH(ROWS($I$2:I196),$I$2:$I$1001,0),0), INDEX($P$1004:$S$1004,1,MATCH(COLUMNS($P$1006:P1006),$P$1006:$S$1006,0)))),"Fix")))</f>
        <v>0</v>
      </c>
      <c r="C196" s="3">
        <f>IF(OR(INDEX($J$2:$J$1001,MATCH(ROWS($I$2:I196),$I$2:$I$1001,0),1)&gt;=100000,INDEX($P$1005:$S$1005,1,MATCH(COLUMNS($P$1006:Q1006),$P$1006:$S$1006,0))&gt;=100000), " ",IF(INDEX($P$2:$S$1001,MATCH(ROWS($I$2:I196),$I$2:$I$1001,0),MATCH(COLUMNS($P$1006:Q1006),$P$1006:$S$1006,0)), HYPERLINK("#",""), HYPERLINK(CONCATENATE("#metadata!", ADDRESS(INDEX($K$2:$K$1001,MATCH(ROWS($I$2:I196),$I$2:$I$1001,0),0), INDEX($P$1004:$S$1004,1,MATCH(COLUMNS($P$1006:Q1006),$P$1006:$S$1006,0)))),"Fix")))</f>
        <v>0</v>
      </c>
      <c r="D196" s="3">
        <f>IF(OR(INDEX($J$2:$J$1001,MATCH(ROWS($I$2:I196),$I$2:$I$1001,0),1)&gt;=100000,INDEX($P$1005:$S$1005,1,MATCH(COLUMNS($P$1006:R1006),$P$1006:$S$1006,0))&gt;=100000), " ",IF(INDEX($P$2:$S$1001,MATCH(ROWS($I$2:I196),$I$2:$I$1001,0),MATCH(COLUMNS($P$1006:R1006),$P$1006:$S$1006,0)), HYPERLINK("#",""), HYPERLINK(CONCATENATE("#metadata!", ADDRESS(INDEX($K$2:$K$1001,MATCH(ROWS($I$2:I196),$I$2:$I$1001,0),0), INDEX($P$1004:$S$1004,1,MATCH(COLUMNS($P$1006:R1006),$P$1006:$S$1006,0)))),"Fix")))</f>
        <v>0</v>
      </c>
      <c r="E196" s="3">
        <f>IF(OR(INDEX($J$2:$J$1001,MATCH(ROWS($I$2:I196),$I$2:$I$1001,0),1)&gt;=100000,INDEX($P$1005:$S$1005,1,MATCH(COLUMNS($P$1006:S1006),$P$1006:$S$1006,0))&gt;=100000), " ",IF(INDEX($P$2:$S$1001,MATCH(ROWS($I$2:I196),$I$2:$I$1001,0),MATCH(COLUMNS($P$1006:S1006),$P$1006:$S$1006,0)), HYPERLINK("#",""), HYPERLINK(CONCATENATE("#metadata!", ADDRESS(INDEX($K$2:$K$1001,MATCH(ROWS($I$2:I196),$I$2:$I$1001,0),0), INDEX($P$1004:$S$1004,1,MATCH(COLUMNS($P$1006:S1006),$P$1006:$S$1006,0)))),"Fix")))</f>
        <v>0</v>
      </c>
      <c r="I196">
        <v>0</v>
      </c>
      <c r="J196">
        <v>0</v>
      </c>
      <c r="K196">
        <v>0</v>
      </c>
      <c r="L196">
        <f>IF(M196,TRUE,AND(P196:S196))</f>
        <v>0</v>
      </c>
      <c r="M196">
        <f>COUNTBLANK(metadata!B196:E196)=COLUMNS(metadata!B196:E196)</f>
        <v>0</v>
      </c>
      <c r="N196">
        <v>0</v>
      </c>
      <c r="P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Q196">
        <f>AND(IF(metadata!C196="",FALSE,TRUE),exact(metadata!C196,"other"))</f>
        <v>0</v>
      </c>
      <c r="R196">
        <f>AND(IF(metadata!D196="",FALSE,TRUE),exact(metadata!D196,"metagenome"))</f>
        <v>0</v>
      </c>
      <c r="S196">
        <f>AND(IF(metadata!E196="",FALSE,TRUE),exact(metadata!E196,"256318"))</f>
        <v>0</v>
      </c>
    </row>
    <row r="197" spans="1:19">
      <c r="A197" s="4">
        <f>IF(B197=" "," ",HYPERLINK(CONCATENATE("#metadata!",ADDRESS(INDEX($K$2:$K$1001,MATCH(ROWS($I$2:I197),$I$2:$I$1001,0),0),1)),INDEX($N$2:$N$1001,MATCH(ROWS($I$2:I197),$I$2:$I$1001,0),0)))</f>
        <v>0</v>
      </c>
      <c r="B197" s="3">
        <f>IF(OR(INDEX($J$2:$J$1001,MATCH(ROWS($I$2:I197),$I$2:$I$1001,0),1)&gt;=100000,INDEX($P$1005:$S$1005,1,MATCH(COLUMNS($P$1006:P1006),$P$1006:$S$1006,0))&gt;=100000), " ",IF(INDEX($P$2:$S$1001,MATCH(ROWS($I$2:I197),$I$2:$I$1001,0),MATCH(COLUMNS($P$1006:P1006),$P$1006:$S$1006,0)), HYPERLINK("#",""), HYPERLINK(CONCATENATE("#metadata!", ADDRESS(INDEX($K$2:$K$1001,MATCH(ROWS($I$2:I197),$I$2:$I$1001,0),0), INDEX($P$1004:$S$1004,1,MATCH(COLUMNS($P$1006:P1006),$P$1006:$S$1006,0)))),"Fix")))</f>
        <v>0</v>
      </c>
      <c r="C197" s="3">
        <f>IF(OR(INDEX($J$2:$J$1001,MATCH(ROWS($I$2:I197),$I$2:$I$1001,0),1)&gt;=100000,INDEX($P$1005:$S$1005,1,MATCH(COLUMNS($P$1006:Q1006),$P$1006:$S$1006,0))&gt;=100000), " ",IF(INDEX($P$2:$S$1001,MATCH(ROWS($I$2:I197),$I$2:$I$1001,0),MATCH(COLUMNS($P$1006:Q1006),$P$1006:$S$1006,0)), HYPERLINK("#",""), HYPERLINK(CONCATENATE("#metadata!", ADDRESS(INDEX($K$2:$K$1001,MATCH(ROWS($I$2:I197),$I$2:$I$1001,0),0), INDEX($P$1004:$S$1004,1,MATCH(COLUMNS($P$1006:Q1006),$P$1006:$S$1006,0)))),"Fix")))</f>
        <v>0</v>
      </c>
      <c r="D197" s="3">
        <f>IF(OR(INDEX($J$2:$J$1001,MATCH(ROWS($I$2:I197),$I$2:$I$1001,0),1)&gt;=100000,INDEX($P$1005:$S$1005,1,MATCH(COLUMNS($P$1006:R1006),$P$1006:$S$1006,0))&gt;=100000), " ",IF(INDEX($P$2:$S$1001,MATCH(ROWS($I$2:I197),$I$2:$I$1001,0),MATCH(COLUMNS($P$1006:R1006),$P$1006:$S$1006,0)), HYPERLINK("#",""), HYPERLINK(CONCATENATE("#metadata!", ADDRESS(INDEX($K$2:$K$1001,MATCH(ROWS($I$2:I197),$I$2:$I$1001,0),0), INDEX($P$1004:$S$1004,1,MATCH(COLUMNS($P$1006:R1006),$P$1006:$S$1006,0)))),"Fix")))</f>
        <v>0</v>
      </c>
      <c r="E197" s="3">
        <f>IF(OR(INDEX($J$2:$J$1001,MATCH(ROWS($I$2:I197),$I$2:$I$1001,0),1)&gt;=100000,INDEX($P$1005:$S$1005,1,MATCH(COLUMNS($P$1006:S1006),$P$1006:$S$1006,0))&gt;=100000), " ",IF(INDEX($P$2:$S$1001,MATCH(ROWS($I$2:I197),$I$2:$I$1001,0),MATCH(COLUMNS($P$1006:S1006),$P$1006:$S$1006,0)), HYPERLINK("#",""), HYPERLINK(CONCATENATE("#metadata!", ADDRESS(INDEX($K$2:$K$1001,MATCH(ROWS($I$2:I197),$I$2:$I$1001,0),0), INDEX($P$1004:$S$1004,1,MATCH(COLUMNS($P$1006:S1006),$P$1006:$S$1006,0)))),"Fix")))</f>
        <v>0</v>
      </c>
      <c r="I197">
        <v>0</v>
      </c>
      <c r="J197">
        <v>0</v>
      </c>
      <c r="K197">
        <v>0</v>
      </c>
      <c r="L197">
        <f>IF(M197,TRUE,AND(P197:S197))</f>
        <v>0</v>
      </c>
      <c r="M197">
        <f>COUNTBLANK(metadata!B197:E197)=COLUMNS(metadata!B197:E197)</f>
        <v>0</v>
      </c>
      <c r="N197">
        <v>0</v>
      </c>
      <c r="P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Q197">
        <f>AND(IF(metadata!C197="",FALSE,TRUE),exact(metadata!C197,"other"))</f>
        <v>0</v>
      </c>
      <c r="R197">
        <f>AND(IF(metadata!D197="",FALSE,TRUE),exact(metadata!D197,"metagenome"))</f>
        <v>0</v>
      </c>
      <c r="S197">
        <f>AND(IF(metadata!E197="",FALSE,TRUE),exact(metadata!E197,"256318"))</f>
        <v>0</v>
      </c>
    </row>
    <row r="198" spans="1:19">
      <c r="A198" s="4">
        <f>IF(B198=" "," ",HYPERLINK(CONCATENATE("#metadata!",ADDRESS(INDEX($K$2:$K$1001,MATCH(ROWS($I$2:I198),$I$2:$I$1001,0),0),1)),INDEX($N$2:$N$1001,MATCH(ROWS($I$2:I198),$I$2:$I$1001,0),0)))</f>
        <v>0</v>
      </c>
      <c r="B198" s="3">
        <f>IF(OR(INDEX($J$2:$J$1001,MATCH(ROWS($I$2:I198),$I$2:$I$1001,0),1)&gt;=100000,INDEX($P$1005:$S$1005,1,MATCH(COLUMNS($P$1006:P1006),$P$1006:$S$1006,0))&gt;=100000), " ",IF(INDEX($P$2:$S$1001,MATCH(ROWS($I$2:I198),$I$2:$I$1001,0),MATCH(COLUMNS($P$1006:P1006),$P$1006:$S$1006,0)), HYPERLINK("#",""), HYPERLINK(CONCATENATE("#metadata!", ADDRESS(INDEX($K$2:$K$1001,MATCH(ROWS($I$2:I198),$I$2:$I$1001,0),0), INDEX($P$1004:$S$1004,1,MATCH(COLUMNS($P$1006:P1006),$P$1006:$S$1006,0)))),"Fix")))</f>
        <v>0</v>
      </c>
      <c r="C198" s="3">
        <f>IF(OR(INDEX($J$2:$J$1001,MATCH(ROWS($I$2:I198),$I$2:$I$1001,0),1)&gt;=100000,INDEX($P$1005:$S$1005,1,MATCH(COLUMNS($P$1006:Q1006),$P$1006:$S$1006,0))&gt;=100000), " ",IF(INDEX($P$2:$S$1001,MATCH(ROWS($I$2:I198),$I$2:$I$1001,0),MATCH(COLUMNS($P$1006:Q1006),$P$1006:$S$1006,0)), HYPERLINK("#",""), HYPERLINK(CONCATENATE("#metadata!", ADDRESS(INDEX($K$2:$K$1001,MATCH(ROWS($I$2:I198),$I$2:$I$1001,0),0), INDEX($P$1004:$S$1004,1,MATCH(COLUMNS($P$1006:Q1006),$P$1006:$S$1006,0)))),"Fix")))</f>
        <v>0</v>
      </c>
      <c r="D198" s="3">
        <f>IF(OR(INDEX($J$2:$J$1001,MATCH(ROWS($I$2:I198),$I$2:$I$1001,0),1)&gt;=100000,INDEX($P$1005:$S$1005,1,MATCH(COLUMNS($P$1006:R1006),$P$1006:$S$1006,0))&gt;=100000), " ",IF(INDEX($P$2:$S$1001,MATCH(ROWS($I$2:I198),$I$2:$I$1001,0),MATCH(COLUMNS($P$1006:R1006),$P$1006:$S$1006,0)), HYPERLINK("#",""), HYPERLINK(CONCATENATE("#metadata!", ADDRESS(INDEX($K$2:$K$1001,MATCH(ROWS($I$2:I198),$I$2:$I$1001,0),0), INDEX($P$1004:$S$1004,1,MATCH(COLUMNS($P$1006:R1006),$P$1006:$S$1006,0)))),"Fix")))</f>
        <v>0</v>
      </c>
      <c r="E198" s="3">
        <f>IF(OR(INDEX($J$2:$J$1001,MATCH(ROWS($I$2:I198),$I$2:$I$1001,0),1)&gt;=100000,INDEX($P$1005:$S$1005,1,MATCH(COLUMNS($P$1006:S1006),$P$1006:$S$1006,0))&gt;=100000), " ",IF(INDEX($P$2:$S$1001,MATCH(ROWS($I$2:I198),$I$2:$I$1001,0),MATCH(COLUMNS($P$1006:S1006),$P$1006:$S$1006,0)), HYPERLINK("#",""), HYPERLINK(CONCATENATE("#metadata!", ADDRESS(INDEX($K$2:$K$1001,MATCH(ROWS($I$2:I198),$I$2:$I$1001,0),0), INDEX($P$1004:$S$1004,1,MATCH(COLUMNS($P$1006:S1006),$P$1006:$S$1006,0)))),"Fix")))</f>
        <v>0</v>
      </c>
      <c r="I198">
        <v>0</v>
      </c>
      <c r="J198">
        <v>0</v>
      </c>
      <c r="K198">
        <v>0</v>
      </c>
      <c r="L198">
        <f>IF(M198,TRUE,AND(P198:S198))</f>
        <v>0</v>
      </c>
      <c r="M198">
        <f>COUNTBLANK(metadata!B198:E198)=COLUMNS(metadata!B198:E198)</f>
        <v>0</v>
      </c>
      <c r="N198">
        <v>0</v>
      </c>
      <c r="P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Q198">
        <f>AND(IF(metadata!C198="",FALSE,TRUE),exact(metadata!C198,"other"))</f>
        <v>0</v>
      </c>
      <c r="R198">
        <f>AND(IF(metadata!D198="",FALSE,TRUE),exact(metadata!D198,"metagenome"))</f>
        <v>0</v>
      </c>
      <c r="S198">
        <f>AND(IF(metadata!E198="",FALSE,TRUE),exact(metadata!E198,"256318"))</f>
        <v>0</v>
      </c>
    </row>
    <row r="199" spans="1:19">
      <c r="A199" s="4">
        <f>IF(B199=" "," ",HYPERLINK(CONCATENATE("#metadata!",ADDRESS(INDEX($K$2:$K$1001,MATCH(ROWS($I$2:I199),$I$2:$I$1001,0),0),1)),INDEX($N$2:$N$1001,MATCH(ROWS($I$2:I199),$I$2:$I$1001,0),0)))</f>
        <v>0</v>
      </c>
      <c r="B199" s="3">
        <f>IF(OR(INDEX($J$2:$J$1001,MATCH(ROWS($I$2:I199),$I$2:$I$1001,0),1)&gt;=100000,INDEX($P$1005:$S$1005,1,MATCH(COLUMNS($P$1006:P1006),$P$1006:$S$1006,0))&gt;=100000), " ",IF(INDEX($P$2:$S$1001,MATCH(ROWS($I$2:I199),$I$2:$I$1001,0),MATCH(COLUMNS($P$1006:P1006),$P$1006:$S$1006,0)), HYPERLINK("#",""), HYPERLINK(CONCATENATE("#metadata!", ADDRESS(INDEX($K$2:$K$1001,MATCH(ROWS($I$2:I199),$I$2:$I$1001,0),0), INDEX($P$1004:$S$1004,1,MATCH(COLUMNS($P$1006:P1006),$P$1006:$S$1006,0)))),"Fix")))</f>
        <v>0</v>
      </c>
      <c r="C199" s="3">
        <f>IF(OR(INDEX($J$2:$J$1001,MATCH(ROWS($I$2:I199),$I$2:$I$1001,0),1)&gt;=100000,INDEX($P$1005:$S$1005,1,MATCH(COLUMNS($P$1006:Q1006),$P$1006:$S$1006,0))&gt;=100000), " ",IF(INDEX($P$2:$S$1001,MATCH(ROWS($I$2:I199),$I$2:$I$1001,0),MATCH(COLUMNS($P$1006:Q1006),$P$1006:$S$1006,0)), HYPERLINK("#",""), HYPERLINK(CONCATENATE("#metadata!", ADDRESS(INDEX($K$2:$K$1001,MATCH(ROWS($I$2:I199),$I$2:$I$1001,0),0), INDEX($P$1004:$S$1004,1,MATCH(COLUMNS($P$1006:Q1006),$P$1006:$S$1006,0)))),"Fix")))</f>
        <v>0</v>
      </c>
      <c r="D199" s="3">
        <f>IF(OR(INDEX($J$2:$J$1001,MATCH(ROWS($I$2:I199),$I$2:$I$1001,0),1)&gt;=100000,INDEX($P$1005:$S$1005,1,MATCH(COLUMNS($P$1006:R1006),$P$1006:$S$1006,0))&gt;=100000), " ",IF(INDEX($P$2:$S$1001,MATCH(ROWS($I$2:I199),$I$2:$I$1001,0),MATCH(COLUMNS($P$1006:R1006),$P$1006:$S$1006,0)), HYPERLINK("#",""), HYPERLINK(CONCATENATE("#metadata!", ADDRESS(INDEX($K$2:$K$1001,MATCH(ROWS($I$2:I199),$I$2:$I$1001,0),0), INDEX($P$1004:$S$1004,1,MATCH(COLUMNS($P$1006:R1006),$P$1006:$S$1006,0)))),"Fix")))</f>
        <v>0</v>
      </c>
      <c r="E199" s="3">
        <f>IF(OR(INDEX($J$2:$J$1001,MATCH(ROWS($I$2:I199),$I$2:$I$1001,0),1)&gt;=100000,INDEX($P$1005:$S$1005,1,MATCH(COLUMNS($P$1006:S1006),$P$1006:$S$1006,0))&gt;=100000), " ",IF(INDEX($P$2:$S$1001,MATCH(ROWS($I$2:I199),$I$2:$I$1001,0),MATCH(COLUMNS($P$1006:S1006),$P$1006:$S$1006,0)), HYPERLINK("#",""), HYPERLINK(CONCATENATE("#metadata!", ADDRESS(INDEX($K$2:$K$1001,MATCH(ROWS($I$2:I199),$I$2:$I$1001,0),0), INDEX($P$1004:$S$1004,1,MATCH(COLUMNS($P$1006:S1006),$P$1006:$S$1006,0)))),"Fix")))</f>
        <v>0</v>
      </c>
      <c r="I199">
        <v>0</v>
      </c>
      <c r="J199">
        <v>0</v>
      </c>
      <c r="K199">
        <v>0</v>
      </c>
      <c r="L199">
        <f>IF(M199,TRUE,AND(P199:S199))</f>
        <v>0</v>
      </c>
      <c r="M199">
        <f>COUNTBLANK(metadata!B199:E199)=COLUMNS(metadata!B199:E199)</f>
        <v>0</v>
      </c>
      <c r="N199">
        <v>0</v>
      </c>
      <c r="P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Q199">
        <f>AND(IF(metadata!C199="",FALSE,TRUE),exact(metadata!C199,"other"))</f>
        <v>0</v>
      </c>
      <c r="R199">
        <f>AND(IF(metadata!D199="",FALSE,TRUE),exact(metadata!D199,"metagenome"))</f>
        <v>0</v>
      </c>
      <c r="S199">
        <f>AND(IF(metadata!E199="",FALSE,TRUE),exact(metadata!E199,"256318"))</f>
        <v>0</v>
      </c>
    </row>
    <row r="200" spans="1:19">
      <c r="A200" s="4">
        <f>IF(B200=" "," ",HYPERLINK(CONCATENATE("#metadata!",ADDRESS(INDEX($K$2:$K$1001,MATCH(ROWS($I$2:I200),$I$2:$I$1001,0),0),1)),INDEX($N$2:$N$1001,MATCH(ROWS($I$2:I200),$I$2:$I$1001,0),0)))</f>
        <v>0</v>
      </c>
      <c r="B200" s="3">
        <f>IF(OR(INDEX($J$2:$J$1001,MATCH(ROWS($I$2:I200),$I$2:$I$1001,0),1)&gt;=100000,INDEX($P$1005:$S$1005,1,MATCH(COLUMNS($P$1006:P1006),$P$1006:$S$1006,0))&gt;=100000), " ",IF(INDEX($P$2:$S$1001,MATCH(ROWS($I$2:I200),$I$2:$I$1001,0),MATCH(COLUMNS($P$1006:P1006),$P$1006:$S$1006,0)), HYPERLINK("#",""), HYPERLINK(CONCATENATE("#metadata!", ADDRESS(INDEX($K$2:$K$1001,MATCH(ROWS($I$2:I200),$I$2:$I$1001,0),0), INDEX($P$1004:$S$1004,1,MATCH(COLUMNS($P$1006:P1006),$P$1006:$S$1006,0)))),"Fix")))</f>
        <v>0</v>
      </c>
      <c r="C200" s="3">
        <f>IF(OR(INDEX($J$2:$J$1001,MATCH(ROWS($I$2:I200),$I$2:$I$1001,0),1)&gt;=100000,INDEX($P$1005:$S$1005,1,MATCH(COLUMNS($P$1006:Q1006),$P$1006:$S$1006,0))&gt;=100000), " ",IF(INDEX($P$2:$S$1001,MATCH(ROWS($I$2:I200),$I$2:$I$1001,0),MATCH(COLUMNS($P$1006:Q1006),$P$1006:$S$1006,0)), HYPERLINK("#",""), HYPERLINK(CONCATENATE("#metadata!", ADDRESS(INDEX($K$2:$K$1001,MATCH(ROWS($I$2:I200),$I$2:$I$1001,0),0), INDEX($P$1004:$S$1004,1,MATCH(COLUMNS($P$1006:Q1006),$P$1006:$S$1006,0)))),"Fix")))</f>
        <v>0</v>
      </c>
      <c r="D200" s="3">
        <f>IF(OR(INDEX($J$2:$J$1001,MATCH(ROWS($I$2:I200),$I$2:$I$1001,0),1)&gt;=100000,INDEX($P$1005:$S$1005,1,MATCH(COLUMNS($P$1006:R1006),$P$1006:$S$1006,0))&gt;=100000), " ",IF(INDEX($P$2:$S$1001,MATCH(ROWS($I$2:I200),$I$2:$I$1001,0),MATCH(COLUMNS($P$1006:R1006),$P$1006:$S$1006,0)), HYPERLINK("#",""), HYPERLINK(CONCATENATE("#metadata!", ADDRESS(INDEX($K$2:$K$1001,MATCH(ROWS($I$2:I200),$I$2:$I$1001,0),0), INDEX($P$1004:$S$1004,1,MATCH(COLUMNS($P$1006:R1006),$P$1006:$S$1006,0)))),"Fix")))</f>
        <v>0</v>
      </c>
      <c r="E200" s="3">
        <f>IF(OR(INDEX($J$2:$J$1001,MATCH(ROWS($I$2:I200),$I$2:$I$1001,0),1)&gt;=100000,INDEX($P$1005:$S$1005,1,MATCH(COLUMNS($P$1006:S1006),$P$1006:$S$1006,0))&gt;=100000), " ",IF(INDEX($P$2:$S$1001,MATCH(ROWS($I$2:I200),$I$2:$I$1001,0),MATCH(COLUMNS($P$1006:S1006),$P$1006:$S$1006,0)), HYPERLINK("#",""), HYPERLINK(CONCATENATE("#metadata!", ADDRESS(INDEX($K$2:$K$1001,MATCH(ROWS($I$2:I200),$I$2:$I$1001,0),0), INDEX($P$1004:$S$1004,1,MATCH(COLUMNS($P$1006:S1006),$P$1006:$S$1006,0)))),"Fix")))</f>
        <v>0</v>
      </c>
      <c r="I200">
        <v>0</v>
      </c>
      <c r="J200">
        <v>0</v>
      </c>
      <c r="K200">
        <v>0</v>
      </c>
      <c r="L200">
        <f>IF(M200,TRUE,AND(P200:S200))</f>
        <v>0</v>
      </c>
      <c r="M200">
        <f>COUNTBLANK(metadata!B200:E200)=COLUMNS(metadata!B200:E200)</f>
        <v>0</v>
      </c>
      <c r="N200">
        <v>0</v>
      </c>
      <c r="P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Q200">
        <f>AND(IF(metadata!C200="",FALSE,TRUE),exact(metadata!C200,"other"))</f>
        <v>0</v>
      </c>
      <c r="R200">
        <f>AND(IF(metadata!D200="",FALSE,TRUE),exact(metadata!D200,"metagenome"))</f>
        <v>0</v>
      </c>
      <c r="S200">
        <f>AND(IF(metadata!E200="",FALSE,TRUE),exact(metadata!E200,"256318"))</f>
        <v>0</v>
      </c>
    </row>
    <row r="201" spans="1:19">
      <c r="A201" s="4">
        <f>IF(B201=" "," ",HYPERLINK(CONCATENATE("#metadata!",ADDRESS(INDEX($K$2:$K$1001,MATCH(ROWS($I$2:I201),$I$2:$I$1001,0),0),1)),INDEX($N$2:$N$1001,MATCH(ROWS($I$2:I201),$I$2:$I$1001,0),0)))</f>
        <v>0</v>
      </c>
      <c r="B201" s="3">
        <f>IF(OR(INDEX($J$2:$J$1001,MATCH(ROWS($I$2:I201),$I$2:$I$1001,0),1)&gt;=100000,INDEX($P$1005:$S$1005,1,MATCH(COLUMNS($P$1006:P1006),$P$1006:$S$1006,0))&gt;=100000), " ",IF(INDEX($P$2:$S$1001,MATCH(ROWS($I$2:I201),$I$2:$I$1001,0),MATCH(COLUMNS($P$1006:P1006),$P$1006:$S$1006,0)), HYPERLINK("#",""), HYPERLINK(CONCATENATE("#metadata!", ADDRESS(INDEX($K$2:$K$1001,MATCH(ROWS($I$2:I201),$I$2:$I$1001,0),0), INDEX($P$1004:$S$1004,1,MATCH(COLUMNS($P$1006:P1006),$P$1006:$S$1006,0)))),"Fix")))</f>
        <v>0</v>
      </c>
      <c r="C201" s="3">
        <f>IF(OR(INDEX($J$2:$J$1001,MATCH(ROWS($I$2:I201),$I$2:$I$1001,0),1)&gt;=100000,INDEX($P$1005:$S$1005,1,MATCH(COLUMNS($P$1006:Q1006),$P$1006:$S$1006,0))&gt;=100000), " ",IF(INDEX($P$2:$S$1001,MATCH(ROWS($I$2:I201),$I$2:$I$1001,0),MATCH(COLUMNS($P$1006:Q1006),$P$1006:$S$1006,0)), HYPERLINK("#",""), HYPERLINK(CONCATENATE("#metadata!", ADDRESS(INDEX($K$2:$K$1001,MATCH(ROWS($I$2:I201),$I$2:$I$1001,0),0), INDEX($P$1004:$S$1004,1,MATCH(COLUMNS($P$1006:Q1006),$P$1006:$S$1006,0)))),"Fix")))</f>
        <v>0</v>
      </c>
      <c r="D201" s="3">
        <f>IF(OR(INDEX($J$2:$J$1001,MATCH(ROWS($I$2:I201),$I$2:$I$1001,0),1)&gt;=100000,INDEX($P$1005:$S$1005,1,MATCH(COLUMNS($P$1006:R1006),$P$1006:$S$1006,0))&gt;=100000), " ",IF(INDEX($P$2:$S$1001,MATCH(ROWS($I$2:I201),$I$2:$I$1001,0),MATCH(COLUMNS($P$1006:R1006),$P$1006:$S$1006,0)), HYPERLINK("#",""), HYPERLINK(CONCATENATE("#metadata!", ADDRESS(INDEX($K$2:$K$1001,MATCH(ROWS($I$2:I201),$I$2:$I$1001,0),0), INDEX($P$1004:$S$1004,1,MATCH(COLUMNS($P$1006:R1006),$P$1006:$S$1006,0)))),"Fix")))</f>
        <v>0</v>
      </c>
      <c r="E201" s="3">
        <f>IF(OR(INDEX($J$2:$J$1001,MATCH(ROWS($I$2:I201),$I$2:$I$1001,0),1)&gt;=100000,INDEX($P$1005:$S$1005,1,MATCH(COLUMNS($P$1006:S1006),$P$1006:$S$1006,0))&gt;=100000), " ",IF(INDEX($P$2:$S$1001,MATCH(ROWS($I$2:I201),$I$2:$I$1001,0),MATCH(COLUMNS($P$1006:S1006),$P$1006:$S$1006,0)), HYPERLINK("#",""), HYPERLINK(CONCATENATE("#metadata!", ADDRESS(INDEX($K$2:$K$1001,MATCH(ROWS($I$2:I201),$I$2:$I$1001,0),0), INDEX($P$1004:$S$1004,1,MATCH(COLUMNS($P$1006:S1006),$P$1006:$S$1006,0)))),"Fix")))</f>
        <v>0</v>
      </c>
      <c r="I201">
        <v>0</v>
      </c>
      <c r="J201">
        <v>0</v>
      </c>
      <c r="K201">
        <v>0</v>
      </c>
      <c r="L201">
        <f>IF(M201,TRUE,AND(P201:S201))</f>
        <v>0</v>
      </c>
      <c r="M201">
        <f>COUNTBLANK(metadata!B201:E201)=COLUMNS(metadata!B201:E201)</f>
        <v>0</v>
      </c>
      <c r="N201">
        <v>0</v>
      </c>
      <c r="P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Q201">
        <f>AND(IF(metadata!C201="",FALSE,TRUE),exact(metadata!C201,"other"))</f>
        <v>0</v>
      </c>
      <c r="R201">
        <f>AND(IF(metadata!D201="",FALSE,TRUE),exact(metadata!D201,"metagenome"))</f>
        <v>0</v>
      </c>
      <c r="S201">
        <f>AND(IF(metadata!E201="",FALSE,TRUE),exact(metadata!E201,"256318"))</f>
        <v>0</v>
      </c>
    </row>
    <row r="202" spans="1:19">
      <c r="A202" s="4">
        <f>IF(B202=" "," ",HYPERLINK(CONCATENATE("#metadata!",ADDRESS(INDEX($K$2:$K$1001,MATCH(ROWS($I$2:I202),$I$2:$I$1001,0),0),1)),INDEX($N$2:$N$1001,MATCH(ROWS($I$2:I202),$I$2:$I$1001,0),0)))</f>
        <v>0</v>
      </c>
      <c r="B202" s="3">
        <f>IF(OR(INDEX($J$2:$J$1001,MATCH(ROWS($I$2:I202),$I$2:$I$1001,0),1)&gt;=100000,INDEX($P$1005:$S$1005,1,MATCH(COLUMNS($P$1006:P1006),$P$1006:$S$1006,0))&gt;=100000), " ",IF(INDEX($P$2:$S$1001,MATCH(ROWS($I$2:I202),$I$2:$I$1001,0),MATCH(COLUMNS($P$1006:P1006),$P$1006:$S$1006,0)), HYPERLINK("#",""), HYPERLINK(CONCATENATE("#metadata!", ADDRESS(INDEX($K$2:$K$1001,MATCH(ROWS($I$2:I202),$I$2:$I$1001,0),0), INDEX($P$1004:$S$1004,1,MATCH(COLUMNS($P$1006:P1006),$P$1006:$S$1006,0)))),"Fix")))</f>
        <v>0</v>
      </c>
      <c r="C202" s="3">
        <f>IF(OR(INDEX($J$2:$J$1001,MATCH(ROWS($I$2:I202),$I$2:$I$1001,0),1)&gt;=100000,INDEX($P$1005:$S$1005,1,MATCH(COLUMNS($P$1006:Q1006),$P$1006:$S$1006,0))&gt;=100000), " ",IF(INDEX($P$2:$S$1001,MATCH(ROWS($I$2:I202),$I$2:$I$1001,0),MATCH(COLUMNS($P$1006:Q1006),$P$1006:$S$1006,0)), HYPERLINK("#",""), HYPERLINK(CONCATENATE("#metadata!", ADDRESS(INDEX($K$2:$K$1001,MATCH(ROWS($I$2:I202),$I$2:$I$1001,0),0), INDEX($P$1004:$S$1004,1,MATCH(COLUMNS($P$1006:Q1006),$P$1006:$S$1006,0)))),"Fix")))</f>
        <v>0</v>
      </c>
      <c r="D202" s="3">
        <f>IF(OR(INDEX($J$2:$J$1001,MATCH(ROWS($I$2:I202),$I$2:$I$1001,0),1)&gt;=100000,INDEX($P$1005:$S$1005,1,MATCH(COLUMNS($P$1006:R1006),$P$1006:$S$1006,0))&gt;=100000), " ",IF(INDEX($P$2:$S$1001,MATCH(ROWS($I$2:I202),$I$2:$I$1001,0),MATCH(COLUMNS($P$1006:R1006),$P$1006:$S$1006,0)), HYPERLINK("#",""), HYPERLINK(CONCATENATE("#metadata!", ADDRESS(INDEX($K$2:$K$1001,MATCH(ROWS($I$2:I202),$I$2:$I$1001,0),0), INDEX($P$1004:$S$1004,1,MATCH(COLUMNS($P$1006:R1006),$P$1006:$S$1006,0)))),"Fix")))</f>
        <v>0</v>
      </c>
      <c r="E202" s="3">
        <f>IF(OR(INDEX($J$2:$J$1001,MATCH(ROWS($I$2:I202),$I$2:$I$1001,0),1)&gt;=100000,INDEX($P$1005:$S$1005,1,MATCH(COLUMNS($P$1006:S1006),$P$1006:$S$1006,0))&gt;=100000), " ",IF(INDEX($P$2:$S$1001,MATCH(ROWS($I$2:I202),$I$2:$I$1001,0),MATCH(COLUMNS($P$1006:S1006),$P$1006:$S$1006,0)), HYPERLINK("#",""), HYPERLINK(CONCATENATE("#metadata!", ADDRESS(INDEX($K$2:$K$1001,MATCH(ROWS($I$2:I202),$I$2:$I$1001,0),0), INDEX($P$1004:$S$1004,1,MATCH(COLUMNS($P$1006:S1006),$P$1006:$S$1006,0)))),"Fix")))</f>
        <v>0</v>
      </c>
      <c r="I202">
        <v>0</v>
      </c>
      <c r="J202">
        <v>0</v>
      </c>
      <c r="K202">
        <v>0</v>
      </c>
      <c r="L202">
        <f>IF(M202,TRUE,AND(P202:S202))</f>
        <v>0</v>
      </c>
      <c r="M202">
        <f>COUNTBLANK(metadata!B202:E202)=COLUMNS(metadata!B202:E202)</f>
        <v>0</v>
      </c>
      <c r="N202">
        <v>0</v>
      </c>
      <c r="P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Q202">
        <f>AND(IF(metadata!C202="",FALSE,TRUE),exact(metadata!C202,"other"))</f>
        <v>0</v>
      </c>
      <c r="R202">
        <f>AND(IF(metadata!D202="",FALSE,TRUE),exact(metadata!D202,"metagenome"))</f>
        <v>0</v>
      </c>
      <c r="S202">
        <f>AND(IF(metadata!E202="",FALSE,TRUE),exact(metadata!E202,"256318"))</f>
        <v>0</v>
      </c>
    </row>
    <row r="203" spans="1:19">
      <c r="A203" s="4">
        <f>IF(B203=" "," ",HYPERLINK(CONCATENATE("#metadata!",ADDRESS(INDEX($K$2:$K$1001,MATCH(ROWS($I$2:I203),$I$2:$I$1001,0),0),1)),INDEX($N$2:$N$1001,MATCH(ROWS($I$2:I203),$I$2:$I$1001,0),0)))</f>
        <v>0</v>
      </c>
      <c r="B203" s="3">
        <f>IF(OR(INDEX($J$2:$J$1001,MATCH(ROWS($I$2:I203),$I$2:$I$1001,0),1)&gt;=100000,INDEX($P$1005:$S$1005,1,MATCH(COLUMNS($P$1006:P1006),$P$1006:$S$1006,0))&gt;=100000), " ",IF(INDEX($P$2:$S$1001,MATCH(ROWS($I$2:I203),$I$2:$I$1001,0),MATCH(COLUMNS($P$1006:P1006),$P$1006:$S$1006,0)), HYPERLINK("#",""), HYPERLINK(CONCATENATE("#metadata!", ADDRESS(INDEX($K$2:$K$1001,MATCH(ROWS($I$2:I203),$I$2:$I$1001,0),0), INDEX($P$1004:$S$1004,1,MATCH(COLUMNS($P$1006:P1006),$P$1006:$S$1006,0)))),"Fix")))</f>
        <v>0</v>
      </c>
      <c r="C203" s="3">
        <f>IF(OR(INDEX($J$2:$J$1001,MATCH(ROWS($I$2:I203),$I$2:$I$1001,0),1)&gt;=100000,INDEX($P$1005:$S$1005,1,MATCH(COLUMNS($P$1006:Q1006),$P$1006:$S$1006,0))&gt;=100000), " ",IF(INDEX($P$2:$S$1001,MATCH(ROWS($I$2:I203),$I$2:$I$1001,0),MATCH(COLUMNS($P$1006:Q1006),$P$1006:$S$1006,0)), HYPERLINK("#",""), HYPERLINK(CONCATENATE("#metadata!", ADDRESS(INDEX($K$2:$K$1001,MATCH(ROWS($I$2:I203),$I$2:$I$1001,0),0), INDEX($P$1004:$S$1004,1,MATCH(COLUMNS($P$1006:Q1006),$P$1006:$S$1006,0)))),"Fix")))</f>
        <v>0</v>
      </c>
      <c r="D203" s="3">
        <f>IF(OR(INDEX($J$2:$J$1001,MATCH(ROWS($I$2:I203),$I$2:$I$1001,0),1)&gt;=100000,INDEX($P$1005:$S$1005,1,MATCH(COLUMNS($P$1006:R1006),$P$1006:$S$1006,0))&gt;=100000), " ",IF(INDEX($P$2:$S$1001,MATCH(ROWS($I$2:I203),$I$2:$I$1001,0),MATCH(COLUMNS($P$1006:R1006),$P$1006:$S$1006,0)), HYPERLINK("#",""), HYPERLINK(CONCATENATE("#metadata!", ADDRESS(INDEX($K$2:$K$1001,MATCH(ROWS($I$2:I203),$I$2:$I$1001,0),0), INDEX($P$1004:$S$1004,1,MATCH(COLUMNS($P$1006:R1006),$P$1006:$S$1006,0)))),"Fix")))</f>
        <v>0</v>
      </c>
      <c r="E203" s="3">
        <f>IF(OR(INDEX($J$2:$J$1001,MATCH(ROWS($I$2:I203),$I$2:$I$1001,0),1)&gt;=100000,INDEX($P$1005:$S$1005,1,MATCH(COLUMNS($P$1006:S1006),$P$1006:$S$1006,0))&gt;=100000), " ",IF(INDEX($P$2:$S$1001,MATCH(ROWS($I$2:I203),$I$2:$I$1001,0),MATCH(COLUMNS($P$1006:S1006),$P$1006:$S$1006,0)), HYPERLINK("#",""), HYPERLINK(CONCATENATE("#metadata!", ADDRESS(INDEX($K$2:$K$1001,MATCH(ROWS($I$2:I203),$I$2:$I$1001,0),0), INDEX($P$1004:$S$1004,1,MATCH(COLUMNS($P$1006:S1006),$P$1006:$S$1006,0)))),"Fix")))</f>
        <v>0</v>
      </c>
      <c r="I203">
        <v>0</v>
      </c>
      <c r="J203">
        <v>0</v>
      </c>
      <c r="K203">
        <v>0</v>
      </c>
      <c r="L203">
        <f>IF(M203,TRUE,AND(P203:S203))</f>
        <v>0</v>
      </c>
      <c r="M203">
        <f>COUNTBLANK(metadata!B203:E203)=COLUMNS(metadata!B203:E203)</f>
        <v>0</v>
      </c>
      <c r="N203">
        <v>0</v>
      </c>
      <c r="P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Q203">
        <f>AND(IF(metadata!C203="",FALSE,TRUE),exact(metadata!C203,"other"))</f>
        <v>0</v>
      </c>
      <c r="R203">
        <f>AND(IF(metadata!D203="",FALSE,TRUE),exact(metadata!D203,"metagenome"))</f>
        <v>0</v>
      </c>
      <c r="S203">
        <f>AND(IF(metadata!E203="",FALSE,TRUE),exact(metadata!E203,"256318"))</f>
        <v>0</v>
      </c>
    </row>
    <row r="204" spans="1:19">
      <c r="A204" s="4">
        <f>IF(B204=" "," ",HYPERLINK(CONCATENATE("#metadata!",ADDRESS(INDEX($K$2:$K$1001,MATCH(ROWS($I$2:I204),$I$2:$I$1001,0),0),1)),INDEX($N$2:$N$1001,MATCH(ROWS($I$2:I204),$I$2:$I$1001,0),0)))</f>
        <v>0</v>
      </c>
      <c r="B204" s="3">
        <f>IF(OR(INDEX($J$2:$J$1001,MATCH(ROWS($I$2:I204),$I$2:$I$1001,0),1)&gt;=100000,INDEX($P$1005:$S$1005,1,MATCH(COLUMNS($P$1006:P1006),$P$1006:$S$1006,0))&gt;=100000), " ",IF(INDEX($P$2:$S$1001,MATCH(ROWS($I$2:I204),$I$2:$I$1001,0),MATCH(COLUMNS($P$1006:P1006),$P$1006:$S$1006,0)), HYPERLINK("#",""), HYPERLINK(CONCATENATE("#metadata!", ADDRESS(INDEX($K$2:$K$1001,MATCH(ROWS($I$2:I204),$I$2:$I$1001,0),0), INDEX($P$1004:$S$1004,1,MATCH(COLUMNS($P$1006:P1006),$P$1006:$S$1006,0)))),"Fix")))</f>
        <v>0</v>
      </c>
      <c r="C204" s="3">
        <f>IF(OR(INDEX($J$2:$J$1001,MATCH(ROWS($I$2:I204),$I$2:$I$1001,0),1)&gt;=100000,INDEX($P$1005:$S$1005,1,MATCH(COLUMNS($P$1006:Q1006),$P$1006:$S$1006,0))&gt;=100000), " ",IF(INDEX($P$2:$S$1001,MATCH(ROWS($I$2:I204),$I$2:$I$1001,0),MATCH(COLUMNS($P$1006:Q1006),$P$1006:$S$1006,0)), HYPERLINK("#",""), HYPERLINK(CONCATENATE("#metadata!", ADDRESS(INDEX($K$2:$K$1001,MATCH(ROWS($I$2:I204),$I$2:$I$1001,0),0), INDEX($P$1004:$S$1004,1,MATCH(COLUMNS($P$1006:Q1006),$P$1006:$S$1006,0)))),"Fix")))</f>
        <v>0</v>
      </c>
      <c r="D204" s="3">
        <f>IF(OR(INDEX($J$2:$J$1001,MATCH(ROWS($I$2:I204),$I$2:$I$1001,0),1)&gt;=100000,INDEX($P$1005:$S$1005,1,MATCH(COLUMNS($P$1006:R1006),$P$1006:$S$1006,0))&gt;=100000), " ",IF(INDEX($P$2:$S$1001,MATCH(ROWS($I$2:I204),$I$2:$I$1001,0),MATCH(COLUMNS($P$1006:R1006),$P$1006:$S$1006,0)), HYPERLINK("#",""), HYPERLINK(CONCATENATE("#metadata!", ADDRESS(INDEX($K$2:$K$1001,MATCH(ROWS($I$2:I204),$I$2:$I$1001,0),0), INDEX($P$1004:$S$1004,1,MATCH(COLUMNS($P$1006:R1006),$P$1006:$S$1006,0)))),"Fix")))</f>
        <v>0</v>
      </c>
      <c r="E204" s="3">
        <f>IF(OR(INDEX($J$2:$J$1001,MATCH(ROWS($I$2:I204),$I$2:$I$1001,0),1)&gt;=100000,INDEX($P$1005:$S$1005,1,MATCH(COLUMNS($P$1006:S1006),$P$1006:$S$1006,0))&gt;=100000), " ",IF(INDEX($P$2:$S$1001,MATCH(ROWS($I$2:I204),$I$2:$I$1001,0),MATCH(COLUMNS($P$1006:S1006),$P$1006:$S$1006,0)), HYPERLINK("#",""), HYPERLINK(CONCATENATE("#metadata!", ADDRESS(INDEX($K$2:$K$1001,MATCH(ROWS($I$2:I204),$I$2:$I$1001,0),0), INDEX($P$1004:$S$1004,1,MATCH(COLUMNS($P$1006:S1006),$P$1006:$S$1006,0)))),"Fix")))</f>
        <v>0</v>
      </c>
      <c r="I204">
        <v>0</v>
      </c>
      <c r="J204">
        <v>0</v>
      </c>
      <c r="K204">
        <v>0</v>
      </c>
      <c r="L204">
        <f>IF(M204,TRUE,AND(P204:S204))</f>
        <v>0</v>
      </c>
      <c r="M204">
        <f>COUNTBLANK(metadata!B204:E204)=COLUMNS(metadata!B204:E204)</f>
        <v>0</v>
      </c>
      <c r="N204">
        <v>0</v>
      </c>
      <c r="P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Q204">
        <f>AND(IF(metadata!C204="",FALSE,TRUE),exact(metadata!C204,"other"))</f>
        <v>0</v>
      </c>
      <c r="R204">
        <f>AND(IF(metadata!D204="",FALSE,TRUE),exact(metadata!D204,"metagenome"))</f>
        <v>0</v>
      </c>
      <c r="S204">
        <f>AND(IF(metadata!E204="",FALSE,TRUE),exact(metadata!E204,"256318"))</f>
        <v>0</v>
      </c>
    </row>
    <row r="205" spans="1:19">
      <c r="A205" s="4">
        <f>IF(B205=" "," ",HYPERLINK(CONCATENATE("#metadata!",ADDRESS(INDEX($K$2:$K$1001,MATCH(ROWS($I$2:I205),$I$2:$I$1001,0),0),1)),INDEX($N$2:$N$1001,MATCH(ROWS($I$2:I205),$I$2:$I$1001,0),0)))</f>
        <v>0</v>
      </c>
      <c r="B205" s="3">
        <f>IF(OR(INDEX($J$2:$J$1001,MATCH(ROWS($I$2:I205),$I$2:$I$1001,0),1)&gt;=100000,INDEX($P$1005:$S$1005,1,MATCH(COLUMNS($P$1006:P1006),$P$1006:$S$1006,0))&gt;=100000), " ",IF(INDEX($P$2:$S$1001,MATCH(ROWS($I$2:I205),$I$2:$I$1001,0),MATCH(COLUMNS($P$1006:P1006),$P$1006:$S$1006,0)), HYPERLINK("#",""), HYPERLINK(CONCATENATE("#metadata!", ADDRESS(INDEX($K$2:$K$1001,MATCH(ROWS($I$2:I205),$I$2:$I$1001,0),0), INDEX($P$1004:$S$1004,1,MATCH(COLUMNS($P$1006:P1006),$P$1006:$S$1006,0)))),"Fix")))</f>
        <v>0</v>
      </c>
      <c r="C205" s="3">
        <f>IF(OR(INDEX($J$2:$J$1001,MATCH(ROWS($I$2:I205),$I$2:$I$1001,0),1)&gt;=100000,INDEX($P$1005:$S$1005,1,MATCH(COLUMNS($P$1006:Q1006),$P$1006:$S$1006,0))&gt;=100000), " ",IF(INDEX($P$2:$S$1001,MATCH(ROWS($I$2:I205),$I$2:$I$1001,0),MATCH(COLUMNS($P$1006:Q1006),$P$1006:$S$1006,0)), HYPERLINK("#",""), HYPERLINK(CONCATENATE("#metadata!", ADDRESS(INDEX($K$2:$K$1001,MATCH(ROWS($I$2:I205),$I$2:$I$1001,0),0), INDEX($P$1004:$S$1004,1,MATCH(COLUMNS($P$1006:Q1006),$P$1006:$S$1006,0)))),"Fix")))</f>
        <v>0</v>
      </c>
      <c r="D205" s="3">
        <f>IF(OR(INDEX($J$2:$J$1001,MATCH(ROWS($I$2:I205),$I$2:$I$1001,0),1)&gt;=100000,INDEX($P$1005:$S$1005,1,MATCH(COLUMNS($P$1006:R1006),$P$1006:$S$1006,0))&gt;=100000), " ",IF(INDEX($P$2:$S$1001,MATCH(ROWS($I$2:I205),$I$2:$I$1001,0),MATCH(COLUMNS($P$1006:R1006),$P$1006:$S$1006,0)), HYPERLINK("#",""), HYPERLINK(CONCATENATE("#metadata!", ADDRESS(INDEX($K$2:$K$1001,MATCH(ROWS($I$2:I205),$I$2:$I$1001,0),0), INDEX($P$1004:$S$1004,1,MATCH(COLUMNS($P$1006:R1006),$P$1006:$S$1006,0)))),"Fix")))</f>
        <v>0</v>
      </c>
      <c r="E205" s="3">
        <f>IF(OR(INDEX($J$2:$J$1001,MATCH(ROWS($I$2:I205),$I$2:$I$1001,0),1)&gt;=100000,INDEX($P$1005:$S$1005,1,MATCH(COLUMNS($P$1006:S1006),$P$1006:$S$1006,0))&gt;=100000), " ",IF(INDEX($P$2:$S$1001,MATCH(ROWS($I$2:I205),$I$2:$I$1001,0),MATCH(COLUMNS($P$1006:S1006),$P$1006:$S$1006,0)), HYPERLINK("#",""), HYPERLINK(CONCATENATE("#metadata!", ADDRESS(INDEX($K$2:$K$1001,MATCH(ROWS($I$2:I205),$I$2:$I$1001,0),0), INDEX($P$1004:$S$1004,1,MATCH(COLUMNS($P$1006:S1006),$P$1006:$S$1006,0)))),"Fix")))</f>
        <v>0</v>
      </c>
      <c r="I205">
        <v>0</v>
      </c>
      <c r="J205">
        <v>0</v>
      </c>
      <c r="K205">
        <v>0</v>
      </c>
      <c r="L205">
        <f>IF(M205,TRUE,AND(P205:S205))</f>
        <v>0</v>
      </c>
      <c r="M205">
        <f>COUNTBLANK(metadata!B205:E205)=COLUMNS(metadata!B205:E205)</f>
        <v>0</v>
      </c>
      <c r="N205">
        <v>0</v>
      </c>
      <c r="P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Q205">
        <f>AND(IF(metadata!C205="",FALSE,TRUE),exact(metadata!C205,"other"))</f>
        <v>0</v>
      </c>
      <c r="R205">
        <f>AND(IF(metadata!D205="",FALSE,TRUE),exact(metadata!D205,"metagenome"))</f>
        <v>0</v>
      </c>
      <c r="S205">
        <f>AND(IF(metadata!E205="",FALSE,TRUE),exact(metadata!E205,"256318"))</f>
        <v>0</v>
      </c>
    </row>
    <row r="206" spans="1:19">
      <c r="A206" s="4">
        <f>IF(B206=" "," ",HYPERLINK(CONCATENATE("#metadata!",ADDRESS(INDEX($K$2:$K$1001,MATCH(ROWS($I$2:I206),$I$2:$I$1001,0),0),1)),INDEX($N$2:$N$1001,MATCH(ROWS($I$2:I206),$I$2:$I$1001,0),0)))</f>
        <v>0</v>
      </c>
      <c r="B206" s="3">
        <f>IF(OR(INDEX($J$2:$J$1001,MATCH(ROWS($I$2:I206),$I$2:$I$1001,0),1)&gt;=100000,INDEX($P$1005:$S$1005,1,MATCH(COLUMNS($P$1006:P1006),$P$1006:$S$1006,0))&gt;=100000), " ",IF(INDEX($P$2:$S$1001,MATCH(ROWS($I$2:I206),$I$2:$I$1001,0),MATCH(COLUMNS($P$1006:P1006),$P$1006:$S$1006,0)), HYPERLINK("#",""), HYPERLINK(CONCATENATE("#metadata!", ADDRESS(INDEX($K$2:$K$1001,MATCH(ROWS($I$2:I206),$I$2:$I$1001,0),0), INDEX($P$1004:$S$1004,1,MATCH(COLUMNS($P$1006:P1006),$P$1006:$S$1006,0)))),"Fix")))</f>
        <v>0</v>
      </c>
      <c r="C206" s="3">
        <f>IF(OR(INDEX($J$2:$J$1001,MATCH(ROWS($I$2:I206),$I$2:$I$1001,0),1)&gt;=100000,INDEX($P$1005:$S$1005,1,MATCH(COLUMNS($P$1006:Q1006),$P$1006:$S$1006,0))&gt;=100000), " ",IF(INDEX($P$2:$S$1001,MATCH(ROWS($I$2:I206),$I$2:$I$1001,0),MATCH(COLUMNS($P$1006:Q1006),$P$1006:$S$1006,0)), HYPERLINK("#",""), HYPERLINK(CONCATENATE("#metadata!", ADDRESS(INDEX($K$2:$K$1001,MATCH(ROWS($I$2:I206),$I$2:$I$1001,0),0), INDEX($P$1004:$S$1004,1,MATCH(COLUMNS($P$1006:Q1006),$P$1006:$S$1006,0)))),"Fix")))</f>
        <v>0</v>
      </c>
      <c r="D206" s="3">
        <f>IF(OR(INDEX($J$2:$J$1001,MATCH(ROWS($I$2:I206),$I$2:$I$1001,0),1)&gt;=100000,INDEX($P$1005:$S$1005,1,MATCH(COLUMNS($P$1006:R1006),$P$1006:$S$1006,0))&gt;=100000), " ",IF(INDEX($P$2:$S$1001,MATCH(ROWS($I$2:I206),$I$2:$I$1001,0),MATCH(COLUMNS($P$1006:R1006),$P$1006:$S$1006,0)), HYPERLINK("#",""), HYPERLINK(CONCATENATE("#metadata!", ADDRESS(INDEX($K$2:$K$1001,MATCH(ROWS($I$2:I206),$I$2:$I$1001,0),0), INDEX($P$1004:$S$1004,1,MATCH(COLUMNS($P$1006:R1006),$P$1006:$S$1006,0)))),"Fix")))</f>
        <v>0</v>
      </c>
      <c r="E206" s="3">
        <f>IF(OR(INDEX($J$2:$J$1001,MATCH(ROWS($I$2:I206),$I$2:$I$1001,0),1)&gt;=100000,INDEX($P$1005:$S$1005,1,MATCH(COLUMNS($P$1006:S1006),$P$1006:$S$1006,0))&gt;=100000), " ",IF(INDEX($P$2:$S$1001,MATCH(ROWS($I$2:I206),$I$2:$I$1001,0),MATCH(COLUMNS($P$1006:S1006),$P$1006:$S$1006,0)), HYPERLINK("#",""), HYPERLINK(CONCATENATE("#metadata!", ADDRESS(INDEX($K$2:$K$1001,MATCH(ROWS($I$2:I206),$I$2:$I$1001,0),0), INDEX($P$1004:$S$1004,1,MATCH(COLUMNS($P$1006:S1006),$P$1006:$S$1006,0)))),"Fix")))</f>
        <v>0</v>
      </c>
      <c r="I206">
        <v>0</v>
      </c>
      <c r="J206">
        <v>0</v>
      </c>
      <c r="K206">
        <v>0</v>
      </c>
      <c r="L206">
        <f>IF(M206,TRUE,AND(P206:S206))</f>
        <v>0</v>
      </c>
      <c r="M206">
        <f>COUNTBLANK(metadata!B206:E206)=COLUMNS(metadata!B206:E206)</f>
        <v>0</v>
      </c>
      <c r="N206">
        <v>0</v>
      </c>
      <c r="P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Q206">
        <f>AND(IF(metadata!C206="",FALSE,TRUE),exact(metadata!C206,"other"))</f>
        <v>0</v>
      </c>
      <c r="R206">
        <f>AND(IF(metadata!D206="",FALSE,TRUE),exact(metadata!D206,"metagenome"))</f>
        <v>0</v>
      </c>
      <c r="S206">
        <f>AND(IF(metadata!E206="",FALSE,TRUE),exact(metadata!E206,"256318"))</f>
        <v>0</v>
      </c>
    </row>
    <row r="207" spans="1:19">
      <c r="A207" s="4">
        <f>IF(B207=" "," ",HYPERLINK(CONCATENATE("#metadata!",ADDRESS(INDEX($K$2:$K$1001,MATCH(ROWS($I$2:I207),$I$2:$I$1001,0),0),1)),INDEX($N$2:$N$1001,MATCH(ROWS($I$2:I207),$I$2:$I$1001,0),0)))</f>
        <v>0</v>
      </c>
      <c r="B207" s="3">
        <f>IF(OR(INDEX($J$2:$J$1001,MATCH(ROWS($I$2:I207),$I$2:$I$1001,0),1)&gt;=100000,INDEX($P$1005:$S$1005,1,MATCH(COLUMNS($P$1006:P1006),$P$1006:$S$1006,0))&gt;=100000), " ",IF(INDEX($P$2:$S$1001,MATCH(ROWS($I$2:I207),$I$2:$I$1001,0),MATCH(COLUMNS($P$1006:P1006),$P$1006:$S$1006,0)), HYPERLINK("#",""), HYPERLINK(CONCATENATE("#metadata!", ADDRESS(INDEX($K$2:$K$1001,MATCH(ROWS($I$2:I207),$I$2:$I$1001,0),0), INDEX($P$1004:$S$1004,1,MATCH(COLUMNS($P$1006:P1006),$P$1006:$S$1006,0)))),"Fix")))</f>
        <v>0</v>
      </c>
      <c r="C207" s="3">
        <f>IF(OR(INDEX($J$2:$J$1001,MATCH(ROWS($I$2:I207),$I$2:$I$1001,0),1)&gt;=100000,INDEX($P$1005:$S$1005,1,MATCH(COLUMNS($P$1006:Q1006),$P$1006:$S$1006,0))&gt;=100000), " ",IF(INDEX($P$2:$S$1001,MATCH(ROWS($I$2:I207),$I$2:$I$1001,0),MATCH(COLUMNS($P$1006:Q1006),$P$1006:$S$1006,0)), HYPERLINK("#",""), HYPERLINK(CONCATENATE("#metadata!", ADDRESS(INDEX($K$2:$K$1001,MATCH(ROWS($I$2:I207),$I$2:$I$1001,0),0), INDEX($P$1004:$S$1004,1,MATCH(COLUMNS($P$1006:Q1006),$P$1006:$S$1006,0)))),"Fix")))</f>
        <v>0</v>
      </c>
      <c r="D207" s="3">
        <f>IF(OR(INDEX($J$2:$J$1001,MATCH(ROWS($I$2:I207),$I$2:$I$1001,0),1)&gt;=100000,INDEX($P$1005:$S$1005,1,MATCH(COLUMNS($P$1006:R1006),$P$1006:$S$1006,0))&gt;=100000), " ",IF(INDEX($P$2:$S$1001,MATCH(ROWS($I$2:I207),$I$2:$I$1001,0),MATCH(COLUMNS($P$1006:R1006),$P$1006:$S$1006,0)), HYPERLINK("#",""), HYPERLINK(CONCATENATE("#metadata!", ADDRESS(INDEX($K$2:$K$1001,MATCH(ROWS($I$2:I207),$I$2:$I$1001,0),0), INDEX($P$1004:$S$1004,1,MATCH(COLUMNS($P$1006:R1006),$P$1006:$S$1006,0)))),"Fix")))</f>
        <v>0</v>
      </c>
      <c r="E207" s="3">
        <f>IF(OR(INDEX($J$2:$J$1001,MATCH(ROWS($I$2:I207),$I$2:$I$1001,0),1)&gt;=100000,INDEX($P$1005:$S$1005,1,MATCH(COLUMNS($P$1006:S1006),$P$1006:$S$1006,0))&gt;=100000), " ",IF(INDEX($P$2:$S$1001,MATCH(ROWS($I$2:I207),$I$2:$I$1001,0),MATCH(COLUMNS($P$1006:S1006),$P$1006:$S$1006,0)), HYPERLINK("#",""), HYPERLINK(CONCATENATE("#metadata!", ADDRESS(INDEX($K$2:$K$1001,MATCH(ROWS($I$2:I207),$I$2:$I$1001,0),0), INDEX($P$1004:$S$1004,1,MATCH(COLUMNS($P$1006:S1006),$P$1006:$S$1006,0)))),"Fix")))</f>
        <v>0</v>
      </c>
      <c r="I207">
        <v>0</v>
      </c>
      <c r="J207">
        <v>0</v>
      </c>
      <c r="K207">
        <v>0</v>
      </c>
      <c r="L207">
        <f>IF(M207,TRUE,AND(P207:S207))</f>
        <v>0</v>
      </c>
      <c r="M207">
        <f>COUNTBLANK(metadata!B207:E207)=COLUMNS(metadata!B207:E207)</f>
        <v>0</v>
      </c>
      <c r="N207">
        <v>0</v>
      </c>
      <c r="P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Q207">
        <f>AND(IF(metadata!C207="",FALSE,TRUE),exact(metadata!C207,"other"))</f>
        <v>0</v>
      </c>
      <c r="R207">
        <f>AND(IF(metadata!D207="",FALSE,TRUE),exact(metadata!D207,"metagenome"))</f>
        <v>0</v>
      </c>
      <c r="S207">
        <f>AND(IF(metadata!E207="",FALSE,TRUE),exact(metadata!E207,"256318"))</f>
        <v>0</v>
      </c>
    </row>
    <row r="208" spans="1:19">
      <c r="A208" s="4">
        <f>IF(B208=" "," ",HYPERLINK(CONCATENATE("#metadata!",ADDRESS(INDEX($K$2:$K$1001,MATCH(ROWS($I$2:I208),$I$2:$I$1001,0),0),1)),INDEX($N$2:$N$1001,MATCH(ROWS($I$2:I208),$I$2:$I$1001,0),0)))</f>
        <v>0</v>
      </c>
      <c r="B208" s="3">
        <f>IF(OR(INDEX($J$2:$J$1001,MATCH(ROWS($I$2:I208),$I$2:$I$1001,0),1)&gt;=100000,INDEX($P$1005:$S$1005,1,MATCH(COLUMNS($P$1006:P1006),$P$1006:$S$1006,0))&gt;=100000), " ",IF(INDEX($P$2:$S$1001,MATCH(ROWS($I$2:I208),$I$2:$I$1001,0),MATCH(COLUMNS($P$1006:P1006),$P$1006:$S$1006,0)), HYPERLINK("#",""), HYPERLINK(CONCATENATE("#metadata!", ADDRESS(INDEX($K$2:$K$1001,MATCH(ROWS($I$2:I208),$I$2:$I$1001,0),0), INDEX($P$1004:$S$1004,1,MATCH(COLUMNS($P$1006:P1006),$P$1006:$S$1006,0)))),"Fix")))</f>
        <v>0</v>
      </c>
      <c r="C208" s="3">
        <f>IF(OR(INDEX($J$2:$J$1001,MATCH(ROWS($I$2:I208),$I$2:$I$1001,0),1)&gt;=100000,INDEX($P$1005:$S$1005,1,MATCH(COLUMNS($P$1006:Q1006),$P$1006:$S$1006,0))&gt;=100000), " ",IF(INDEX($P$2:$S$1001,MATCH(ROWS($I$2:I208),$I$2:$I$1001,0),MATCH(COLUMNS($P$1006:Q1006),$P$1006:$S$1006,0)), HYPERLINK("#",""), HYPERLINK(CONCATENATE("#metadata!", ADDRESS(INDEX($K$2:$K$1001,MATCH(ROWS($I$2:I208),$I$2:$I$1001,0),0), INDEX($P$1004:$S$1004,1,MATCH(COLUMNS($P$1006:Q1006),$P$1006:$S$1006,0)))),"Fix")))</f>
        <v>0</v>
      </c>
      <c r="D208" s="3">
        <f>IF(OR(INDEX($J$2:$J$1001,MATCH(ROWS($I$2:I208),$I$2:$I$1001,0),1)&gt;=100000,INDEX($P$1005:$S$1005,1,MATCH(COLUMNS($P$1006:R1006),$P$1006:$S$1006,0))&gt;=100000), " ",IF(INDEX($P$2:$S$1001,MATCH(ROWS($I$2:I208),$I$2:$I$1001,0),MATCH(COLUMNS($P$1006:R1006),$P$1006:$S$1006,0)), HYPERLINK("#",""), HYPERLINK(CONCATENATE("#metadata!", ADDRESS(INDEX($K$2:$K$1001,MATCH(ROWS($I$2:I208),$I$2:$I$1001,0),0), INDEX($P$1004:$S$1004,1,MATCH(COLUMNS($P$1006:R1006),$P$1006:$S$1006,0)))),"Fix")))</f>
        <v>0</v>
      </c>
      <c r="E208" s="3">
        <f>IF(OR(INDEX($J$2:$J$1001,MATCH(ROWS($I$2:I208),$I$2:$I$1001,0),1)&gt;=100000,INDEX($P$1005:$S$1005,1,MATCH(COLUMNS($P$1006:S1006),$P$1006:$S$1006,0))&gt;=100000), " ",IF(INDEX($P$2:$S$1001,MATCH(ROWS($I$2:I208),$I$2:$I$1001,0),MATCH(COLUMNS($P$1006:S1006),$P$1006:$S$1006,0)), HYPERLINK("#",""), HYPERLINK(CONCATENATE("#metadata!", ADDRESS(INDEX($K$2:$K$1001,MATCH(ROWS($I$2:I208),$I$2:$I$1001,0),0), INDEX($P$1004:$S$1004,1,MATCH(COLUMNS($P$1006:S1006),$P$1006:$S$1006,0)))),"Fix")))</f>
        <v>0</v>
      </c>
      <c r="I208">
        <v>0</v>
      </c>
      <c r="J208">
        <v>0</v>
      </c>
      <c r="K208">
        <v>0</v>
      </c>
      <c r="L208">
        <f>IF(M208,TRUE,AND(P208:S208))</f>
        <v>0</v>
      </c>
      <c r="M208">
        <f>COUNTBLANK(metadata!B208:E208)=COLUMNS(metadata!B208:E208)</f>
        <v>0</v>
      </c>
      <c r="N208">
        <v>0</v>
      </c>
      <c r="P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Q208">
        <f>AND(IF(metadata!C208="",FALSE,TRUE),exact(metadata!C208,"other"))</f>
        <v>0</v>
      </c>
      <c r="R208">
        <f>AND(IF(metadata!D208="",FALSE,TRUE),exact(metadata!D208,"metagenome"))</f>
        <v>0</v>
      </c>
      <c r="S208">
        <f>AND(IF(metadata!E208="",FALSE,TRUE),exact(metadata!E208,"256318"))</f>
        <v>0</v>
      </c>
    </row>
    <row r="209" spans="1:19">
      <c r="A209" s="4">
        <f>IF(B209=" "," ",HYPERLINK(CONCATENATE("#metadata!",ADDRESS(INDEX($K$2:$K$1001,MATCH(ROWS($I$2:I209),$I$2:$I$1001,0),0),1)),INDEX($N$2:$N$1001,MATCH(ROWS($I$2:I209),$I$2:$I$1001,0),0)))</f>
        <v>0</v>
      </c>
      <c r="B209" s="3">
        <f>IF(OR(INDEX($J$2:$J$1001,MATCH(ROWS($I$2:I209),$I$2:$I$1001,0),1)&gt;=100000,INDEX($P$1005:$S$1005,1,MATCH(COLUMNS($P$1006:P1006),$P$1006:$S$1006,0))&gt;=100000), " ",IF(INDEX($P$2:$S$1001,MATCH(ROWS($I$2:I209),$I$2:$I$1001,0),MATCH(COLUMNS($P$1006:P1006),$P$1006:$S$1006,0)), HYPERLINK("#",""), HYPERLINK(CONCATENATE("#metadata!", ADDRESS(INDEX($K$2:$K$1001,MATCH(ROWS($I$2:I209),$I$2:$I$1001,0),0), INDEX($P$1004:$S$1004,1,MATCH(COLUMNS($P$1006:P1006),$P$1006:$S$1006,0)))),"Fix")))</f>
        <v>0</v>
      </c>
      <c r="C209" s="3">
        <f>IF(OR(INDEX($J$2:$J$1001,MATCH(ROWS($I$2:I209),$I$2:$I$1001,0),1)&gt;=100000,INDEX($P$1005:$S$1005,1,MATCH(COLUMNS($P$1006:Q1006),$P$1006:$S$1006,0))&gt;=100000), " ",IF(INDEX($P$2:$S$1001,MATCH(ROWS($I$2:I209),$I$2:$I$1001,0),MATCH(COLUMNS($P$1006:Q1006),$P$1006:$S$1006,0)), HYPERLINK("#",""), HYPERLINK(CONCATENATE("#metadata!", ADDRESS(INDEX($K$2:$K$1001,MATCH(ROWS($I$2:I209),$I$2:$I$1001,0),0), INDEX($P$1004:$S$1004,1,MATCH(COLUMNS($P$1006:Q1006),$P$1006:$S$1006,0)))),"Fix")))</f>
        <v>0</v>
      </c>
      <c r="D209" s="3">
        <f>IF(OR(INDEX($J$2:$J$1001,MATCH(ROWS($I$2:I209),$I$2:$I$1001,0),1)&gt;=100000,INDEX($P$1005:$S$1005,1,MATCH(COLUMNS($P$1006:R1006),$P$1006:$S$1006,0))&gt;=100000), " ",IF(INDEX($P$2:$S$1001,MATCH(ROWS($I$2:I209),$I$2:$I$1001,0),MATCH(COLUMNS($P$1006:R1006),$P$1006:$S$1006,0)), HYPERLINK("#",""), HYPERLINK(CONCATENATE("#metadata!", ADDRESS(INDEX($K$2:$K$1001,MATCH(ROWS($I$2:I209),$I$2:$I$1001,0),0), INDEX($P$1004:$S$1004,1,MATCH(COLUMNS($P$1006:R1006),$P$1006:$S$1006,0)))),"Fix")))</f>
        <v>0</v>
      </c>
      <c r="E209" s="3">
        <f>IF(OR(INDEX($J$2:$J$1001,MATCH(ROWS($I$2:I209),$I$2:$I$1001,0),1)&gt;=100000,INDEX($P$1005:$S$1005,1,MATCH(COLUMNS($P$1006:S1006),$P$1006:$S$1006,0))&gt;=100000), " ",IF(INDEX($P$2:$S$1001,MATCH(ROWS($I$2:I209),$I$2:$I$1001,0),MATCH(COLUMNS($P$1006:S1006),$P$1006:$S$1006,0)), HYPERLINK("#",""), HYPERLINK(CONCATENATE("#metadata!", ADDRESS(INDEX($K$2:$K$1001,MATCH(ROWS($I$2:I209),$I$2:$I$1001,0),0), INDEX($P$1004:$S$1004,1,MATCH(COLUMNS($P$1006:S1006),$P$1006:$S$1006,0)))),"Fix")))</f>
        <v>0</v>
      </c>
      <c r="I209">
        <v>0</v>
      </c>
      <c r="J209">
        <v>0</v>
      </c>
      <c r="K209">
        <v>0</v>
      </c>
      <c r="L209">
        <f>IF(M209,TRUE,AND(P209:S209))</f>
        <v>0</v>
      </c>
      <c r="M209">
        <f>COUNTBLANK(metadata!B209:E209)=COLUMNS(metadata!B209:E209)</f>
        <v>0</v>
      </c>
      <c r="N209">
        <v>0</v>
      </c>
      <c r="P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Q209">
        <f>AND(IF(metadata!C209="",FALSE,TRUE),exact(metadata!C209,"other"))</f>
        <v>0</v>
      </c>
      <c r="R209">
        <f>AND(IF(metadata!D209="",FALSE,TRUE),exact(metadata!D209,"metagenome"))</f>
        <v>0</v>
      </c>
      <c r="S209">
        <f>AND(IF(metadata!E209="",FALSE,TRUE),exact(metadata!E209,"256318"))</f>
        <v>0</v>
      </c>
    </row>
    <row r="210" spans="1:19">
      <c r="A210" s="4">
        <f>IF(B210=" "," ",HYPERLINK(CONCATENATE("#metadata!",ADDRESS(INDEX($K$2:$K$1001,MATCH(ROWS($I$2:I210),$I$2:$I$1001,0),0),1)),INDEX($N$2:$N$1001,MATCH(ROWS($I$2:I210),$I$2:$I$1001,0),0)))</f>
        <v>0</v>
      </c>
      <c r="B210" s="3">
        <f>IF(OR(INDEX($J$2:$J$1001,MATCH(ROWS($I$2:I210),$I$2:$I$1001,0),1)&gt;=100000,INDEX($P$1005:$S$1005,1,MATCH(COLUMNS($P$1006:P1006),$P$1006:$S$1006,0))&gt;=100000), " ",IF(INDEX($P$2:$S$1001,MATCH(ROWS($I$2:I210),$I$2:$I$1001,0),MATCH(COLUMNS($P$1006:P1006),$P$1006:$S$1006,0)), HYPERLINK("#",""), HYPERLINK(CONCATENATE("#metadata!", ADDRESS(INDEX($K$2:$K$1001,MATCH(ROWS($I$2:I210),$I$2:$I$1001,0),0), INDEX($P$1004:$S$1004,1,MATCH(COLUMNS($P$1006:P1006),$P$1006:$S$1006,0)))),"Fix")))</f>
        <v>0</v>
      </c>
      <c r="C210" s="3">
        <f>IF(OR(INDEX($J$2:$J$1001,MATCH(ROWS($I$2:I210),$I$2:$I$1001,0),1)&gt;=100000,INDEX($P$1005:$S$1005,1,MATCH(COLUMNS($P$1006:Q1006),$P$1006:$S$1006,0))&gt;=100000), " ",IF(INDEX($P$2:$S$1001,MATCH(ROWS($I$2:I210),$I$2:$I$1001,0),MATCH(COLUMNS($P$1006:Q1006),$P$1006:$S$1006,0)), HYPERLINK("#",""), HYPERLINK(CONCATENATE("#metadata!", ADDRESS(INDEX($K$2:$K$1001,MATCH(ROWS($I$2:I210),$I$2:$I$1001,0),0), INDEX($P$1004:$S$1004,1,MATCH(COLUMNS($P$1006:Q1006),$P$1006:$S$1006,0)))),"Fix")))</f>
        <v>0</v>
      </c>
      <c r="D210" s="3">
        <f>IF(OR(INDEX($J$2:$J$1001,MATCH(ROWS($I$2:I210),$I$2:$I$1001,0),1)&gt;=100000,INDEX($P$1005:$S$1005,1,MATCH(COLUMNS($P$1006:R1006),$P$1006:$S$1006,0))&gt;=100000), " ",IF(INDEX($P$2:$S$1001,MATCH(ROWS($I$2:I210),$I$2:$I$1001,0),MATCH(COLUMNS($P$1006:R1006),$P$1006:$S$1006,0)), HYPERLINK("#",""), HYPERLINK(CONCATENATE("#metadata!", ADDRESS(INDEX($K$2:$K$1001,MATCH(ROWS($I$2:I210),$I$2:$I$1001,0),0), INDEX($P$1004:$S$1004,1,MATCH(COLUMNS($P$1006:R1006),$P$1006:$S$1006,0)))),"Fix")))</f>
        <v>0</v>
      </c>
      <c r="E210" s="3">
        <f>IF(OR(INDEX($J$2:$J$1001,MATCH(ROWS($I$2:I210),$I$2:$I$1001,0),1)&gt;=100000,INDEX($P$1005:$S$1005,1,MATCH(COLUMNS($P$1006:S1006),$P$1006:$S$1006,0))&gt;=100000), " ",IF(INDEX($P$2:$S$1001,MATCH(ROWS($I$2:I210),$I$2:$I$1001,0),MATCH(COLUMNS($P$1006:S1006),$P$1006:$S$1006,0)), HYPERLINK("#",""), HYPERLINK(CONCATENATE("#metadata!", ADDRESS(INDEX($K$2:$K$1001,MATCH(ROWS($I$2:I210),$I$2:$I$1001,0),0), INDEX($P$1004:$S$1004,1,MATCH(COLUMNS($P$1006:S1006),$P$1006:$S$1006,0)))),"Fix")))</f>
        <v>0</v>
      </c>
      <c r="I210">
        <v>0</v>
      </c>
      <c r="J210">
        <v>0</v>
      </c>
      <c r="K210">
        <v>0</v>
      </c>
      <c r="L210">
        <f>IF(M210,TRUE,AND(P210:S210))</f>
        <v>0</v>
      </c>
      <c r="M210">
        <f>COUNTBLANK(metadata!B210:E210)=COLUMNS(metadata!B210:E210)</f>
        <v>0</v>
      </c>
      <c r="N210">
        <v>0</v>
      </c>
      <c r="P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Q210">
        <f>AND(IF(metadata!C210="",FALSE,TRUE),exact(metadata!C210,"other"))</f>
        <v>0</v>
      </c>
      <c r="R210">
        <f>AND(IF(metadata!D210="",FALSE,TRUE),exact(metadata!D210,"metagenome"))</f>
        <v>0</v>
      </c>
      <c r="S210">
        <f>AND(IF(metadata!E210="",FALSE,TRUE),exact(metadata!E210,"256318"))</f>
        <v>0</v>
      </c>
    </row>
    <row r="211" spans="1:19">
      <c r="A211" s="4">
        <f>IF(B211=" "," ",HYPERLINK(CONCATENATE("#metadata!",ADDRESS(INDEX($K$2:$K$1001,MATCH(ROWS($I$2:I211),$I$2:$I$1001,0),0),1)),INDEX($N$2:$N$1001,MATCH(ROWS($I$2:I211),$I$2:$I$1001,0),0)))</f>
        <v>0</v>
      </c>
      <c r="B211" s="3">
        <f>IF(OR(INDEX($J$2:$J$1001,MATCH(ROWS($I$2:I211),$I$2:$I$1001,0),1)&gt;=100000,INDEX($P$1005:$S$1005,1,MATCH(COLUMNS($P$1006:P1006),$P$1006:$S$1006,0))&gt;=100000), " ",IF(INDEX($P$2:$S$1001,MATCH(ROWS($I$2:I211),$I$2:$I$1001,0),MATCH(COLUMNS($P$1006:P1006),$P$1006:$S$1006,0)), HYPERLINK("#",""), HYPERLINK(CONCATENATE("#metadata!", ADDRESS(INDEX($K$2:$K$1001,MATCH(ROWS($I$2:I211),$I$2:$I$1001,0),0), INDEX($P$1004:$S$1004,1,MATCH(COLUMNS($P$1006:P1006),$P$1006:$S$1006,0)))),"Fix")))</f>
        <v>0</v>
      </c>
      <c r="C211" s="3">
        <f>IF(OR(INDEX($J$2:$J$1001,MATCH(ROWS($I$2:I211),$I$2:$I$1001,0),1)&gt;=100000,INDEX($P$1005:$S$1005,1,MATCH(COLUMNS($P$1006:Q1006),$P$1006:$S$1006,0))&gt;=100000), " ",IF(INDEX($P$2:$S$1001,MATCH(ROWS($I$2:I211),$I$2:$I$1001,0),MATCH(COLUMNS($P$1006:Q1006),$P$1006:$S$1006,0)), HYPERLINK("#",""), HYPERLINK(CONCATENATE("#metadata!", ADDRESS(INDEX($K$2:$K$1001,MATCH(ROWS($I$2:I211),$I$2:$I$1001,0),0), INDEX($P$1004:$S$1004,1,MATCH(COLUMNS($P$1006:Q1006),$P$1006:$S$1006,0)))),"Fix")))</f>
        <v>0</v>
      </c>
      <c r="D211" s="3">
        <f>IF(OR(INDEX($J$2:$J$1001,MATCH(ROWS($I$2:I211),$I$2:$I$1001,0),1)&gt;=100000,INDEX($P$1005:$S$1005,1,MATCH(COLUMNS($P$1006:R1006),$P$1006:$S$1006,0))&gt;=100000), " ",IF(INDEX($P$2:$S$1001,MATCH(ROWS($I$2:I211),$I$2:$I$1001,0),MATCH(COLUMNS($P$1006:R1006),$P$1006:$S$1006,0)), HYPERLINK("#",""), HYPERLINK(CONCATENATE("#metadata!", ADDRESS(INDEX($K$2:$K$1001,MATCH(ROWS($I$2:I211),$I$2:$I$1001,0),0), INDEX($P$1004:$S$1004,1,MATCH(COLUMNS($P$1006:R1006),$P$1006:$S$1006,0)))),"Fix")))</f>
        <v>0</v>
      </c>
      <c r="E211" s="3">
        <f>IF(OR(INDEX($J$2:$J$1001,MATCH(ROWS($I$2:I211),$I$2:$I$1001,0),1)&gt;=100000,INDEX($P$1005:$S$1005,1,MATCH(COLUMNS($P$1006:S1006),$P$1006:$S$1006,0))&gt;=100000), " ",IF(INDEX($P$2:$S$1001,MATCH(ROWS($I$2:I211),$I$2:$I$1001,0),MATCH(COLUMNS($P$1006:S1006),$P$1006:$S$1006,0)), HYPERLINK("#",""), HYPERLINK(CONCATENATE("#metadata!", ADDRESS(INDEX($K$2:$K$1001,MATCH(ROWS($I$2:I211),$I$2:$I$1001,0),0), INDEX($P$1004:$S$1004,1,MATCH(COLUMNS($P$1006:S1006),$P$1006:$S$1006,0)))),"Fix")))</f>
        <v>0</v>
      </c>
      <c r="I211">
        <v>0</v>
      </c>
      <c r="J211">
        <v>0</v>
      </c>
      <c r="K211">
        <v>0</v>
      </c>
      <c r="L211">
        <f>IF(M211,TRUE,AND(P211:S211))</f>
        <v>0</v>
      </c>
      <c r="M211">
        <f>COUNTBLANK(metadata!B211:E211)=COLUMNS(metadata!B211:E211)</f>
        <v>0</v>
      </c>
      <c r="N211">
        <v>0</v>
      </c>
      <c r="P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Q211">
        <f>AND(IF(metadata!C211="",FALSE,TRUE),exact(metadata!C211,"other"))</f>
        <v>0</v>
      </c>
      <c r="R211">
        <f>AND(IF(metadata!D211="",FALSE,TRUE),exact(metadata!D211,"metagenome"))</f>
        <v>0</v>
      </c>
      <c r="S211">
        <f>AND(IF(metadata!E211="",FALSE,TRUE),exact(metadata!E211,"256318"))</f>
        <v>0</v>
      </c>
    </row>
    <row r="212" spans="1:19">
      <c r="A212" s="4">
        <f>IF(B212=" "," ",HYPERLINK(CONCATENATE("#metadata!",ADDRESS(INDEX($K$2:$K$1001,MATCH(ROWS($I$2:I212),$I$2:$I$1001,0),0),1)),INDEX($N$2:$N$1001,MATCH(ROWS($I$2:I212),$I$2:$I$1001,0),0)))</f>
        <v>0</v>
      </c>
      <c r="B212" s="3">
        <f>IF(OR(INDEX($J$2:$J$1001,MATCH(ROWS($I$2:I212),$I$2:$I$1001,0),1)&gt;=100000,INDEX($P$1005:$S$1005,1,MATCH(COLUMNS($P$1006:P1006),$P$1006:$S$1006,0))&gt;=100000), " ",IF(INDEX($P$2:$S$1001,MATCH(ROWS($I$2:I212),$I$2:$I$1001,0),MATCH(COLUMNS($P$1006:P1006),$P$1006:$S$1006,0)), HYPERLINK("#",""), HYPERLINK(CONCATENATE("#metadata!", ADDRESS(INDEX($K$2:$K$1001,MATCH(ROWS($I$2:I212),$I$2:$I$1001,0),0), INDEX($P$1004:$S$1004,1,MATCH(COLUMNS($P$1006:P1006),$P$1006:$S$1006,0)))),"Fix")))</f>
        <v>0</v>
      </c>
      <c r="C212" s="3">
        <f>IF(OR(INDEX($J$2:$J$1001,MATCH(ROWS($I$2:I212),$I$2:$I$1001,0),1)&gt;=100000,INDEX($P$1005:$S$1005,1,MATCH(COLUMNS($P$1006:Q1006),$P$1006:$S$1006,0))&gt;=100000), " ",IF(INDEX($P$2:$S$1001,MATCH(ROWS($I$2:I212),$I$2:$I$1001,0),MATCH(COLUMNS($P$1006:Q1006),$P$1006:$S$1006,0)), HYPERLINK("#",""), HYPERLINK(CONCATENATE("#metadata!", ADDRESS(INDEX($K$2:$K$1001,MATCH(ROWS($I$2:I212),$I$2:$I$1001,0),0), INDEX($P$1004:$S$1004,1,MATCH(COLUMNS($P$1006:Q1006),$P$1006:$S$1006,0)))),"Fix")))</f>
        <v>0</v>
      </c>
      <c r="D212" s="3">
        <f>IF(OR(INDEX($J$2:$J$1001,MATCH(ROWS($I$2:I212),$I$2:$I$1001,0),1)&gt;=100000,INDEX($P$1005:$S$1005,1,MATCH(COLUMNS($P$1006:R1006),$P$1006:$S$1006,0))&gt;=100000), " ",IF(INDEX($P$2:$S$1001,MATCH(ROWS($I$2:I212),$I$2:$I$1001,0),MATCH(COLUMNS($P$1006:R1006),$P$1006:$S$1006,0)), HYPERLINK("#",""), HYPERLINK(CONCATENATE("#metadata!", ADDRESS(INDEX($K$2:$K$1001,MATCH(ROWS($I$2:I212),$I$2:$I$1001,0),0), INDEX($P$1004:$S$1004,1,MATCH(COLUMNS($P$1006:R1006),$P$1006:$S$1006,0)))),"Fix")))</f>
        <v>0</v>
      </c>
      <c r="E212" s="3">
        <f>IF(OR(INDEX($J$2:$J$1001,MATCH(ROWS($I$2:I212),$I$2:$I$1001,0),1)&gt;=100000,INDEX($P$1005:$S$1005,1,MATCH(COLUMNS($P$1006:S1006),$P$1006:$S$1006,0))&gt;=100000), " ",IF(INDEX($P$2:$S$1001,MATCH(ROWS($I$2:I212),$I$2:$I$1001,0),MATCH(COLUMNS($P$1006:S1006),$P$1006:$S$1006,0)), HYPERLINK("#",""), HYPERLINK(CONCATENATE("#metadata!", ADDRESS(INDEX($K$2:$K$1001,MATCH(ROWS($I$2:I212),$I$2:$I$1001,0),0), INDEX($P$1004:$S$1004,1,MATCH(COLUMNS($P$1006:S1006),$P$1006:$S$1006,0)))),"Fix")))</f>
        <v>0</v>
      </c>
      <c r="I212">
        <v>0</v>
      </c>
      <c r="J212">
        <v>0</v>
      </c>
      <c r="K212">
        <v>0</v>
      </c>
      <c r="L212">
        <f>IF(M212,TRUE,AND(P212:S212))</f>
        <v>0</v>
      </c>
      <c r="M212">
        <f>COUNTBLANK(metadata!B212:E212)=COLUMNS(metadata!B212:E212)</f>
        <v>0</v>
      </c>
      <c r="N212">
        <v>0</v>
      </c>
      <c r="P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Q212">
        <f>AND(IF(metadata!C212="",FALSE,TRUE),exact(metadata!C212,"other"))</f>
        <v>0</v>
      </c>
      <c r="R212">
        <f>AND(IF(metadata!D212="",FALSE,TRUE),exact(metadata!D212,"metagenome"))</f>
        <v>0</v>
      </c>
      <c r="S212">
        <f>AND(IF(metadata!E212="",FALSE,TRUE),exact(metadata!E212,"256318"))</f>
        <v>0</v>
      </c>
    </row>
    <row r="213" spans="1:19">
      <c r="A213" s="4">
        <f>IF(B213=" "," ",HYPERLINK(CONCATENATE("#metadata!",ADDRESS(INDEX($K$2:$K$1001,MATCH(ROWS($I$2:I213),$I$2:$I$1001,0),0),1)),INDEX($N$2:$N$1001,MATCH(ROWS($I$2:I213),$I$2:$I$1001,0),0)))</f>
        <v>0</v>
      </c>
      <c r="B213" s="3">
        <f>IF(OR(INDEX($J$2:$J$1001,MATCH(ROWS($I$2:I213),$I$2:$I$1001,0),1)&gt;=100000,INDEX($P$1005:$S$1005,1,MATCH(COLUMNS($P$1006:P1006),$P$1006:$S$1006,0))&gt;=100000), " ",IF(INDEX($P$2:$S$1001,MATCH(ROWS($I$2:I213),$I$2:$I$1001,0),MATCH(COLUMNS($P$1006:P1006),$P$1006:$S$1006,0)), HYPERLINK("#",""), HYPERLINK(CONCATENATE("#metadata!", ADDRESS(INDEX($K$2:$K$1001,MATCH(ROWS($I$2:I213),$I$2:$I$1001,0),0), INDEX($P$1004:$S$1004,1,MATCH(COLUMNS($P$1006:P1006),$P$1006:$S$1006,0)))),"Fix")))</f>
        <v>0</v>
      </c>
      <c r="C213" s="3">
        <f>IF(OR(INDEX($J$2:$J$1001,MATCH(ROWS($I$2:I213),$I$2:$I$1001,0),1)&gt;=100000,INDEX($P$1005:$S$1005,1,MATCH(COLUMNS($P$1006:Q1006),$P$1006:$S$1006,0))&gt;=100000), " ",IF(INDEX($P$2:$S$1001,MATCH(ROWS($I$2:I213),$I$2:$I$1001,0),MATCH(COLUMNS($P$1006:Q1006),$P$1006:$S$1006,0)), HYPERLINK("#",""), HYPERLINK(CONCATENATE("#metadata!", ADDRESS(INDEX($K$2:$K$1001,MATCH(ROWS($I$2:I213),$I$2:$I$1001,0),0), INDEX($P$1004:$S$1004,1,MATCH(COLUMNS($P$1006:Q1006),$P$1006:$S$1006,0)))),"Fix")))</f>
        <v>0</v>
      </c>
      <c r="D213" s="3">
        <f>IF(OR(INDEX($J$2:$J$1001,MATCH(ROWS($I$2:I213),$I$2:$I$1001,0),1)&gt;=100000,INDEX($P$1005:$S$1005,1,MATCH(COLUMNS($P$1006:R1006),$P$1006:$S$1006,0))&gt;=100000), " ",IF(INDEX($P$2:$S$1001,MATCH(ROWS($I$2:I213),$I$2:$I$1001,0),MATCH(COLUMNS($P$1006:R1006),$P$1006:$S$1006,0)), HYPERLINK("#",""), HYPERLINK(CONCATENATE("#metadata!", ADDRESS(INDEX($K$2:$K$1001,MATCH(ROWS($I$2:I213),$I$2:$I$1001,0),0), INDEX($P$1004:$S$1004,1,MATCH(COLUMNS($P$1006:R1006),$P$1006:$S$1006,0)))),"Fix")))</f>
        <v>0</v>
      </c>
      <c r="E213" s="3">
        <f>IF(OR(INDEX($J$2:$J$1001,MATCH(ROWS($I$2:I213),$I$2:$I$1001,0),1)&gt;=100000,INDEX($P$1005:$S$1005,1,MATCH(COLUMNS($P$1006:S1006),$P$1006:$S$1006,0))&gt;=100000), " ",IF(INDEX($P$2:$S$1001,MATCH(ROWS($I$2:I213),$I$2:$I$1001,0),MATCH(COLUMNS($P$1006:S1006),$P$1006:$S$1006,0)), HYPERLINK("#",""), HYPERLINK(CONCATENATE("#metadata!", ADDRESS(INDEX($K$2:$K$1001,MATCH(ROWS($I$2:I213),$I$2:$I$1001,0),0), INDEX($P$1004:$S$1004,1,MATCH(COLUMNS($P$1006:S1006),$P$1006:$S$1006,0)))),"Fix")))</f>
        <v>0</v>
      </c>
      <c r="I213">
        <v>0</v>
      </c>
      <c r="J213">
        <v>0</v>
      </c>
      <c r="K213">
        <v>0</v>
      </c>
      <c r="L213">
        <f>IF(M213,TRUE,AND(P213:S213))</f>
        <v>0</v>
      </c>
      <c r="M213">
        <f>COUNTBLANK(metadata!B213:E213)=COLUMNS(metadata!B213:E213)</f>
        <v>0</v>
      </c>
      <c r="N213">
        <v>0</v>
      </c>
      <c r="P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Q213">
        <f>AND(IF(metadata!C213="",FALSE,TRUE),exact(metadata!C213,"other"))</f>
        <v>0</v>
      </c>
      <c r="R213">
        <f>AND(IF(metadata!D213="",FALSE,TRUE),exact(metadata!D213,"metagenome"))</f>
        <v>0</v>
      </c>
      <c r="S213">
        <f>AND(IF(metadata!E213="",FALSE,TRUE),exact(metadata!E213,"256318"))</f>
        <v>0</v>
      </c>
    </row>
    <row r="214" spans="1:19">
      <c r="A214" s="4">
        <f>IF(B214=" "," ",HYPERLINK(CONCATENATE("#metadata!",ADDRESS(INDEX($K$2:$K$1001,MATCH(ROWS($I$2:I214),$I$2:$I$1001,0),0),1)),INDEX($N$2:$N$1001,MATCH(ROWS($I$2:I214),$I$2:$I$1001,0),0)))</f>
        <v>0</v>
      </c>
      <c r="B214" s="3">
        <f>IF(OR(INDEX($J$2:$J$1001,MATCH(ROWS($I$2:I214),$I$2:$I$1001,0),1)&gt;=100000,INDEX($P$1005:$S$1005,1,MATCH(COLUMNS($P$1006:P1006),$P$1006:$S$1006,0))&gt;=100000), " ",IF(INDEX($P$2:$S$1001,MATCH(ROWS($I$2:I214),$I$2:$I$1001,0),MATCH(COLUMNS($P$1006:P1006),$P$1006:$S$1006,0)), HYPERLINK("#",""), HYPERLINK(CONCATENATE("#metadata!", ADDRESS(INDEX($K$2:$K$1001,MATCH(ROWS($I$2:I214),$I$2:$I$1001,0),0), INDEX($P$1004:$S$1004,1,MATCH(COLUMNS($P$1006:P1006),$P$1006:$S$1006,0)))),"Fix")))</f>
        <v>0</v>
      </c>
      <c r="C214" s="3">
        <f>IF(OR(INDEX($J$2:$J$1001,MATCH(ROWS($I$2:I214),$I$2:$I$1001,0),1)&gt;=100000,INDEX($P$1005:$S$1005,1,MATCH(COLUMNS($P$1006:Q1006),$P$1006:$S$1006,0))&gt;=100000), " ",IF(INDEX($P$2:$S$1001,MATCH(ROWS($I$2:I214),$I$2:$I$1001,0),MATCH(COLUMNS($P$1006:Q1006),$P$1006:$S$1006,0)), HYPERLINK("#",""), HYPERLINK(CONCATENATE("#metadata!", ADDRESS(INDEX($K$2:$K$1001,MATCH(ROWS($I$2:I214),$I$2:$I$1001,0),0), INDEX($P$1004:$S$1004,1,MATCH(COLUMNS($P$1006:Q1006),$P$1006:$S$1006,0)))),"Fix")))</f>
        <v>0</v>
      </c>
      <c r="D214" s="3">
        <f>IF(OR(INDEX($J$2:$J$1001,MATCH(ROWS($I$2:I214),$I$2:$I$1001,0),1)&gt;=100000,INDEX($P$1005:$S$1005,1,MATCH(COLUMNS($P$1006:R1006),$P$1006:$S$1006,0))&gt;=100000), " ",IF(INDEX($P$2:$S$1001,MATCH(ROWS($I$2:I214),$I$2:$I$1001,0),MATCH(COLUMNS($P$1006:R1006),$P$1006:$S$1006,0)), HYPERLINK("#",""), HYPERLINK(CONCATENATE("#metadata!", ADDRESS(INDEX($K$2:$K$1001,MATCH(ROWS($I$2:I214),$I$2:$I$1001,0),0), INDEX($P$1004:$S$1004,1,MATCH(COLUMNS($P$1006:R1006),$P$1006:$S$1006,0)))),"Fix")))</f>
        <v>0</v>
      </c>
      <c r="E214" s="3">
        <f>IF(OR(INDEX($J$2:$J$1001,MATCH(ROWS($I$2:I214),$I$2:$I$1001,0),1)&gt;=100000,INDEX($P$1005:$S$1005,1,MATCH(COLUMNS($P$1006:S1006),$P$1006:$S$1006,0))&gt;=100000), " ",IF(INDEX($P$2:$S$1001,MATCH(ROWS($I$2:I214),$I$2:$I$1001,0),MATCH(COLUMNS($P$1006:S1006),$P$1006:$S$1006,0)), HYPERLINK("#",""), HYPERLINK(CONCATENATE("#metadata!", ADDRESS(INDEX($K$2:$K$1001,MATCH(ROWS($I$2:I214),$I$2:$I$1001,0),0), INDEX($P$1004:$S$1004,1,MATCH(COLUMNS($P$1006:S1006),$P$1006:$S$1006,0)))),"Fix")))</f>
        <v>0</v>
      </c>
      <c r="I214">
        <v>0</v>
      </c>
      <c r="J214">
        <v>0</v>
      </c>
      <c r="K214">
        <v>0</v>
      </c>
      <c r="L214">
        <f>IF(M214,TRUE,AND(P214:S214))</f>
        <v>0</v>
      </c>
      <c r="M214">
        <f>COUNTBLANK(metadata!B214:E214)=COLUMNS(metadata!B214:E214)</f>
        <v>0</v>
      </c>
      <c r="N214">
        <v>0</v>
      </c>
      <c r="P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Q214">
        <f>AND(IF(metadata!C214="",FALSE,TRUE),exact(metadata!C214,"other"))</f>
        <v>0</v>
      </c>
      <c r="R214">
        <f>AND(IF(metadata!D214="",FALSE,TRUE),exact(metadata!D214,"metagenome"))</f>
        <v>0</v>
      </c>
      <c r="S214">
        <f>AND(IF(metadata!E214="",FALSE,TRUE),exact(metadata!E214,"256318"))</f>
        <v>0</v>
      </c>
    </row>
    <row r="215" spans="1:19">
      <c r="A215" s="4">
        <f>IF(B215=" "," ",HYPERLINK(CONCATENATE("#metadata!",ADDRESS(INDEX($K$2:$K$1001,MATCH(ROWS($I$2:I215),$I$2:$I$1001,0),0),1)),INDEX($N$2:$N$1001,MATCH(ROWS($I$2:I215),$I$2:$I$1001,0),0)))</f>
        <v>0</v>
      </c>
      <c r="B215" s="3">
        <f>IF(OR(INDEX($J$2:$J$1001,MATCH(ROWS($I$2:I215),$I$2:$I$1001,0),1)&gt;=100000,INDEX($P$1005:$S$1005,1,MATCH(COLUMNS($P$1006:P1006),$P$1006:$S$1006,0))&gt;=100000), " ",IF(INDEX($P$2:$S$1001,MATCH(ROWS($I$2:I215),$I$2:$I$1001,0),MATCH(COLUMNS($P$1006:P1006),$P$1006:$S$1006,0)), HYPERLINK("#",""), HYPERLINK(CONCATENATE("#metadata!", ADDRESS(INDEX($K$2:$K$1001,MATCH(ROWS($I$2:I215),$I$2:$I$1001,0),0), INDEX($P$1004:$S$1004,1,MATCH(COLUMNS($P$1006:P1006),$P$1006:$S$1006,0)))),"Fix")))</f>
        <v>0</v>
      </c>
      <c r="C215" s="3">
        <f>IF(OR(INDEX($J$2:$J$1001,MATCH(ROWS($I$2:I215),$I$2:$I$1001,0),1)&gt;=100000,INDEX($P$1005:$S$1005,1,MATCH(COLUMNS($P$1006:Q1006),$P$1006:$S$1006,0))&gt;=100000), " ",IF(INDEX($P$2:$S$1001,MATCH(ROWS($I$2:I215),$I$2:$I$1001,0),MATCH(COLUMNS($P$1006:Q1006),$P$1006:$S$1006,0)), HYPERLINK("#",""), HYPERLINK(CONCATENATE("#metadata!", ADDRESS(INDEX($K$2:$K$1001,MATCH(ROWS($I$2:I215),$I$2:$I$1001,0),0), INDEX($P$1004:$S$1004,1,MATCH(COLUMNS($P$1006:Q1006),$P$1006:$S$1006,0)))),"Fix")))</f>
        <v>0</v>
      </c>
      <c r="D215" s="3">
        <f>IF(OR(INDEX($J$2:$J$1001,MATCH(ROWS($I$2:I215),$I$2:$I$1001,0),1)&gt;=100000,INDEX($P$1005:$S$1005,1,MATCH(COLUMNS($P$1006:R1006),$P$1006:$S$1006,0))&gt;=100000), " ",IF(INDEX($P$2:$S$1001,MATCH(ROWS($I$2:I215),$I$2:$I$1001,0),MATCH(COLUMNS($P$1006:R1006),$P$1006:$S$1006,0)), HYPERLINK("#",""), HYPERLINK(CONCATENATE("#metadata!", ADDRESS(INDEX($K$2:$K$1001,MATCH(ROWS($I$2:I215),$I$2:$I$1001,0),0), INDEX($P$1004:$S$1004,1,MATCH(COLUMNS($P$1006:R1006),$P$1006:$S$1006,0)))),"Fix")))</f>
        <v>0</v>
      </c>
      <c r="E215" s="3">
        <f>IF(OR(INDEX($J$2:$J$1001,MATCH(ROWS($I$2:I215),$I$2:$I$1001,0),1)&gt;=100000,INDEX($P$1005:$S$1005,1,MATCH(COLUMNS($P$1006:S1006),$P$1006:$S$1006,0))&gt;=100000), " ",IF(INDEX($P$2:$S$1001,MATCH(ROWS($I$2:I215),$I$2:$I$1001,0),MATCH(COLUMNS($P$1006:S1006),$P$1006:$S$1006,0)), HYPERLINK("#",""), HYPERLINK(CONCATENATE("#metadata!", ADDRESS(INDEX($K$2:$K$1001,MATCH(ROWS($I$2:I215),$I$2:$I$1001,0),0), INDEX($P$1004:$S$1004,1,MATCH(COLUMNS($P$1006:S1006),$P$1006:$S$1006,0)))),"Fix")))</f>
        <v>0</v>
      </c>
      <c r="I215">
        <v>0</v>
      </c>
      <c r="J215">
        <v>0</v>
      </c>
      <c r="K215">
        <v>0</v>
      </c>
      <c r="L215">
        <f>IF(M215,TRUE,AND(P215:S215))</f>
        <v>0</v>
      </c>
      <c r="M215">
        <f>COUNTBLANK(metadata!B215:E215)=COLUMNS(metadata!B215:E215)</f>
        <v>0</v>
      </c>
      <c r="N215">
        <v>0</v>
      </c>
      <c r="P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Q215">
        <f>AND(IF(metadata!C215="",FALSE,TRUE),exact(metadata!C215,"other"))</f>
        <v>0</v>
      </c>
      <c r="R215">
        <f>AND(IF(metadata!D215="",FALSE,TRUE),exact(metadata!D215,"metagenome"))</f>
        <v>0</v>
      </c>
      <c r="S215">
        <f>AND(IF(metadata!E215="",FALSE,TRUE),exact(metadata!E215,"256318"))</f>
        <v>0</v>
      </c>
    </row>
    <row r="216" spans="1:19">
      <c r="A216" s="4">
        <f>IF(B216=" "," ",HYPERLINK(CONCATENATE("#metadata!",ADDRESS(INDEX($K$2:$K$1001,MATCH(ROWS($I$2:I216),$I$2:$I$1001,0),0),1)),INDEX($N$2:$N$1001,MATCH(ROWS($I$2:I216),$I$2:$I$1001,0),0)))</f>
        <v>0</v>
      </c>
      <c r="B216" s="3">
        <f>IF(OR(INDEX($J$2:$J$1001,MATCH(ROWS($I$2:I216),$I$2:$I$1001,0),1)&gt;=100000,INDEX($P$1005:$S$1005,1,MATCH(COLUMNS($P$1006:P1006),$P$1006:$S$1006,0))&gt;=100000), " ",IF(INDEX($P$2:$S$1001,MATCH(ROWS($I$2:I216),$I$2:$I$1001,0),MATCH(COLUMNS($P$1006:P1006),$P$1006:$S$1006,0)), HYPERLINK("#",""), HYPERLINK(CONCATENATE("#metadata!", ADDRESS(INDEX($K$2:$K$1001,MATCH(ROWS($I$2:I216),$I$2:$I$1001,0),0), INDEX($P$1004:$S$1004,1,MATCH(COLUMNS($P$1006:P1006),$P$1006:$S$1006,0)))),"Fix")))</f>
        <v>0</v>
      </c>
      <c r="C216" s="3">
        <f>IF(OR(INDEX($J$2:$J$1001,MATCH(ROWS($I$2:I216),$I$2:$I$1001,0),1)&gt;=100000,INDEX($P$1005:$S$1005,1,MATCH(COLUMNS($P$1006:Q1006),$P$1006:$S$1006,0))&gt;=100000), " ",IF(INDEX($P$2:$S$1001,MATCH(ROWS($I$2:I216),$I$2:$I$1001,0),MATCH(COLUMNS($P$1006:Q1006),$P$1006:$S$1006,0)), HYPERLINK("#",""), HYPERLINK(CONCATENATE("#metadata!", ADDRESS(INDEX($K$2:$K$1001,MATCH(ROWS($I$2:I216),$I$2:$I$1001,0),0), INDEX($P$1004:$S$1004,1,MATCH(COLUMNS($P$1006:Q1006),$P$1006:$S$1006,0)))),"Fix")))</f>
        <v>0</v>
      </c>
      <c r="D216" s="3">
        <f>IF(OR(INDEX($J$2:$J$1001,MATCH(ROWS($I$2:I216),$I$2:$I$1001,0),1)&gt;=100000,INDEX($P$1005:$S$1005,1,MATCH(COLUMNS($P$1006:R1006),$P$1006:$S$1006,0))&gt;=100000), " ",IF(INDEX($P$2:$S$1001,MATCH(ROWS($I$2:I216),$I$2:$I$1001,0),MATCH(COLUMNS($P$1006:R1006),$P$1006:$S$1006,0)), HYPERLINK("#",""), HYPERLINK(CONCATENATE("#metadata!", ADDRESS(INDEX($K$2:$K$1001,MATCH(ROWS($I$2:I216),$I$2:$I$1001,0),0), INDEX($P$1004:$S$1004,1,MATCH(COLUMNS($P$1006:R1006),$P$1006:$S$1006,0)))),"Fix")))</f>
        <v>0</v>
      </c>
      <c r="E216" s="3">
        <f>IF(OR(INDEX($J$2:$J$1001,MATCH(ROWS($I$2:I216),$I$2:$I$1001,0),1)&gt;=100000,INDEX($P$1005:$S$1005,1,MATCH(COLUMNS($P$1006:S1006),$P$1006:$S$1006,0))&gt;=100000), " ",IF(INDEX($P$2:$S$1001,MATCH(ROWS($I$2:I216),$I$2:$I$1001,0),MATCH(COLUMNS($P$1006:S1006),$P$1006:$S$1006,0)), HYPERLINK("#",""), HYPERLINK(CONCATENATE("#metadata!", ADDRESS(INDEX($K$2:$K$1001,MATCH(ROWS($I$2:I216),$I$2:$I$1001,0),0), INDEX($P$1004:$S$1004,1,MATCH(COLUMNS($P$1006:S1006),$P$1006:$S$1006,0)))),"Fix")))</f>
        <v>0</v>
      </c>
      <c r="I216">
        <v>0</v>
      </c>
      <c r="J216">
        <v>0</v>
      </c>
      <c r="K216">
        <v>0</v>
      </c>
      <c r="L216">
        <f>IF(M216,TRUE,AND(P216:S216))</f>
        <v>0</v>
      </c>
      <c r="M216">
        <f>COUNTBLANK(metadata!B216:E216)=COLUMNS(metadata!B216:E216)</f>
        <v>0</v>
      </c>
      <c r="N216">
        <v>0</v>
      </c>
      <c r="P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Q216">
        <f>AND(IF(metadata!C216="",FALSE,TRUE),exact(metadata!C216,"other"))</f>
        <v>0</v>
      </c>
      <c r="R216">
        <f>AND(IF(metadata!D216="",FALSE,TRUE),exact(metadata!D216,"metagenome"))</f>
        <v>0</v>
      </c>
      <c r="S216">
        <f>AND(IF(metadata!E216="",FALSE,TRUE),exact(metadata!E216,"256318"))</f>
        <v>0</v>
      </c>
    </row>
    <row r="217" spans="1:19">
      <c r="A217" s="4">
        <f>IF(B217=" "," ",HYPERLINK(CONCATENATE("#metadata!",ADDRESS(INDEX($K$2:$K$1001,MATCH(ROWS($I$2:I217),$I$2:$I$1001,0),0),1)),INDEX($N$2:$N$1001,MATCH(ROWS($I$2:I217),$I$2:$I$1001,0),0)))</f>
        <v>0</v>
      </c>
      <c r="B217" s="3">
        <f>IF(OR(INDEX($J$2:$J$1001,MATCH(ROWS($I$2:I217),$I$2:$I$1001,0),1)&gt;=100000,INDEX($P$1005:$S$1005,1,MATCH(COLUMNS($P$1006:P1006),$P$1006:$S$1006,0))&gt;=100000), " ",IF(INDEX($P$2:$S$1001,MATCH(ROWS($I$2:I217),$I$2:$I$1001,0),MATCH(COLUMNS($P$1006:P1006),$P$1006:$S$1006,0)), HYPERLINK("#",""), HYPERLINK(CONCATENATE("#metadata!", ADDRESS(INDEX($K$2:$K$1001,MATCH(ROWS($I$2:I217),$I$2:$I$1001,0),0), INDEX($P$1004:$S$1004,1,MATCH(COLUMNS($P$1006:P1006),$P$1006:$S$1006,0)))),"Fix")))</f>
        <v>0</v>
      </c>
      <c r="C217" s="3">
        <f>IF(OR(INDEX($J$2:$J$1001,MATCH(ROWS($I$2:I217),$I$2:$I$1001,0),1)&gt;=100000,INDEX($P$1005:$S$1005,1,MATCH(COLUMNS($P$1006:Q1006),$P$1006:$S$1006,0))&gt;=100000), " ",IF(INDEX($P$2:$S$1001,MATCH(ROWS($I$2:I217),$I$2:$I$1001,0),MATCH(COLUMNS($P$1006:Q1006),$P$1006:$S$1006,0)), HYPERLINK("#",""), HYPERLINK(CONCATENATE("#metadata!", ADDRESS(INDEX($K$2:$K$1001,MATCH(ROWS($I$2:I217),$I$2:$I$1001,0),0), INDEX($P$1004:$S$1004,1,MATCH(COLUMNS($P$1006:Q1006),$P$1006:$S$1006,0)))),"Fix")))</f>
        <v>0</v>
      </c>
      <c r="D217" s="3">
        <f>IF(OR(INDEX($J$2:$J$1001,MATCH(ROWS($I$2:I217),$I$2:$I$1001,0),1)&gt;=100000,INDEX($P$1005:$S$1005,1,MATCH(COLUMNS($P$1006:R1006),$P$1006:$S$1006,0))&gt;=100000), " ",IF(INDEX($P$2:$S$1001,MATCH(ROWS($I$2:I217),$I$2:$I$1001,0),MATCH(COLUMNS($P$1006:R1006),$P$1006:$S$1006,0)), HYPERLINK("#",""), HYPERLINK(CONCATENATE("#metadata!", ADDRESS(INDEX($K$2:$K$1001,MATCH(ROWS($I$2:I217),$I$2:$I$1001,0),0), INDEX($P$1004:$S$1004,1,MATCH(COLUMNS($P$1006:R1006),$P$1006:$S$1006,0)))),"Fix")))</f>
        <v>0</v>
      </c>
      <c r="E217" s="3">
        <f>IF(OR(INDEX($J$2:$J$1001,MATCH(ROWS($I$2:I217),$I$2:$I$1001,0),1)&gt;=100000,INDEX($P$1005:$S$1005,1,MATCH(COLUMNS($P$1006:S1006),$P$1006:$S$1006,0))&gt;=100000), " ",IF(INDEX($P$2:$S$1001,MATCH(ROWS($I$2:I217),$I$2:$I$1001,0),MATCH(COLUMNS($P$1006:S1006),$P$1006:$S$1006,0)), HYPERLINK("#",""), HYPERLINK(CONCATENATE("#metadata!", ADDRESS(INDEX($K$2:$K$1001,MATCH(ROWS($I$2:I217),$I$2:$I$1001,0),0), INDEX($P$1004:$S$1004,1,MATCH(COLUMNS($P$1006:S1006),$P$1006:$S$1006,0)))),"Fix")))</f>
        <v>0</v>
      </c>
      <c r="I217">
        <v>0</v>
      </c>
      <c r="J217">
        <v>0</v>
      </c>
      <c r="K217">
        <v>0</v>
      </c>
      <c r="L217">
        <f>IF(M217,TRUE,AND(P217:S217))</f>
        <v>0</v>
      </c>
      <c r="M217">
        <f>COUNTBLANK(metadata!B217:E217)=COLUMNS(metadata!B217:E217)</f>
        <v>0</v>
      </c>
      <c r="N217">
        <v>0</v>
      </c>
      <c r="P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Q217">
        <f>AND(IF(metadata!C217="",FALSE,TRUE),exact(metadata!C217,"other"))</f>
        <v>0</v>
      </c>
      <c r="R217">
        <f>AND(IF(metadata!D217="",FALSE,TRUE),exact(metadata!D217,"metagenome"))</f>
        <v>0</v>
      </c>
      <c r="S217">
        <f>AND(IF(metadata!E217="",FALSE,TRUE),exact(metadata!E217,"256318"))</f>
        <v>0</v>
      </c>
    </row>
    <row r="218" spans="1:19">
      <c r="A218" s="4">
        <f>IF(B218=" "," ",HYPERLINK(CONCATENATE("#metadata!",ADDRESS(INDEX($K$2:$K$1001,MATCH(ROWS($I$2:I218),$I$2:$I$1001,0),0),1)),INDEX($N$2:$N$1001,MATCH(ROWS($I$2:I218),$I$2:$I$1001,0),0)))</f>
        <v>0</v>
      </c>
      <c r="B218" s="3">
        <f>IF(OR(INDEX($J$2:$J$1001,MATCH(ROWS($I$2:I218),$I$2:$I$1001,0),1)&gt;=100000,INDEX($P$1005:$S$1005,1,MATCH(COLUMNS($P$1006:P1006),$P$1006:$S$1006,0))&gt;=100000), " ",IF(INDEX($P$2:$S$1001,MATCH(ROWS($I$2:I218),$I$2:$I$1001,0),MATCH(COLUMNS($P$1006:P1006),$P$1006:$S$1006,0)), HYPERLINK("#",""), HYPERLINK(CONCATENATE("#metadata!", ADDRESS(INDEX($K$2:$K$1001,MATCH(ROWS($I$2:I218),$I$2:$I$1001,0),0), INDEX($P$1004:$S$1004,1,MATCH(COLUMNS($P$1006:P1006),$P$1006:$S$1006,0)))),"Fix")))</f>
        <v>0</v>
      </c>
      <c r="C218" s="3">
        <f>IF(OR(INDEX($J$2:$J$1001,MATCH(ROWS($I$2:I218),$I$2:$I$1001,0),1)&gt;=100000,INDEX($P$1005:$S$1005,1,MATCH(COLUMNS($P$1006:Q1006),$P$1006:$S$1006,0))&gt;=100000), " ",IF(INDEX($P$2:$S$1001,MATCH(ROWS($I$2:I218),$I$2:$I$1001,0),MATCH(COLUMNS($P$1006:Q1006),$P$1006:$S$1006,0)), HYPERLINK("#",""), HYPERLINK(CONCATENATE("#metadata!", ADDRESS(INDEX($K$2:$K$1001,MATCH(ROWS($I$2:I218),$I$2:$I$1001,0),0), INDEX($P$1004:$S$1004,1,MATCH(COLUMNS($P$1006:Q1006),$P$1006:$S$1006,0)))),"Fix")))</f>
        <v>0</v>
      </c>
      <c r="D218" s="3">
        <f>IF(OR(INDEX($J$2:$J$1001,MATCH(ROWS($I$2:I218),$I$2:$I$1001,0),1)&gt;=100000,INDEX($P$1005:$S$1005,1,MATCH(COLUMNS($P$1006:R1006),$P$1006:$S$1006,0))&gt;=100000), " ",IF(INDEX($P$2:$S$1001,MATCH(ROWS($I$2:I218),$I$2:$I$1001,0),MATCH(COLUMNS($P$1006:R1006),$P$1006:$S$1006,0)), HYPERLINK("#",""), HYPERLINK(CONCATENATE("#metadata!", ADDRESS(INDEX($K$2:$K$1001,MATCH(ROWS($I$2:I218),$I$2:$I$1001,0),0), INDEX($P$1004:$S$1004,1,MATCH(COLUMNS($P$1006:R1006),$P$1006:$S$1006,0)))),"Fix")))</f>
        <v>0</v>
      </c>
      <c r="E218" s="3">
        <f>IF(OR(INDEX($J$2:$J$1001,MATCH(ROWS($I$2:I218),$I$2:$I$1001,0),1)&gt;=100000,INDEX($P$1005:$S$1005,1,MATCH(COLUMNS($P$1006:S1006),$P$1006:$S$1006,0))&gt;=100000), " ",IF(INDEX($P$2:$S$1001,MATCH(ROWS($I$2:I218),$I$2:$I$1001,0),MATCH(COLUMNS($P$1006:S1006),$P$1006:$S$1006,0)), HYPERLINK("#",""), HYPERLINK(CONCATENATE("#metadata!", ADDRESS(INDEX($K$2:$K$1001,MATCH(ROWS($I$2:I218),$I$2:$I$1001,0),0), INDEX($P$1004:$S$1004,1,MATCH(COLUMNS($P$1006:S1006),$P$1006:$S$1006,0)))),"Fix")))</f>
        <v>0</v>
      </c>
      <c r="I218">
        <v>0</v>
      </c>
      <c r="J218">
        <v>0</v>
      </c>
      <c r="K218">
        <v>0</v>
      </c>
      <c r="L218">
        <f>IF(M218,TRUE,AND(P218:S218))</f>
        <v>0</v>
      </c>
      <c r="M218">
        <f>COUNTBLANK(metadata!B218:E218)=COLUMNS(metadata!B218:E218)</f>
        <v>0</v>
      </c>
      <c r="N218">
        <v>0</v>
      </c>
      <c r="P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Q218">
        <f>AND(IF(metadata!C218="",FALSE,TRUE),exact(metadata!C218,"other"))</f>
        <v>0</v>
      </c>
      <c r="R218">
        <f>AND(IF(metadata!D218="",FALSE,TRUE),exact(metadata!D218,"metagenome"))</f>
        <v>0</v>
      </c>
      <c r="S218">
        <f>AND(IF(metadata!E218="",FALSE,TRUE),exact(metadata!E218,"256318"))</f>
        <v>0</v>
      </c>
    </row>
    <row r="219" spans="1:19">
      <c r="A219" s="4">
        <f>IF(B219=" "," ",HYPERLINK(CONCATENATE("#metadata!",ADDRESS(INDEX($K$2:$K$1001,MATCH(ROWS($I$2:I219),$I$2:$I$1001,0),0),1)),INDEX($N$2:$N$1001,MATCH(ROWS($I$2:I219),$I$2:$I$1001,0),0)))</f>
        <v>0</v>
      </c>
      <c r="B219" s="3">
        <f>IF(OR(INDEX($J$2:$J$1001,MATCH(ROWS($I$2:I219),$I$2:$I$1001,0),1)&gt;=100000,INDEX($P$1005:$S$1005,1,MATCH(COLUMNS($P$1006:P1006),$P$1006:$S$1006,0))&gt;=100000), " ",IF(INDEX($P$2:$S$1001,MATCH(ROWS($I$2:I219),$I$2:$I$1001,0),MATCH(COLUMNS($P$1006:P1006),$P$1006:$S$1006,0)), HYPERLINK("#",""), HYPERLINK(CONCATENATE("#metadata!", ADDRESS(INDEX($K$2:$K$1001,MATCH(ROWS($I$2:I219),$I$2:$I$1001,0),0), INDEX($P$1004:$S$1004,1,MATCH(COLUMNS($P$1006:P1006),$P$1006:$S$1006,0)))),"Fix")))</f>
        <v>0</v>
      </c>
      <c r="C219" s="3">
        <f>IF(OR(INDEX($J$2:$J$1001,MATCH(ROWS($I$2:I219),$I$2:$I$1001,0),1)&gt;=100000,INDEX($P$1005:$S$1005,1,MATCH(COLUMNS($P$1006:Q1006),$P$1006:$S$1006,0))&gt;=100000), " ",IF(INDEX($P$2:$S$1001,MATCH(ROWS($I$2:I219),$I$2:$I$1001,0),MATCH(COLUMNS($P$1006:Q1006),$P$1006:$S$1006,0)), HYPERLINK("#",""), HYPERLINK(CONCATENATE("#metadata!", ADDRESS(INDEX($K$2:$K$1001,MATCH(ROWS($I$2:I219),$I$2:$I$1001,0),0), INDEX($P$1004:$S$1004,1,MATCH(COLUMNS($P$1006:Q1006),$P$1006:$S$1006,0)))),"Fix")))</f>
        <v>0</v>
      </c>
      <c r="D219" s="3">
        <f>IF(OR(INDEX($J$2:$J$1001,MATCH(ROWS($I$2:I219),$I$2:$I$1001,0),1)&gt;=100000,INDEX($P$1005:$S$1005,1,MATCH(COLUMNS($P$1006:R1006),$P$1006:$S$1006,0))&gt;=100000), " ",IF(INDEX($P$2:$S$1001,MATCH(ROWS($I$2:I219),$I$2:$I$1001,0),MATCH(COLUMNS($P$1006:R1006),$P$1006:$S$1006,0)), HYPERLINK("#",""), HYPERLINK(CONCATENATE("#metadata!", ADDRESS(INDEX($K$2:$K$1001,MATCH(ROWS($I$2:I219),$I$2:$I$1001,0),0), INDEX($P$1004:$S$1004,1,MATCH(COLUMNS($P$1006:R1006),$P$1006:$S$1006,0)))),"Fix")))</f>
        <v>0</v>
      </c>
      <c r="E219" s="3">
        <f>IF(OR(INDEX($J$2:$J$1001,MATCH(ROWS($I$2:I219),$I$2:$I$1001,0),1)&gt;=100000,INDEX($P$1005:$S$1005,1,MATCH(COLUMNS($P$1006:S1006),$P$1006:$S$1006,0))&gt;=100000), " ",IF(INDEX($P$2:$S$1001,MATCH(ROWS($I$2:I219),$I$2:$I$1001,0),MATCH(COLUMNS($P$1006:S1006),$P$1006:$S$1006,0)), HYPERLINK("#",""), HYPERLINK(CONCATENATE("#metadata!", ADDRESS(INDEX($K$2:$K$1001,MATCH(ROWS($I$2:I219),$I$2:$I$1001,0),0), INDEX($P$1004:$S$1004,1,MATCH(COLUMNS($P$1006:S1006),$P$1006:$S$1006,0)))),"Fix")))</f>
        <v>0</v>
      </c>
      <c r="I219">
        <v>0</v>
      </c>
      <c r="J219">
        <v>0</v>
      </c>
      <c r="K219">
        <v>0</v>
      </c>
      <c r="L219">
        <f>IF(M219,TRUE,AND(P219:S219))</f>
        <v>0</v>
      </c>
      <c r="M219">
        <f>COUNTBLANK(metadata!B219:E219)=COLUMNS(metadata!B219:E219)</f>
        <v>0</v>
      </c>
      <c r="N219">
        <v>0</v>
      </c>
      <c r="P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Q219">
        <f>AND(IF(metadata!C219="",FALSE,TRUE),exact(metadata!C219,"other"))</f>
        <v>0</v>
      </c>
      <c r="R219">
        <f>AND(IF(metadata!D219="",FALSE,TRUE),exact(metadata!D219,"metagenome"))</f>
        <v>0</v>
      </c>
      <c r="S219">
        <f>AND(IF(metadata!E219="",FALSE,TRUE),exact(metadata!E219,"256318"))</f>
        <v>0</v>
      </c>
    </row>
    <row r="220" spans="1:19">
      <c r="A220" s="4">
        <f>IF(B220=" "," ",HYPERLINK(CONCATENATE("#metadata!",ADDRESS(INDEX($K$2:$K$1001,MATCH(ROWS($I$2:I220),$I$2:$I$1001,0),0),1)),INDEX($N$2:$N$1001,MATCH(ROWS($I$2:I220),$I$2:$I$1001,0),0)))</f>
        <v>0</v>
      </c>
      <c r="B220" s="3">
        <f>IF(OR(INDEX($J$2:$J$1001,MATCH(ROWS($I$2:I220),$I$2:$I$1001,0),1)&gt;=100000,INDEX($P$1005:$S$1005,1,MATCH(COLUMNS($P$1006:P1006),$P$1006:$S$1006,0))&gt;=100000), " ",IF(INDEX($P$2:$S$1001,MATCH(ROWS($I$2:I220),$I$2:$I$1001,0),MATCH(COLUMNS($P$1006:P1006),$P$1006:$S$1006,0)), HYPERLINK("#",""), HYPERLINK(CONCATENATE("#metadata!", ADDRESS(INDEX($K$2:$K$1001,MATCH(ROWS($I$2:I220),$I$2:$I$1001,0),0), INDEX($P$1004:$S$1004,1,MATCH(COLUMNS($P$1006:P1006),$P$1006:$S$1006,0)))),"Fix")))</f>
        <v>0</v>
      </c>
      <c r="C220" s="3">
        <f>IF(OR(INDEX($J$2:$J$1001,MATCH(ROWS($I$2:I220),$I$2:$I$1001,0),1)&gt;=100000,INDEX($P$1005:$S$1005,1,MATCH(COLUMNS($P$1006:Q1006),$P$1006:$S$1006,0))&gt;=100000), " ",IF(INDEX($P$2:$S$1001,MATCH(ROWS($I$2:I220),$I$2:$I$1001,0),MATCH(COLUMNS($P$1006:Q1006),$P$1006:$S$1006,0)), HYPERLINK("#",""), HYPERLINK(CONCATENATE("#metadata!", ADDRESS(INDEX($K$2:$K$1001,MATCH(ROWS($I$2:I220),$I$2:$I$1001,0),0), INDEX($P$1004:$S$1004,1,MATCH(COLUMNS($P$1006:Q1006),$P$1006:$S$1006,0)))),"Fix")))</f>
        <v>0</v>
      </c>
      <c r="D220" s="3">
        <f>IF(OR(INDEX($J$2:$J$1001,MATCH(ROWS($I$2:I220),$I$2:$I$1001,0),1)&gt;=100000,INDEX($P$1005:$S$1005,1,MATCH(COLUMNS($P$1006:R1006),$P$1006:$S$1006,0))&gt;=100000), " ",IF(INDEX($P$2:$S$1001,MATCH(ROWS($I$2:I220),$I$2:$I$1001,0),MATCH(COLUMNS($P$1006:R1006),$P$1006:$S$1006,0)), HYPERLINK("#",""), HYPERLINK(CONCATENATE("#metadata!", ADDRESS(INDEX($K$2:$K$1001,MATCH(ROWS($I$2:I220),$I$2:$I$1001,0),0), INDEX($P$1004:$S$1004,1,MATCH(COLUMNS($P$1006:R1006),$P$1006:$S$1006,0)))),"Fix")))</f>
        <v>0</v>
      </c>
      <c r="E220" s="3">
        <f>IF(OR(INDEX($J$2:$J$1001,MATCH(ROWS($I$2:I220),$I$2:$I$1001,0),1)&gt;=100000,INDEX($P$1005:$S$1005,1,MATCH(COLUMNS($P$1006:S1006),$P$1006:$S$1006,0))&gt;=100000), " ",IF(INDEX($P$2:$S$1001,MATCH(ROWS($I$2:I220),$I$2:$I$1001,0),MATCH(COLUMNS($P$1006:S1006),$P$1006:$S$1006,0)), HYPERLINK("#",""), HYPERLINK(CONCATENATE("#metadata!", ADDRESS(INDEX($K$2:$K$1001,MATCH(ROWS($I$2:I220),$I$2:$I$1001,0),0), INDEX($P$1004:$S$1004,1,MATCH(COLUMNS($P$1006:S1006),$P$1006:$S$1006,0)))),"Fix")))</f>
        <v>0</v>
      </c>
      <c r="I220">
        <v>0</v>
      </c>
      <c r="J220">
        <v>0</v>
      </c>
      <c r="K220">
        <v>0</v>
      </c>
      <c r="L220">
        <f>IF(M220,TRUE,AND(P220:S220))</f>
        <v>0</v>
      </c>
      <c r="M220">
        <f>COUNTBLANK(metadata!B220:E220)=COLUMNS(metadata!B220:E220)</f>
        <v>0</v>
      </c>
      <c r="N220">
        <v>0</v>
      </c>
      <c r="P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Q220">
        <f>AND(IF(metadata!C220="",FALSE,TRUE),exact(metadata!C220,"other"))</f>
        <v>0</v>
      </c>
      <c r="R220">
        <f>AND(IF(metadata!D220="",FALSE,TRUE),exact(metadata!D220,"metagenome"))</f>
        <v>0</v>
      </c>
      <c r="S220">
        <f>AND(IF(metadata!E220="",FALSE,TRUE),exact(metadata!E220,"256318"))</f>
        <v>0</v>
      </c>
    </row>
    <row r="221" spans="1:19">
      <c r="A221" s="4">
        <f>IF(B221=" "," ",HYPERLINK(CONCATENATE("#metadata!",ADDRESS(INDEX($K$2:$K$1001,MATCH(ROWS($I$2:I221),$I$2:$I$1001,0),0),1)),INDEX($N$2:$N$1001,MATCH(ROWS($I$2:I221),$I$2:$I$1001,0),0)))</f>
        <v>0</v>
      </c>
      <c r="B221" s="3">
        <f>IF(OR(INDEX($J$2:$J$1001,MATCH(ROWS($I$2:I221),$I$2:$I$1001,0),1)&gt;=100000,INDEX($P$1005:$S$1005,1,MATCH(COLUMNS($P$1006:P1006),$P$1006:$S$1006,0))&gt;=100000), " ",IF(INDEX($P$2:$S$1001,MATCH(ROWS($I$2:I221),$I$2:$I$1001,0),MATCH(COLUMNS($P$1006:P1006),$P$1006:$S$1006,0)), HYPERLINK("#",""), HYPERLINK(CONCATENATE("#metadata!", ADDRESS(INDEX($K$2:$K$1001,MATCH(ROWS($I$2:I221),$I$2:$I$1001,0),0), INDEX($P$1004:$S$1004,1,MATCH(COLUMNS($P$1006:P1006),$P$1006:$S$1006,0)))),"Fix")))</f>
        <v>0</v>
      </c>
      <c r="C221" s="3">
        <f>IF(OR(INDEX($J$2:$J$1001,MATCH(ROWS($I$2:I221),$I$2:$I$1001,0),1)&gt;=100000,INDEX($P$1005:$S$1005,1,MATCH(COLUMNS($P$1006:Q1006),$P$1006:$S$1006,0))&gt;=100000), " ",IF(INDEX($P$2:$S$1001,MATCH(ROWS($I$2:I221),$I$2:$I$1001,0),MATCH(COLUMNS($P$1006:Q1006),$P$1006:$S$1006,0)), HYPERLINK("#",""), HYPERLINK(CONCATENATE("#metadata!", ADDRESS(INDEX($K$2:$K$1001,MATCH(ROWS($I$2:I221),$I$2:$I$1001,0),0), INDEX($P$1004:$S$1004,1,MATCH(COLUMNS($P$1006:Q1006),$P$1006:$S$1006,0)))),"Fix")))</f>
        <v>0</v>
      </c>
      <c r="D221" s="3">
        <f>IF(OR(INDEX($J$2:$J$1001,MATCH(ROWS($I$2:I221),$I$2:$I$1001,0),1)&gt;=100000,INDEX($P$1005:$S$1005,1,MATCH(COLUMNS($P$1006:R1006),$P$1006:$S$1006,0))&gt;=100000), " ",IF(INDEX($P$2:$S$1001,MATCH(ROWS($I$2:I221),$I$2:$I$1001,0),MATCH(COLUMNS($P$1006:R1006),$P$1006:$S$1006,0)), HYPERLINK("#",""), HYPERLINK(CONCATENATE("#metadata!", ADDRESS(INDEX($K$2:$K$1001,MATCH(ROWS($I$2:I221),$I$2:$I$1001,0),0), INDEX($P$1004:$S$1004,1,MATCH(COLUMNS($P$1006:R1006),$P$1006:$S$1006,0)))),"Fix")))</f>
        <v>0</v>
      </c>
      <c r="E221" s="3">
        <f>IF(OR(INDEX($J$2:$J$1001,MATCH(ROWS($I$2:I221),$I$2:$I$1001,0),1)&gt;=100000,INDEX($P$1005:$S$1005,1,MATCH(COLUMNS($P$1006:S1006),$P$1006:$S$1006,0))&gt;=100000), " ",IF(INDEX($P$2:$S$1001,MATCH(ROWS($I$2:I221),$I$2:$I$1001,0),MATCH(COLUMNS($P$1006:S1006),$P$1006:$S$1006,0)), HYPERLINK("#",""), HYPERLINK(CONCATENATE("#metadata!", ADDRESS(INDEX($K$2:$K$1001,MATCH(ROWS($I$2:I221),$I$2:$I$1001,0),0), INDEX($P$1004:$S$1004,1,MATCH(COLUMNS($P$1006:S1006),$P$1006:$S$1006,0)))),"Fix")))</f>
        <v>0</v>
      </c>
      <c r="I221">
        <v>0</v>
      </c>
      <c r="J221">
        <v>0</v>
      </c>
      <c r="K221">
        <v>0</v>
      </c>
      <c r="L221">
        <f>IF(M221,TRUE,AND(P221:S221))</f>
        <v>0</v>
      </c>
      <c r="M221">
        <f>COUNTBLANK(metadata!B221:E221)=COLUMNS(metadata!B221:E221)</f>
        <v>0</v>
      </c>
      <c r="N221">
        <v>0</v>
      </c>
      <c r="P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Q221">
        <f>AND(IF(metadata!C221="",FALSE,TRUE),exact(metadata!C221,"other"))</f>
        <v>0</v>
      </c>
      <c r="R221">
        <f>AND(IF(metadata!D221="",FALSE,TRUE),exact(metadata!D221,"metagenome"))</f>
        <v>0</v>
      </c>
      <c r="S221">
        <f>AND(IF(metadata!E221="",FALSE,TRUE),exact(metadata!E221,"256318"))</f>
        <v>0</v>
      </c>
    </row>
    <row r="222" spans="1:19">
      <c r="A222" s="4">
        <f>IF(B222=" "," ",HYPERLINK(CONCATENATE("#metadata!",ADDRESS(INDEX($K$2:$K$1001,MATCH(ROWS($I$2:I222),$I$2:$I$1001,0),0),1)),INDEX($N$2:$N$1001,MATCH(ROWS($I$2:I222),$I$2:$I$1001,0),0)))</f>
        <v>0</v>
      </c>
      <c r="B222" s="3">
        <f>IF(OR(INDEX($J$2:$J$1001,MATCH(ROWS($I$2:I222),$I$2:$I$1001,0),1)&gt;=100000,INDEX($P$1005:$S$1005,1,MATCH(COLUMNS($P$1006:P1006),$P$1006:$S$1006,0))&gt;=100000), " ",IF(INDEX($P$2:$S$1001,MATCH(ROWS($I$2:I222),$I$2:$I$1001,0),MATCH(COLUMNS($P$1006:P1006),$P$1006:$S$1006,0)), HYPERLINK("#",""), HYPERLINK(CONCATENATE("#metadata!", ADDRESS(INDEX($K$2:$K$1001,MATCH(ROWS($I$2:I222),$I$2:$I$1001,0),0), INDEX($P$1004:$S$1004,1,MATCH(COLUMNS($P$1006:P1006),$P$1006:$S$1006,0)))),"Fix")))</f>
        <v>0</v>
      </c>
      <c r="C222" s="3">
        <f>IF(OR(INDEX($J$2:$J$1001,MATCH(ROWS($I$2:I222),$I$2:$I$1001,0),1)&gt;=100000,INDEX($P$1005:$S$1005,1,MATCH(COLUMNS($P$1006:Q1006),$P$1006:$S$1006,0))&gt;=100000), " ",IF(INDEX($P$2:$S$1001,MATCH(ROWS($I$2:I222),$I$2:$I$1001,0),MATCH(COLUMNS($P$1006:Q1006),$P$1006:$S$1006,0)), HYPERLINK("#",""), HYPERLINK(CONCATENATE("#metadata!", ADDRESS(INDEX($K$2:$K$1001,MATCH(ROWS($I$2:I222),$I$2:$I$1001,0),0), INDEX($P$1004:$S$1004,1,MATCH(COLUMNS($P$1006:Q1006),$P$1006:$S$1006,0)))),"Fix")))</f>
        <v>0</v>
      </c>
      <c r="D222" s="3">
        <f>IF(OR(INDEX($J$2:$J$1001,MATCH(ROWS($I$2:I222),$I$2:$I$1001,0),1)&gt;=100000,INDEX($P$1005:$S$1005,1,MATCH(COLUMNS($P$1006:R1006),$P$1006:$S$1006,0))&gt;=100000), " ",IF(INDEX($P$2:$S$1001,MATCH(ROWS($I$2:I222),$I$2:$I$1001,0),MATCH(COLUMNS($P$1006:R1006),$P$1006:$S$1006,0)), HYPERLINK("#",""), HYPERLINK(CONCATENATE("#metadata!", ADDRESS(INDEX($K$2:$K$1001,MATCH(ROWS($I$2:I222),$I$2:$I$1001,0),0), INDEX($P$1004:$S$1004,1,MATCH(COLUMNS($P$1006:R1006),$P$1006:$S$1006,0)))),"Fix")))</f>
        <v>0</v>
      </c>
      <c r="E222" s="3">
        <f>IF(OR(INDEX($J$2:$J$1001,MATCH(ROWS($I$2:I222),$I$2:$I$1001,0),1)&gt;=100000,INDEX($P$1005:$S$1005,1,MATCH(COLUMNS($P$1006:S1006),$P$1006:$S$1006,0))&gt;=100000), " ",IF(INDEX($P$2:$S$1001,MATCH(ROWS($I$2:I222),$I$2:$I$1001,0),MATCH(COLUMNS($P$1006:S1006),$P$1006:$S$1006,0)), HYPERLINK("#",""), HYPERLINK(CONCATENATE("#metadata!", ADDRESS(INDEX($K$2:$K$1001,MATCH(ROWS($I$2:I222),$I$2:$I$1001,0),0), INDEX($P$1004:$S$1004,1,MATCH(COLUMNS($P$1006:S1006),$P$1006:$S$1006,0)))),"Fix")))</f>
        <v>0</v>
      </c>
      <c r="I222">
        <v>0</v>
      </c>
      <c r="J222">
        <v>0</v>
      </c>
      <c r="K222">
        <v>0</v>
      </c>
      <c r="L222">
        <f>IF(M222,TRUE,AND(P222:S222))</f>
        <v>0</v>
      </c>
      <c r="M222">
        <f>COUNTBLANK(metadata!B222:E222)=COLUMNS(metadata!B222:E222)</f>
        <v>0</v>
      </c>
      <c r="N222">
        <v>0</v>
      </c>
      <c r="P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Q222">
        <f>AND(IF(metadata!C222="",FALSE,TRUE),exact(metadata!C222,"other"))</f>
        <v>0</v>
      </c>
      <c r="R222">
        <f>AND(IF(metadata!D222="",FALSE,TRUE),exact(metadata!D222,"metagenome"))</f>
        <v>0</v>
      </c>
      <c r="S222">
        <f>AND(IF(metadata!E222="",FALSE,TRUE),exact(metadata!E222,"256318"))</f>
        <v>0</v>
      </c>
    </row>
    <row r="223" spans="1:19">
      <c r="A223" s="4">
        <f>IF(B223=" "," ",HYPERLINK(CONCATENATE("#metadata!",ADDRESS(INDEX($K$2:$K$1001,MATCH(ROWS($I$2:I223),$I$2:$I$1001,0),0),1)),INDEX($N$2:$N$1001,MATCH(ROWS($I$2:I223),$I$2:$I$1001,0),0)))</f>
        <v>0</v>
      </c>
      <c r="B223" s="3">
        <f>IF(OR(INDEX($J$2:$J$1001,MATCH(ROWS($I$2:I223),$I$2:$I$1001,0),1)&gt;=100000,INDEX($P$1005:$S$1005,1,MATCH(COLUMNS($P$1006:P1006),$P$1006:$S$1006,0))&gt;=100000), " ",IF(INDEX($P$2:$S$1001,MATCH(ROWS($I$2:I223),$I$2:$I$1001,0),MATCH(COLUMNS($P$1006:P1006),$P$1006:$S$1006,0)), HYPERLINK("#",""), HYPERLINK(CONCATENATE("#metadata!", ADDRESS(INDEX($K$2:$K$1001,MATCH(ROWS($I$2:I223),$I$2:$I$1001,0),0), INDEX($P$1004:$S$1004,1,MATCH(COLUMNS($P$1006:P1006),$P$1006:$S$1006,0)))),"Fix")))</f>
        <v>0</v>
      </c>
      <c r="C223" s="3">
        <f>IF(OR(INDEX($J$2:$J$1001,MATCH(ROWS($I$2:I223),$I$2:$I$1001,0),1)&gt;=100000,INDEX($P$1005:$S$1005,1,MATCH(COLUMNS($P$1006:Q1006),$P$1006:$S$1006,0))&gt;=100000), " ",IF(INDEX($P$2:$S$1001,MATCH(ROWS($I$2:I223),$I$2:$I$1001,0),MATCH(COLUMNS($P$1006:Q1006),$P$1006:$S$1006,0)), HYPERLINK("#",""), HYPERLINK(CONCATENATE("#metadata!", ADDRESS(INDEX($K$2:$K$1001,MATCH(ROWS($I$2:I223),$I$2:$I$1001,0),0), INDEX($P$1004:$S$1004,1,MATCH(COLUMNS($P$1006:Q1006),$P$1006:$S$1006,0)))),"Fix")))</f>
        <v>0</v>
      </c>
      <c r="D223" s="3">
        <f>IF(OR(INDEX($J$2:$J$1001,MATCH(ROWS($I$2:I223),$I$2:$I$1001,0),1)&gt;=100000,INDEX($P$1005:$S$1005,1,MATCH(COLUMNS($P$1006:R1006),$P$1006:$S$1006,0))&gt;=100000), " ",IF(INDEX($P$2:$S$1001,MATCH(ROWS($I$2:I223),$I$2:$I$1001,0),MATCH(COLUMNS($P$1006:R1006),$P$1006:$S$1006,0)), HYPERLINK("#",""), HYPERLINK(CONCATENATE("#metadata!", ADDRESS(INDEX($K$2:$K$1001,MATCH(ROWS($I$2:I223),$I$2:$I$1001,0),0), INDEX($P$1004:$S$1004,1,MATCH(COLUMNS($P$1006:R1006),$P$1006:$S$1006,0)))),"Fix")))</f>
        <v>0</v>
      </c>
      <c r="E223" s="3">
        <f>IF(OR(INDEX($J$2:$J$1001,MATCH(ROWS($I$2:I223),$I$2:$I$1001,0),1)&gt;=100000,INDEX($P$1005:$S$1005,1,MATCH(COLUMNS($P$1006:S1006),$P$1006:$S$1006,0))&gt;=100000), " ",IF(INDEX($P$2:$S$1001,MATCH(ROWS($I$2:I223),$I$2:$I$1001,0),MATCH(COLUMNS($P$1006:S1006),$P$1006:$S$1006,0)), HYPERLINK("#",""), HYPERLINK(CONCATENATE("#metadata!", ADDRESS(INDEX($K$2:$K$1001,MATCH(ROWS($I$2:I223),$I$2:$I$1001,0),0), INDEX($P$1004:$S$1004,1,MATCH(COLUMNS($P$1006:S1006),$P$1006:$S$1006,0)))),"Fix")))</f>
        <v>0</v>
      </c>
      <c r="I223">
        <v>0</v>
      </c>
      <c r="J223">
        <v>0</v>
      </c>
      <c r="K223">
        <v>0</v>
      </c>
      <c r="L223">
        <f>IF(M223,TRUE,AND(P223:S223))</f>
        <v>0</v>
      </c>
      <c r="M223">
        <f>COUNTBLANK(metadata!B223:E223)=COLUMNS(metadata!B223:E223)</f>
        <v>0</v>
      </c>
      <c r="N223">
        <v>0</v>
      </c>
      <c r="P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Q223">
        <f>AND(IF(metadata!C223="",FALSE,TRUE),exact(metadata!C223,"other"))</f>
        <v>0</v>
      </c>
      <c r="R223">
        <f>AND(IF(metadata!D223="",FALSE,TRUE),exact(metadata!D223,"metagenome"))</f>
        <v>0</v>
      </c>
      <c r="S223">
        <f>AND(IF(metadata!E223="",FALSE,TRUE),exact(metadata!E223,"256318"))</f>
        <v>0</v>
      </c>
    </row>
    <row r="224" spans="1:19">
      <c r="A224" s="4">
        <f>IF(B224=" "," ",HYPERLINK(CONCATENATE("#metadata!",ADDRESS(INDEX($K$2:$K$1001,MATCH(ROWS($I$2:I224),$I$2:$I$1001,0),0),1)),INDEX($N$2:$N$1001,MATCH(ROWS($I$2:I224),$I$2:$I$1001,0),0)))</f>
        <v>0</v>
      </c>
      <c r="B224" s="3">
        <f>IF(OR(INDEX($J$2:$J$1001,MATCH(ROWS($I$2:I224),$I$2:$I$1001,0),1)&gt;=100000,INDEX($P$1005:$S$1005,1,MATCH(COLUMNS($P$1006:P1006),$P$1006:$S$1006,0))&gt;=100000), " ",IF(INDEX($P$2:$S$1001,MATCH(ROWS($I$2:I224),$I$2:$I$1001,0),MATCH(COLUMNS($P$1006:P1006),$P$1006:$S$1006,0)), HYPERLINK("#",""), HYPERLINK(CONCATENATE("#metadata!", ADDRESS(INDEX($K$2:$K$1001,MATCH(ROWS($I$2:I224),$I$2:$I$1001,0),0), INDEX($P$1004:$S$1004,1,MATCH(COLUMNS($P$1006:P1006),$P$1006:$S$1006,0)))),"Fix")))</f>
        <v>0</v>
      </c>
      <c r="C224" s="3">
        <f>IF(OR(INDEX($J$2:$J$1001,MATCH(ROWS($I$2:I224),$I$2:$I$1001,0),1)&gt;=100000,INDEX($P$1005:$S$1005,1,MATCH(COLUMNS($P$1006:Q1006),$P$1006:$S$1006,0))&gt;=100000), " ",IF(INDEX($P$2:$S$1001,MATCH(ROWS($I$2:I224),$I$2:$I$1001,0),MATCH(COLUMNS($P$1006:Q1006),$P$1006:$S$1006,0)), HYPERLINK("#",""), HYPERLINK(CONCATENATE("#metadata!", ADDRESS(INDEX($K$2:$K$1001,MATCH(ROWS($I$2:I224),$I$2:$I$1001,0),0), INDEX($P$1004:$S$1004,1,MATCH(COLUMNS($P$1006:Q1006),$P$1006:$S$1006,0)))),"Fix")))</f>
        <v>0</v>
      </c>
      <c r="D224" s="3">
        <f>IF(OR(INDEX($J$2:$J$1001,MATCH(ROWS($I$2:I224),$I$2:$I$1001,0),1)&gt;=100000,INDEX($P$1005:$S$1005,1,MATCH(COLUMNS($P$1006:R1006),$P$1006:$S$1006,0))&gt;=100000), " ",IF(INDEX($P$2:$S$1001,MATCH(ROWS($I$2:I224),$I$2:$I$1001,0),MATCH(COLUMNS($P$1006:R1006),$P$1006:$S$1006,0)), HYPERLINK("#",""), HYPERLINK(CONCATENATE("#metadata!", ADDRESS(INDEX($K$2:$K$1001,MATCH(ROWS($I$2:I224),$I$2:$I$1001,0),0), INDEX($P$1004:$S$1004,1,MATCH(COLUMNS($P$1006:R1006),$P$1006:$S$1006,0)))),"Fix")))</f>
        <v>0</v>
      </c>
      <c r="E224" s="3">
        <f>IF(OR(INDEX($J$2:$J$1001,MATCH(ROWS($I$2:I224),$I$2:$I$1001,0),1)&gt;=100000,INDEX($P$1005:$S$1005,1,MATCH(COLUMNS($P$1006:S1006),$P$1006:$S$1006,0))&gt;=100000), " ",IF(INDEX($P$2:$S$1001,MATCH(ROWS($I$2:I224),$I$2:$I$1001,0),MATCH(COLUMNS($P$1006:S1006),$P$1006:$S$1006,0)), HYPERLINK("#",""), HYPERLINK(CONCATENATE("#metadata!", ADDRESS(INDEX($K$2:$K$1001,MATCH(ROWS($I$2:I224),$I$2:$I$1001,0),0), INDEX($P$1004:$S$1004,1,MATCH(COLUMNS($P$1006:S1006),$P$1006:$S$1006,0)))),"Fix")))</f>
        <v>0</v>
      </c>
      <c r="I224">
        <v>0</v>
      </c>
      <c r="J224">
        <v>0</v>
      </c>
      <c r="K224">
        <v>0</v>
      </c>
      <c r="L224">
        <f>IF(M224,TRUE,AND(P224:S224))</f>
        <v>0</v>
      </c>
      <c r="M224">
        <f>COUNTBLANK(metadata!B224:E224)=COLUMNS(metadata!B224:E224)</f>
        <v>0</v>
      </c>
      <c r="N224">
        <v>0</v>
      </c>
      <c r="P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Q224">
        <f>AND(IF(metadata!C224="",FALSE,TRUE),exact(metadata!C224,"other"))</f>
        <v>0</v>
      </c>
      <c r="R224">
        <f>AND(IF(metadata!D224="",FALSE,TRUE),exact(metadata!D224,"metagenome"))</f>
        <v>0</v>
      </c>
      <c r="S224">
        <f>AND(IF(metadata!E224="",FALSE,TRUE),exact(metadata!E224,"256318"))</f>
        <v>0</v>
      </c>
    </row>
    <row r="225" spans="1:19">
      <c r="A225" s="4">
        <f>IF(B225=" "," ",HYPERLINK(CONCATENATE("#metadata!",ADDRESS(INDEX($K$2:$K$1001,MATCH(ROWS($I$2:I225),$I$2:$I$1001,0),0),1)),INDEX($N$2:$N$1001,MATCH(ROWS($I$2:I225),$I$2:$I$1001,0),0)))</f>
        <v>0</v>
      </c>
      <c r="B225" s="3">
        <f>IF(OR(INDEX($J$2:$J$1001,MATCH(ROWS($I$2:I225),$I$2:$I$1001,0),1)&gt;=100000,INDEX($P$1005:$S$1005,1,MATCH(COLUMNS($P$1006:P1006),$P$1006:$S$1006,0))&gt;=100000), " ",IF(INDEX($P$2:$S$1001,MATCH(ROWS($I$2:I225),$I$2:$I$1001,0),MATCH(COLUMNS($P$1006:P1006),$P$1006:$S$1006,0)), HYPERLINK("#",""), HYPERLINK(CONCATENATE("#metadata!", ADDRESS(INDEX($K$2:$K$1001,MATCH(ROWS($I$2:I225),$I$2:$I$1001,0),0), INDEX($P$1004:$S$1004,1,MATCH(COLUMNS($P$1006:P1006),$P$1006:$S$1006,0)))),"Fix")))</f>
        <v>0</v>
      </c>
      <c r="C225" s="3">
        <f>IF(OR(INDEX($J$2:$J$1001,MATCH(ROWS($I$2:I225),$I$2:$I$1001,0),1)&gt;=100000,INDEX($P$1005:$S$1005,1,MATCH(COLUMNS($P$1006:Q1006),$P$1006:$S$1006,0))&gt;=100000), " ",IF(INDEX($P$2:$S$1001,MATCH(ROWS($I$2:I225),$I$2:$I$1001,0),MATCH(COLUMNS($P$1006:Q1006),$P$1006:$S$1006,0)), HYPERLINK("#",""), HYPERLINK(CONCATENATE("#metadata!", ADDRESS(INDEX($K$2:$K$1001,MATCH(ROWS($I$2:I225),$I$2:$I$1001,0),0), INDEX($P$1004:$S$1004,1,MATCH(COLUMNS($P$1006:Q1006),$P$1006:$S$1006,0)))),"Fix")))</f>
        <v>0</v>
      </c>
      <c r="D225" s="3">
        <f>IF(OR(INDEX($J$2:$J$1001,MATCH(ROWS($I$2:I225),$I$2:$I$1001,0),1)&gt;=100000,INDEX($P$1005:$S$1005,1,MATCH(COLUMNS($P$1006:R1006),$P$1006:$S$1006,0))&gt;=100000), " ",IF(INDEX($P$2:$S$1001,MATCH(ROWS($I$2:I225),$I$2:$I$1001,0),MATCH(COLUMNS($P$1006:R1006),$P$1006:$S$1006,0)), HYPERLINK("#",""), HYPERLINK(CONCATENATE("#metadata!", ADDRESS(INDEX($K$2:$K$1001,MATCH(ROWS($I$2:I225),$I$2:$I$1001,0),0), INDEX($P$1004:$S$1004,1,MATCH(COLUMNS($P$1006:R1006),$P$1006:$S$1006,0)))),"Fix")))</f>
        <v>0</v>
      </c>
      <c r="E225" s="3">
        <f>IF(OR(INDEX($J$2:$J$1001,MATCH(ROWS($I$2:I225),$I$2:$I$1001,0),1)&gt;=100000,INDEX($P$1005:$S$1005,1,MATCH(COLUMNS($P$1006:S1006),$P$1006:$S$1006,0))&gt;=100000), " ",IF(INDEX($P$2:$S$1001,MATCH(ROWS($I$2:I225),$I$2:$I$1001,0),MATCH(COLUMNS($P$1006:S1006),$P$1006:$S$1006,0)), HYPERLINK("#",""), HYPERLINK(CONCATENATE("#metadata!", ADDRESS(INDEX($K$2:$K$1001,MATCH(ROWS($I$2:I225),$I$2:$I$1001,0),0), INDEX($P$1004:$S$1004,1,MATCH(COLUMNS($P$1006:S1006),$P$1006:$S$1006,0)))),"Fix")))</f>
        <v>0</v>
      </c>
      <c r="I225">
        <v>0</v>
      </c>
      <c r="J225">
        <v>0</v>
      </c>
      <c r="K225">
        <v>0</v>
      </c>
      <c r="L225">
        <f>IF(M225,TRUE,AND(P225:S225))</f>
        <v>0</v>
      </c>
      <c r="M225">
        <f>COUNTBLANK(metadata!B225:E225)=COLUMNS(metadata!B225:E225)</f>
        <v>0</v>
      </c>
      <c r="N225">
        <v>0</v>
      </c>
      <c r="P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Q225">
        <f>AND(IF(metadata!C225="",FALSE,TRUE),exact(metadata!C225,"other"))</f>
        <v>0</v>
      </c>
      <c r="R225">
        <f>AND(IF(metadata!D225="",FALSE,TRUE),exact(metadata!D225,"metagenome"))</f>
        <v>0</v>
      </c>
      <c r="S225">
        <f>AND(IF(metadata!E225="",FALSE,TRUE),exact(metadata!E225,"256318"))</f>
        <v>0</v>
      </c>
    </row>
    <row r="226" spans="1:19">
      <c r="A226" s="4">
        <f>IF(B226=" "," ",HYPERLINK(CONCATENATE("#metadata!",ADDRESS(INDEX($K$2:$K$1001,MATCH(ROWS($I$2:I226),$I$2:$I$1001,0),0),1)),INDEX($N$2:$N$1001,MATCH(ROWS($I$2:I226),$I$2:$I$1001,0),0)))</f>
        <v>0</v>
      </c>
      <c r="B226" s="3">
        <f>IF(OR(INDEX($J$2:$J$1001,MATCH(ROWS($I$2:I226),$I$2:$I$1001,0),1)&gt;=100000,INDEX($P$1005:$S$1005,1,MATCH(COLUMNS($P$1006:P1006),$P$1006:$S$1006,0))&gt;=100000), " ",IF(INDEX($P$2:$S$1001,MATCH(ROWS($I$2:I226),$I$2:$I$1001,0),MATCH(COLUMNS($P$1006:P1006),$P$1006:$S$1006,0)), HYPERLINK("#",""), HYPERLINK(CONCATENATE("#metadata!", ADDRESS(INDEX($K$2:$K$1001,MATCH(ROWS($I$2:I226),$I$2:$I$1001,0),0), INDEX($P$1004:$S$1004,1,MATCH(COLUMNS($P$1006:P1006),$P$1006:$S$1006,0)))),"Fix")))</f>
        <v>0</v>
      </c>
      <c r="C226" s="3">
        <f>IF(OR(INDEX($J$2:$J$1001,MATCH(ROWS($I$2:I226),$I$2:$I$1001,0),1)&gt;=100000,INDEX($P$1005:$S$1005,1,MATCH(COLUMNS($P$1006:Q1006),$P$1006:$S$1006,0))&gt;=100000), " ",IF(INDEX($P$2:$S$1001,MATCH(ROWS($I$2:I226),$I$2:$I$1001,0),MATCH(COLUMNS($P$1006:Q1006),$P$1006:$S$1006,0)), HYPERLINK("#",""), HYPERLINK(CONCATENATE("#metadata!", ADDRESS(INDEX($K$2:$K$1001,MATCH(ROWS($I$2:I226),$I$2:$I$1001,0),0), INDEX($P$1004:$S$1004,1,MATCH(COLUMNS($P$1006:Q1006),$P$1006:$S$1006,0)))),"Fix")))</f>
        <v>0</v>
      </c>
      <c r="D226" s="3">
        <f>IF(OR(INDEX($J$2:$J$1001,MATCH(ROWS($I$2:I226),$I$2:$I$1001,0),1)&gt;=100000,INDEX($P$1005:$S$1005,1,MATCH(COLUMNS($P$1006:R1006),$P$1006:$S$1006,0))&gt;=100000), " ",IF(INDEX($P$2:$S$1001,MATCH(ROWS($I$2:I226),$I$2:$I$1001,0),MATCH(COLUMNS($P$1006:R1006),$P$1006:$S$1006,0)), HYPERLINK("#",""), HYPERLINK(CONCATENATE("#metadata!", ADDRESS(INDEX($K$2:$K$1001,MATCH(ROWS($I$2:I226),$I$2:$I$1001,0),0), INDEX($P$1004:$S$1004,1,MATCH(COLUMNS($P$1006:R1006),$P$1006:$S$1006,0)))),"Fix")))</f>
        <v>0</v>
      </c>
      <c r="E226" s="3">
        <f>IF(OR(INDEX($J$2:$J$1001,MATCH(ROWS($I$2:I226),$I$2:$I$1001,0),1)&gt;=100000,INDEX($P$1005:$S$1005,1,MATCH(COLUMNS($P$1006:S1006),$P$1006:$S$1006,0))&gt;=100000), " ",IF(INDEX($P$2:$S$1001,MATCH(ROWS($I$2:I226),$I$2:$I$1001,0),MATCH(COLUMNS($P$1006:S1006),$P$1006:$S$1006,0)), HYPERLINK("#",""), HYPERLINK(CONCATENATE("#metadata!", ADDRESS(INDEX($K$2:$K$1001,MATCH(ROWS($I$2:I226),$I$2:$I$1001,0),0), INDEX($P$1004:$S$1004,1,MATCH(COLUMNS($P$1006:S1006),$P$1006:$S$1006,0)))),"Fix")))</f>
        <v>0</v>
      </c>
      <c r="I226">
        <v>0</v>
      </c>
      <c r="J226">
        <v>0</v>
      </c>
      <c r="K226">
        <v>0</v>
      </c>
      <c r="L226">
        <f>IF(M226,TRUE,AND(P226:S226))</f>
        <v>0</v>
      </c>
      <c r="M226">
        <f>COUNTBLANK(metadata!B226:E226)=COLUMNS(metadata!B226:E226)</f>
        <v>0</v>
      </c>
      <c r="N226">
        <v>0</v>
      </c>
      <c r="P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Q226">
        <f>AND(IF(metadata!C226="",FALSE,TRUE),exact(metadata!C226,"other"))</f>
        <v>0</v>
      </c>
      <c r="R226">
        <f>AND(IF(metadata!D226="",FALSE,TRUE),exact(metadata!D226,"metagenome"))</f>
        <v>0</v>
      </c>
      <c r="S226">
        <f>AND(IF(metadata!E226="",FALSE,TRUE),exact(metadata!E226,"256318"))</f>
        <v>0</v>
      </c>
    </row>
    <row r="227" spans="1:19">
      <c r="A227" s="4">
        <f>IF(B227=" "," ",HYPERLINK(CONCATENATE("#metadata!",ADDRESS(INDEX($K$2:$K$1001,MATCH(ROWS($I$2:I227),$I$2:$I$1001,0),0),1)),INDEX($N$2:$N$1001,MATCH(ROWS($I$2:I227),$I$2:$I$1001,0),0)))</f>
        <v>0</v>
      </c>
      <c r="B227" s="3">
        <f>IF(OR(INDEX($J$2:$J$1001,MATCH(ROWS($I$2:I227),$I$2:$I$1001,0),1)&gt;=100000,INDEX($P$1005:$S$1005,1,MATCH(COLUMNS($P$1006:P1006),$P$1006:$S$1006,0))&gt;=100000), " ",IF(INDEX($P$2:$S$1001,MATCH(ROWS($I$2:I227),$I$2:$I$1001,0),MATCH(COLUMNS($P$1006:P1006),$P$1006:$S$1006,0)), HYPERLINK("#",""), HYPERLINK(CONCATENATE("#metadata!", ADDRESS(INDEX($K$2:$K$1001,MATCH(ROWS($I$2:I227),$I$2:$I$1001,0),0), INDEX($P$1004:$S$1004,1,MATCH(COLUMNS($P$1006:P1006),$P$1006:$S$1006,0)))),"Fix")))</f>
        <v>0</v>
      </c>
      <c r="C227" s="3">
        <f>IF(OR(INDEX($J$2:$J$1001,MATCH(ROWS($I$2:I227),$I$2:$I$1001,0),1)&gt;=100000,INDEX($P$1005:$S$1005,1,MATCH(COLUMNS($P$1006:Q1006),$P$1006:$S$1006,0))&gt;=100000), " ",IF(INDEX($P$2:$S$1001,MATCH(ROWS($I$2:I227),$I$2:$I$1001,0),MATCH(COLUMNS($P$1006:Q1006),$P$1006:$S$1006,0)), HYPERLINK("#",""), HYPERLINK(CONCATENATE("#metadata!", ADDRESS(INDEX($K$2:$K$1001,MATCH(ROWS($I$2:I227),$I$2:$I$1001,0),0), INDEX($P$1004:$S$1004,1,MATCH(COLUMNS($P$1006:Q1006),$P$1006:$S$1006,0)))),"Fix")))</f>
        <v>0</v>
      </c>
      <c r="D227" s="3">
        <f>IF(OR(INDEX($J$2:$J$1001,MATCH(ROWS($I$2:I227),$I$2:$I$1001,0),1)&gt;=100000,INDEX($P$1005:$S$1005,1,MATCH(COLUMNS($P$1006:R1006),$P$1006:$S$1006,0))&gt;=100000), " ",IF(INDEX($P$2:$S$1001,MATCH(ROWS($I$2:I227),$I$2:$I$1001,0),MATCH(COLUMNS($P$1006:R1006),$P$1006:$S$1006,0)), HYPERLINK("#",""), HYPERLINK(CONCATENATE("#metadata!", ADDRESS(INDEX($K$2:$K$1001,MATCH(ROWS($I$2:I227),$I$2:$I$1001,0),0), INDEX($P$1004:$S$1004,1,MATCH(COLUMNS($P$1006:R1006),$P$1006:$S$1006,0)))),"Fix")))</f>
        <v>0</v>
      </c>
      <c r="E227" s="3">
        <f>IF(OR(INDEX($J$2:$J$1001,MATCH(ROWS($I$2:I227),$I$2:$I$1001,0),1)&gt;=100000,INDEX($P$1005:$S$1005,1,MATCH(COLUMNS($P$1006:S1006),$P$1006:$S$1006,0))&gt;=100000), " ",IF(INDEX($P$2:$S$1001,MATCH(ROWS($I$2:I227),$I$2:$I$1001,0),MATCH(COLUMNS($P$1006:S1006),$P$1006:$S$1006,0)), HYPERLINK("#",""), HYPERLINK(CONCATENATE("#metadata!", ADDRESS(INDEX($K$2:$K$1001,MATCH(ROWS($I$2:I227),$I$2:$I$1001,0),0), INDEX($P$1004:$S$1004,1,MATCH(COLUMNS($P$1006:S1006),$P$1006:$S$1006,0)))),"Fix")))</f>
        <v>0</v>
      </c>
      <c r="I227">
        <v>0</v>
      </c>
      <c r="J227">
        <v>0</v>
      </c>
      <c r="K227">
        <v>0</v>
      </c>
      <c r="L227">
        <f>IF(M227,TRUE,AND(P227:S227))</f>
        <v>0</v>
      </c>
      <c r="M227">
        <f>COUNTBLANK(metadata!B227:E227)=COLUMNS(metadata!B227:E227)</f>
        <v>0</v>
      </c>
      <c r="N227">
        <v>0</v>
      </c>
      <c r="P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Q227">
        <f>AND(IF(metadata!C227="",FALSE,TRUE),exact(metadata!C227,"other"))</f>
        <v>0</v>
      </c>
      <c r="R227">
        <f>AND(IF(metadata!D227="",FALSE,TRUE),exact(metadata!D227,"metagenome"))</f>
        <v>0</v>
      </c>
      <c r="S227">
        <f>AND(IF(metadata!E227="",FALSE,TRUE),exact(metadata!E227,"256318"))</f>
        <v>0</v>
      </c>
    </row>
    <row r="228" spans="1:19">
      <c r="A228" s="4">
        <f>IF(B228=" "," ",HYPERLINK(CONCATENATE("#metadata!",ADDRESS(INDEX($K$2:$K$1001,MATCH(ROWS($I$2:I228),$I$2:$I$1001,0),0),1)),INDEX($N$2:$N$1001,MATCH(ROWS($I$2:I228),$I$2:$I$1001,0),0)))</f>
        <v>0</v>
      </c>
      <c r="B228" s="3">
        <f>IF(OR(INDEX($J$2:$J$1001,MATCH(ROWS($I$2:I228),$I$2:$I$1001,0),1)&gt;=100000,INDEX($P$1005:$S$1005,1,MATCH(COLUMNS($P$1006:P1006),$P$1006:$S$1006,0))&gt;=100000), " ",IF(INDEX($P$2:$S$1001,MATCH(ROWS($I$2:I228),$I$2:$I$1001,0),MATCH(COLUMNS($P$1006:P1006),$P$1006:$S$1006,0)), HYPERLINK("#",""), HYPERLINK(CONCATENATE("#metadata!", ADDRESS(INDEX($K$2:$K$1001,MATCH(ROWS($I$2:I228),$I$2:$I$1001,0),0), INDEX($P$1004:$S$1004,1,MATCH(COLUMNS($P$1006:P1006),$P$1006:$S$1006,0)))),"Fix")))</f>
        <v>0</v>
      </c>
      <c r="C228" s="3">
        <f>IF(OR(INDEX($J$2:$J$1001,MATCH(ROWS($I$2:I228),$I$2:$I$1001,0),1)&gt;=100000,INDEX($P$1005:$S$1005,1,MATCH(COLUMNS($P$1006:Q1006),$P$1006:$S$1006,0))&gt;=100000), " ",IF(INDEX($P$2:$S$1001,MATCH(ROWS($I$2:I228),$I$2:$I$1001,0),MATCH(COLUMNS($P$1006:Q1006),$P$1006:$S$1006,0)), HYPERLINK("#",""), HYPERLINK(CONCATENATE("#metadata!", ADDRESS(INDEX($K$2:$K$1001,MATCH(ROWS($I$2:I228),$I$2:$I$1001,0),0), INDEX($P$1004:$S$1004,1,MATCH(COLUMNS($P$1006:Q1006),$P$1006:$S$1006,0)))),"Fix")))</f>
        <v>0</v>
      </c>
      <c r="D228" s="3">
        <f>IF(OR(INDEX($J$2:$J$1001,MATCH(ROWS($I$2:I228),$I$2:$I$1001,0),1)&gt;=100000,INDEX($P$1005:$S$1005,1,MATCH(COLUMNS($P$1006:R1006),$P$1006:$S$1006,0))&gt;=100000), " ",IF(INDEX($P$2:$S$1001,MATCH(ROWS($I$2:I228),$I$2:$I$1001,0),MATCH(COLUMNS($P$1006:R1006),$P$1006:$S$1006,0)), HYPERLINK("#",""), HYPERLINK(CONCATENATE("#metadata!", ADDRESS(INDEX($K$2:$K$1001,MATCH(ROWS($I$2:I228),$I$2:$I$1001,0),0), INDEX($P$1004:$S$1004,1,MATCH(COLUMNS($P$1006:R1006),$P$1006:$S$1006,0)))),"Fix")))</f>
        <v>0</v>
      </c>
      <c r="E228" s="3">
        <f>IF(OR(INDEX($J$2:$J$1001,MATCH(ROWS($I$2:I228),$I$2:$I$1001,0),1)&gt;=100000,INDEX($P$1005:$S$1005,1,MATCH(COLUMNS($P$1006:S1006),$P$1006:$S$1006,0))&gt;=100000), " ",IF(INDEX($P$2:$S$1001,MATCH(ROWS($I$2:I228),$I$2:$I$1001,0),MATCH(COLUMNS($P$1006:S1006),$P$1006:$S$1006,0)), HYPERLINK("#",""), HYPERLINK(CONCATENATE("#metadata!", ADDRESS(INDEX($K$2:$K$1001,MATCH(ROWS($I$2:I228),$I$2:$I$1001,0),0), INDEX($P$1004:$S$1004,1,MATCH(COLUMNS($P$1006:S1006),$P$1006:$S$1006,0)))),"Fix")))</f>
        <v>0</v>
      </c>
      <c r="I228">
        <v>0</v>
      </c>
      <c r="J228">
        <v>0</v>
      </c>
      <c r="K228">
        <v>0</v>
      </c>
      <c r="L228">
        <f>IF(M228,TRUE,AND(P228:S228))</f>
        <v>0</v>
      </c>
      <c r="M228">
        <f>COUNTBLANK(metadata!B228:E228)=COLUMNS(metadata!B228:E228)</f>
        <v>0</v>
      </c>
      <c r="N228">
        <v>0</v>
      </c>
      <c r="P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Q228">
        <f>AND(IF(metadata!C228="",FALSE,TRUE),exact(metadata!C228,"other"))</f>
        <v>0</v>
      </c>
      <c r="R228">
        <f>AND(IF(metadata!D228="",FALSE,TRUE),exact(metadata!D228,"metagenome"))</f>
        <v>0</v>
      </c>
      <c r="S228">
        <f>AND(IF(metadata!E228="",FALSE,TRUE),exact(metadata!E228,"256318"))</f>
        <v>0</v>
      </c>
    </row>
    <row r="229" spans="1:19">
      <c r="A229" s="4">
        <f>IF(B229=" "," ",HYPERLINK(CONCATENATE("#metadata!",ADDRESS(INDEX($K$2:$K$1001,MATCH(ROWS($I$2:I229),$I$2:$I$1001,0),0),1)),INDEX($N$2:$N$1001,MATCH(ROWS($I$2:I229),$I$2:$I$1001,0),0)))</f>
        <v>0</v>
      </c>
      <c r="B229" s="3">
        <f>IF(OR(INDEX($J$2:$J$1001,MATCH(ROWS($I$2:I229),$I$2:$I$1001,0),1)&gt;=100000,INDEX($P$1005:$S$1005,1,MATCH(COLUMNS($P$1006:P1006),$P$1006:$S$1006,0))&gt;=100000), " ",IF(INDEX($P$2:$S$1001,MATCH(ROWS($I$2:I229),$I$2:$I$1001,0),MATCH(COLUMNS($P$1006:P1006),$P$1006:$S$1006,0)), HYPERLINK("#",""), HYPERLINK(CONCATENATE("#metadata!", ADDRESS(INDEX($K$2:$K$1001,MATCH(ROWS($I$2:I229),$I$2:$I$1001,0),0), INDEX($P$1004:$S$1004,1,MATCH(COLUMNS($P$1006:P1006),$P$1006:$S$1006,0)))),"Fix")))</f>
        <v>0</v>
      </c>
      <c r="C229" s="3">
        <f>IF(OR(INDEX($J$2:$J$1001,MATCH(ROWS($I$2:I229),$I$2:$I$1001,0),1)&gt;=100000,INDEX($P$1005:$S$1005,1,MATCH(COLUMNS($P$1006:Q1006),$P$1006:$S$1006,0))&gt;=100000), " ",IF(INDEX($P$2:$S$1001,MATCH(ROWS($I$2:I229),$I$2:$I$1001,0),MATCH(COLUMNS($P$1006:Q1006),$P$1006:$S$1006,0)), HYPERLINK("#",""), HYPERLINK(CONCATENATE("#metadata!", ADDRESS(INDEX($K$2:$K$1001,MATCH(ROWS($I$2:I229),$I$2:$I$1001,0),0), INDEX($P$1004:$S$1004,1,MATCH(COLUMNS($P$1006:Q1006),$P$1006:$S$1006,0)))),"Fix")))</f>
        <v>0</v>
      </c>
      <c r="D229" s="3">
        <f>IF(OR(INDEX($J$2:$J$1001,MATCH(ROWS($I$2:I229),$I$2:$I$1001,0),1)&gt;=100000,INDEX($P$1005:$S$1005,1,MATCH(COLUMNS($P$1006:R1006),$P$1006:$S$1006,0))&gt;=100000), " ",IF(INDEX($P$2:$S$1001,MATCH(ROWS($I$2:I229),$I$2:$I$1001,0),MATCH(COLUMNS($P$1006:R1006),$P$1006:$S$1006,0)), HYPERLINK("#",""), HYPERLINK(CONCATENATE("#metadata!", ADDRESS(INDEX($K$2:$K$1001,MATCH(ROWS($I$2:I229),$I$2:$I$1001,0),0), INDEX($P$1004:$S$1004,1,MATCH(COLUMNS($P$1006:R1006),$P$1006:$S$1006,0)))),"Fix")))</f>
        <v>0</v>
      </c>
      <c r="E229" s="3">
        <f>IF(OR(INDEX($J$2:$J$1001,MATCH(ROWS($I$2:I229),$I$2:$I$1001,0),1)&gt;=100000,INDEX($P$1005:$S$1005,1,MATCH(COLUMNS($P$1006:S1006),$P$1006:$S$1006,0))&gt;=100000), " ",IF(INDEX($P$2:$S$1001,MATCH(ROWS($I$2:I229),$I$2:$I$1001,0),MATCH(COLUMNS($P$1006:S1006),$P$1006:$S$1006,0)), HYPERLINK("#",""), HYPERLINK(CONCATENATE("#metadata!", ADDRESS(INDEX($K$2:$K$1001,MATCH(ROWS($I$2:I229),$I$2:$I$1001,0),0), INDEX($P$1004:$S$1004,1,MATCH(COLUMNS($P$1006:S1006),$P$1006:$S$1006,0)))),"Fix")))</f>
        <v>0</v>
      </c>
      <c r="I229">
        <v>0</v>
      </c>
      <c r="J229">
        <v>0</v>
      </c>
      <c r="K229">
        <v>0</v>
      </c>
      <c r="L229">
        <f>IF(M229,TRUE,AND(P229:S229))</f>
        <v>0</v>
      </c>
      <c r="M229">
        <f>COUNTBLANK(metadata!B229:E229)=COLUMNS(metadata!B229:E229)</f>
        <v>0</v>
      </c>
      <c r="N229">
        <v>0</v>
      </c>
      <c r="P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Q229">
        <f>AND(IF(metadata!C229="",FALSE,TRUE),exact(metadata!C229,"other"))</f>
        <v>0</v>
      </c>
      <c r="R229">
        <f>AND(IF(metadata!D229="",FALSE,TRUE),exact(metadata!D229,"metagenome"))</f>
        <v>0</v>
      </c>
      <c r="S229">
        <f>AND(IF(metadata!E229="",FALSE,TRUE),exact(metadata!E229,"256318"))</f>
        <v>0</v>
      </c>
    </row>
    <row r="230" spans="1:19">
      <c r="A230" s="4">
        <f>IF(B230=" "," ",HYPERLINK(CONCATENATE("#metadata!",ADDRESS(INDEX($K$2:$K$1001,MATCH(ROWS($I$2:I230),$I$2:$I$1001,0),0),1)),INDEX($N$2:$N$1001,MATCH(ROWS($I$2:I230),$I$2:$I$1001,0),0)))</f>
        <v>0</v>
      </c>
      <c r="B230" s="3">
        <f>IF(OR(INDEX($J$2:$J$1001,MATCH(ROWS($I$2:I230),$I$2:$I$1001,0),1)&gt;=100000,INDEX($P$1005:$S$1005,1,MATCH(COLUMNS($P$1006:P1006),$P$1006:$S$1006,0))&gt;=100000), " ",IF(INDEX($P$2:$S$1001,MATCH(ROWS($I$2:I230),$I$2:$I$1001,0),MATCH(COLUMNS($P$1006:P1006),$P$1006:$S$1006,0)), HYPERLINK("#",""), HYPERLINK(CONCATENATE("#metadata!", ADDRESS(INDEX($K$2:$K$1001,MATCH(ROWS($I$2:I230),$I$2:$I$1001,0),0), INDEX($P$1004:$S$1004,1,MATCH(COLUMNS($P$1006:P1006),$P$1006:$S$1006,0)))),"Fix")))</f>
        <v>0</v>
      </c>
      <c r="C230" s="3">
        <f>IF(OR(INDEX($J$2:$J$1001,MATCH(ROWS($I$2:I230),$I$2:$I$1001,0),1)&gt;=100000,INDEX($P$1005:$S$1005,1,MATCH(COLUMNS($P$1006:Q1006),$P$1006:$S$1006,0))&gt;=100000), " ",IF(INDEX($P$2:$S$1001,MATCH(ROWS($I$2:I230),$I$2:$I$1001,0),MATCH(COLUMNS($P$1006:Q1006),$P$1006:$S$1006,0)), HYPERLINK("#",""), HYPERLINK(CONCATENATE("#metadata!", ADDRESS(INDEX($K$2:$K$1001,MATCH(ROWS($I$2:I230),$I$2:$I$1001,0),0), INDEX($P$1004:$S$1004,1,MATCH(COLUMNS($P$1006:Q1006),$P$1006:$S$1006,0)))),"Fix")))</f>
        <v>0</v>
      </c>
      <c r="D230" s="3">
        <f>IF(OR(INDEX($J$2:$J$1001,MATCH(ROWS($I$2:I230),$I$2:$I$1001,0),1)&gt;=100000,INDEX($P$1005:$S$1005,1,MATCH(COLUMNS($P$1006:R1006),$P$1006:$S$1006,0))&gt;=100000), " ",IF(INDEX($P$2:$S$1001,MATCH(ROWS($I$2:I230),$I$2:$I$1001,0),MATCH(COLUMNS($P$1006:R1006),$P$1006:$S$1006,0)), HYPERLINK("#",""), HYPERLINK(CONCATENATE("#metadata!", ADDRESS(INDEX($K$2:$K$1001,MATCH(ROWS($I$2:I230),$I$2:$I$1001,0),0), INDEX($P$1004:$S$1004,1,MATCH(COLUMNS($P$1006:R1006),$P$1006:$S$1006,0)))),"Fix")))</f>
        <v>0</v>
      </c>
      <c r="E230" s="3">
        <f>IF(OR(INDEX($J$2:$J$1001,MATCH(ROWS($I$2:I230),$I$2:$I$1001,0),1)&gt;=100000,INDEX($P$1005:$S$1005,1,MATCH(COLUMNS($P$1006:S1006),$P$1006:$S$1006,0))&gt;=100000), " ",IF(INDEX($P$2:$S$1001,MATCH(ROWS($I$2:I230),$I$2:$I$1001,0),MATCH(COLUMNS($P$1006:S1006),$P$1006:$S$1006,0)), HYPERLINK("#",""), HYPERLINK(CONCATENATE("#metadata!", ADDRESS(INDEX($K$2:$K$1001,MATCH(ROWS($I$2:I230),$I$2:$I$1001,0),0), INDEX($P$1004:$S$1004,1,MATCH(COLUMNS($P$1006:S1006),$P$1006:$S$1006,0)))),"Fix")))</f>
        <v>0</v>
      </c>
      <c r="I230">
        <v>0</v>
      </c>
      <c r="J230">
        <v>0</v>
      </c>
      <c r="K230">
        <v>0</v>
      </c>
      <c r="L230">
        <f>IF(M230,TRUE,AND(P230:S230))</f>
        <v>0</v>
      </c>
      <c r="M230">
        <f>COUNTBLANK(metadata!B230:E230)=COLUMNS(metadata!B230:E230)</f>
        <v>0</v>
      </c>
      <c r="N230">
        <v>0</v>
      </c>
      <c r="P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Q230">
        <f>AND(IF(metadata!C230="",FALSE,TRUE),exact(metadata!C230,"other"))</f>
        <v>0</v>
      </c>
      <c r="R230">
        <f>AND(IF(metadata!D230="",FALSE,TRUE),exact(metadata!D230,"metagenome"))</f>
        <v>0</v>
      </c>
      <c r="S230">
        <f>AND(IF(metadata!E230="",FALSE,TRUE),exact(metadata!E230,"256318"))</f>
        <v>0</v>
      </c>
    </row>
    <row r="231" spans="1:19">
      <c r="A231" s="4">
        <f>IF(B231=" "," ",HYPERLINK(CONCATENATE("#metadata!",ADDRESS(INDEX($K$2:$K$1001,MATCH(ROWS($I$2:I231),$I$2:$I$1001,0),0),1)),INDEX($N$2:$N$1001,MATCH(ROWS($I$2:I231),$I$2:$I$1001,0),0)))</f>
        <v>0</v>
      </c>
      <c r="B231" s="3">
        <f>IF(OR(INDEX($J$2:$J$1001,MATCH(ROWS($I$2:I231),$I$2:$I$1001,0),1)&gt;=100000,INDEX($P$1005:$S$1005,1,MATCH(COLUMNS($P$1006:P1006),$P$1006:$S$1006,0))&gt;=100000), " ",IF(INDEX($P$2:$S$1001,MATCH(ROWS($I$2:I231),$I$2:$I$1001,0),MATCH(COLUMNS($P$1006:P1006),$P$1006:$S$1006,0)), HYPERLINK("#",""), HYPERLINK(CONCATENATE("#metadata!", ADDRESS(INDEX($K$2:$K$1001,MATCH(ROWS($I$2:I231),$I$2:$I$1001,0),0), INDEX($P$1004:$S$1004,1,MATCH(COLUMNS($P$1006:P1006),$P$1006:$S$1006,0)))),"Fix")))</f>
        <v>0</v>
      </c>
      <c r="C231" s="3">
        <f>IF(OR(INDEX($J$2:$J$1001,MATCH(ROWS($I$2:I231),$I$2:$I$1001,0),1)&gt;=100000,INDEX($P$1005:$S$1005,1,MATCH(COLUMNS($P$1006:Q1006),$P$1006:$S$1006,0))&gt;=100000), " ",IF(INDEX($P$2:$S$1001,MATCH(ROWS($I$2:I231),$I$2:$I$1001,0),MATCH(COLUMNS($P$1006:Q1006),$P$1006:$S$1006,0)), HYPERLINK("#",""), HYPERLINK(CONCATENATE("#metadata!", ADDRESS(INDEX($K$2:$K$1001,MATCH(ROWS($I$2:I231),$I$2:$I$1001,0),0), INDEX($P$1004:$S$1004,1,MATCH(COLUMNS($P$1006:Q1006),$P$1006:$S$1006,0)))),"Fix")))</f>
        <v>0</v>
      </c>
      <c r="D231" s="3">
        <f>IF(OR(INDEX($J$2:$J$1001,MATCH(ROWS($I$2:I231),$I$2:$I$1001,0),1)&gt;=100000,INDEX($P$1005:$S$1005,1,MATCH(COLUMNS($P$1006:R1006),$P$1006:$S$1006,0))&gt;=100000), " ",IF(INDEX($P$2:$S$1001,MATCH(ROWS($I$2:I231),$I$2:$I$1001,0),MATCH(COLUMNS($P$1006:R1006),$P$1006:$S$1006,0)), HYPERLINK("#",""), HYPERLINK(CONCATENATE("#metadata!", ADDRESS(INDEX($K$2:$K$1001,MATCH(ROWS($I$2:I231),$I$2:$I$1001,0),0), INDEX($P$1004:$S$1004,1,MATCH(COLUMNS($P$1006:R1006),$P$1006:$S$1006,0)))),"Fix")))</f>
        <v>0</v>
      </c>
      <c r="E231" s="3">
        <f>IF(OR(INDEX($J$2:$J$1001,MATCH(ROWS($I$2:I231),$I$2:$I$1001,0),1)&gt;=100000,INDEX($P$1005:$S$1005,1,MATCH(COLUMNS($P$1006:S1006),$P$1006:$S$1006,0))&gt;=100000), " ",IF(INDEX($P$2:$S$1001,MATCH(ROWS($I$2:I231),$I$2:$I$1001,0),MATCH(COLUMNS($P$1006:S1006),$P$1006:$S$1006,0)), HYPERLINK("#",""), HYPERLINK(CONCATENATE("#metadata!", ADDRESS(INDEX($K$2:$K$1001,MATCH(ROWS($I$2:I231),$I$2:$I$1001,0),0), INDEX($P$1004:$S$1004,1,MATCH(COLUMNS($P$1006:S1006),$P$1006:$S$1006,0)))),"Fix")))</f>
        <v>0</v>
      </c>
      <c r="I231">
        <v>0</v>
      </c>
      <c r="J231">
        <v>0</v>
      </c>
      <c r="K231">
        <v>0</v>
      </c>
      <c r="L231">
        <f>IF(M231,TRUE,AND(P231:S231))</f>
        <v>0</v>
      </c>
      <c r="M231">
        <f>COUNTBLANK(metadata!B231:E231)=COLUMNS(metadata!B231:E231)</f>
        <v>0</v>
      </c>
      <c r="N231">
        <v>0</v>
      </c>
      <c r="P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Q231">
        <f>AND(IF(metadata!C231="",FALSE,TRUE),exact(metadata!C231,"other"))</f>
        <v>0</v>
      </c>
      <c r="R231">
        <f>AND(IF(metadata!D231="",FALSE,TRUE),exact(metadata!D231,"metagenome"))</f>
        <v>0</v>
      </c>
      <c r="S231">
        <f>AND(IF(metadata!E231="",FALSE,TRUE),exact(metadata!E231,"256318"))</f>
        <v>0</v>
      </c>
    </row>
    <row r="232" spans="1:19">
      <c r="A232" s="4">
        <f>IF(B232=" "," ",HYPERLINK(CONCATENATE("#metadata!",ADDRESS(INDEX($K$2:$K$1001,MATCH(ROWS($I$2:I232),$I$2:$I$1001,0),0),1)),INDEX($N$2:$N$1001,MATCH(ROWS($I$2:I232),$I$2:$I$1001,0),0)))</f>
        <v>0</v>
      </c>
      <c r="B232" s="3">
        <f>IF(OR(INDEX($J$2:$J$1001,MATCH(ROWS($I$2:I232),$I$2:$I$1001,0),1)&gt;=100000,INDEX($P$1005:$S$1005,1,MATCH(COLUMNS($P$1006:P1006),$P$1006:$S$1006,0))&gt;=100000), " ",IF(INDEX($P$2:$S$1001,MATCH(ROWS($I$2:I232),$I$2:$I$1001,0),MATCH(COLUMNS($P$1006:P1006),$P$1006:$S$1006,0)), HYPERLINK("#",""), HYPERLINK(CONCATENATE("#metadata!", ADDRESS(INDEX($K$2:$K$1001,MATCH(ROWS($I$2:I232),$I$2:$I$1001,0),0), INDEX($P$1004:$S$1004,1,MATCH(COLUMNS($P$1006:P1006),$P$1006:$S$1006,0)))),"Fix")))</f>
        <v>0</v>
      </c>
      <c r="C232" s="3">
        <f>IF(OR(INDEX($J$2:$J$1001,MATCH(ROWS($I$2:I232),$I$2:$I$1001,0),1)&gt;=100000,INDEX($P$1005:$S$1005,1,MATCH(COLUMNS($P$1006:Q1006),$P$1006:$S$1006,0))&gt;=100000), " ",IF(INDEX($P$2:$S$1001,MATCH(ROWS($I$2:I232),$I$2:$I$1001,0),MATCH(COLUMNS($P$1006:Q1006),$P$1006:$S$1006,0)), HYPERLINK("#",""), HYPERLINK(CONCATENATE("#metadata!", ADDRESS(INDEX($K$2:$K$1001,MATCH(ROWS($I$2:I232),$I$2:$I$1001,0),0), INDEX($P$1004:$S$1004,1,MATCH(COLUMNS($P$1006:Q1006),$P$1006:$S$1006,0)))),"Fix")))</f>
        <v>0</v>
      </c>
      <c r="D232" s="3">
        <f>IF(OR(INDEX($J$2:$J$1001,MATCH(ROWS($I$2:I232),$I$2:$I$1001,0),1)&gt;=100000,INDEX($P$1005:$S$1005,1,MATCH(COLUMNS($P$1006:R1006),$P$1006:$S$1006,0))&gt;=100000), " ",IF(INDEX($P$2:$S$1001,MATCH(ROWS($I$2:I232),$I$2:$I$1001,0),MATCH(COLUMNS($P$1006:R1006),$P$1006:$S$1006,0)), HYPERLINK("#",""), HYPERLINK(CONCATENATE("#metadata!", ADDRESS(INDEX($K$2:$K$1001,MATCH(ROWS($I$2:I232),$I$2:$I$1001,0),0), INDEX($P$1004:$S$1004,1,MATCH(COLUMNS($P$1006:R1006),$P$1006:$S$1006,0)))),"Fix")))</f>
        <v>0</v>
      </c>
      <c r="E232" s="3">
        <f>IF(OR(INDEX($J$2:$J$1001,MATCH(ROWS($I$2:I232),$I$2:$I$1001,0),1)&gt;=100000,INDEX($P$1005:$S$1005,1,MATCH(COLUMNS($P$1006:S1006),$P$1006:$S$1006,0))&gt;=100000), " ",IF(INDEX($P$2:$S$1001,MATCH(ROWS($I$2:I232),$I$2:$I$1001,0),MATCH(COLUMNS($P$1006:S1006),$P$1006:$S$1006,0)), HYPERLINK("#",""), HYPERLINK(CONCATENATE("#metadata!", ADDRESS(INDEX($K$2:$K$1001,MATCH(ROWS($I$2:I232),$I$2:$I$1001,0),0), INDEX($P$1004:$S$1004,1,MATCH(COLUMNS($P$1006:S1006),$P$1006:$S$1006,0)))),"Fix")))</f>
        <v>0</v>
      </c>
      <c r="I232">
        <v>0</v>
      </c>
      <c r="J232">
        <v>0</v>
      </c>
      <c r="K232">
        <v>0</v>
      </c>
      <c r="L232">
        <f>IF(M232,TRUE,AND(P232:S232))</f>
        <v>0</v>
      </c>
      <c r="M232">
        <f>COUNTBLANK(metadata!B232:E232)=COLUMNS(metadata!B232:E232)</f>
        <v>0</v>
      </c>
      <c r="N232">
        <v>0</v>
      </c>
      <c r="P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Q232">
        <f>AND(IF(metadata!C232="",FALSE,TRUE),exact(metadata!C232,"other"))</f>
        <v>0</v>
      </c>
      <c r="R232">
        <f>AND(IF(metadata!D232="",FALSE,TRUE),exact(metadata!D232,"metagenome"))</f>
        <v>0</v>
      </c>
      <c r="S232">
        <f>AND(IF(metadata!E232="",FALSE,TRUE),exact(metadata!E232,"256318"))</f>
        <v>0</v>
      </c>
    </row>
    <row r="233" spans="1:19">
      <c r="A233" s="4">
        <f>IF(B233=" "," ",HYPERLINK(CONCATENATE("#metadata!",ADDRESS(INDEX($K$2:$K$1001,MATCH(ROWS($I$2:I233),$I$2:$I$1001,0),0),1)),INDEX($N$2:$N$1001,MATCH(ROWS($I$2:I233),$I$2:$I$1001,0),0)))</f>
        <v>0</v>
      </c>
      <c r="B233" s="3">
        <f>IF(OR(INDEX($J$2:$J$1001,MATCH(ROWS($I$2:I233),$I$2:$I$1001,0),1)&gt;=100000,INDEX($P$1005:$S$1005,1,MATCH(COLUMNS($P$1006:P1006),$P$1006:$S$1006,0))&gt;=100000), " ",IF(INDEX($P$2:$S$1001,MATCH(ROWS($I$2:I233),$I$2:$I$1001,0),MATCH(COLUMNS($P$1006:P1006),$P$1006:$S$1006,0)), HYPERLINK("#",""), HYPERLINK(CONCATENATE("#metadata!", ADDRESS(INDEX($K$2:$K$1001,MATCH(ROWS($I$2:I233),$I$2:$I$1001,0),0), INDEX($P$1004:$S$1004,1,MATCH(COLUMNS($P$1006:P1006),$P$1006:$S$1006,0)))),"Fix")))</f>
        <v>0</v>
      </c>
      <c r="C233" s="3">
        <f>IF(OR(INDEX($J$2:$J$1001,MATCH(ROWS($I$2:I233),$I$2:$I$1001,0),1)&gt;=100000,INDEX($P$1005:$S$1005,1,MATCH(COLUMNS($P$1006:Q1006),$P$1006:$S$1006,0))&gt;=100000), " ",IF(INDEX($P$2:$S$1001,MATCH(ROWS($I$2:I233),$I$2:$I$1001,0),MATCH(COLUMNS($P$1006:Q1006),$P$1006:$S$1006,0)), HYPERLINK("#",""), HYPERLINK(CONCATENATE("#metadata!", ADDRESS(INDEX($K$2:$K$1001,MATCH(ROWS($I$2:I233),$I$2:$I$1001,0),0), INDEX($P$1004:$S$1004,1,MATCH(COLUMNS($P$1006:Q1006),$P$1006:$S$1006,0)))),"Fix")))</f>
        <v>0</v>
      </c>
      <c r="D233" s="3">
        <f>IF(OR(INDEX($J$2:$J$1001,MATCH(ROWS($I$2:I233),$I$2:$I$1001,0),1)&gt;=100000,INDEX($P$1005:$S$1005,1,MATCH(COLUMNS($P$1006:R1006),$P$1006:$S$1006,0))&gt;=100000), " ",IF(INDEX($P$2:$S$1001,MATCH(ROWS($I$2:I233),$I$2:$I$1001,0),MATCH(COLUMNS($P$1006:R1006),$P$1006:$S$1006,0)), HYPERLINK("#",""), HYPERLINK(CONCATENATE("#metadata!", ADDRESS(INDEX($K$2:$K$1001,MATCH(ROWS($I$2:I233),$I$2:$I$1001,0),0), INDEX($P$1004:$S$1004,1,MATCH(COLUMNS($P$1006:R1006),$P$1006:$S$1006,0)))),"Fix")))</f>
        <v>0</v>
      </c>
      <c r="E233" s="3">
        <f>IF(OR(INDEX($J$2:$J$1001,MATCH(ROWS($I$2:I233),$I$2:$I$1001,0),1)&gt;=100000,INDEX($P$1005:$S$1005,1,MATCH(COLUMNS($P$1006:S1006),$P$1006:$S$1006,0))&gt;=100000), " ",IF(INDEX($P$2:$S$1001,MATCH(ROWS($I$2:I233),$I$2:$I$1001,0),MATCH(COLUMNS($P$1006:S1006),$P$1006:$S$1006,0)), HYPERLINK("#",""), HYPERLINK(CONCATENATE("#metadata!", ADDRESS(INDEX($K$2:$K$1001,MATCH(ROWS($I$2:I233),$I$2:$I$1001,0),0), INDEX($P$1004:$S$1004,1,MATCH(COLUMNS($P$1006:S1006),$P$1006:$S$1006,0)))),"Fix")))</f>
        <v>0</v>
      </c>
      <c r="I233">
        <v>0</v>
      </c>
      <c r="J233">
        <v>0</v>
      </c>
      <c r="K233">
        <v>0</v>
      </c>
      <c r="L233">
        <f>IF(M233,TRUE,AND(P233:S233))</f>
        <v>0</v>
      </c>
      <c r="M233">
        <f>COUNTBLANK(metadata!B233:E233)=COLUMNS(metadata!B233:E233)</f>
        <v>0</v>
      </c>
      <c r="N233">
        <v>0</v>
      </c>
      <c r="P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Q233">
        <f>AND(IF(metadata!C233="",FALSE,TRUE),exact(metadata!C233,"other"))</f>
        <v>0</v>
      </c>
      <c r="R233">
        <f>AND(IF(metadata!D233="",FALSE,TRUE),exact(metadata!D233,"metagenome"))</f>
        <v>0</v>
      </c>
      <c r="S233">
        <f>AND(IF(metadata!E233="",FALSE,TRUE),exact(metadata!E233,"256318"))</f>
        <v>0</v>
      </c>
    </row>
    <row r="234" spans="1:19">
      <c r="A234" s="4">
        <f>IF(B234=" "," ",HYPERLINK(CONCATENATE("#metadata!",ADDRESS(INDEX($K$2:$K$1001,MATCH(ROWS($I$2:I234),$I$2:$I$1001,0),0),1)),INDEX($N$2:$N$1001,MATCH(ROWS($I$2:I234),$I$2:$I$1001,0),0)))</f>
        <v>0</v>
      </c>
      <c r="B234" s="3">
        <f>IF(OR(INDEX($J$2:$J$1001,MATCH(ROWS($I$2:I234),$I$2:$I$1001,0),1)&gt;=100000,INDEX($P$1005:$S$1005,1,MATCH(COLUMNS($P$1006:P1006),$P$1006:$S$1006,0))&gt;=100000), " ",IF(INDEX($P$2:$S$1001,MATCH(ROWS($I$2:I234),$I$2:$I$1001,0),MATCH(COLUMNS($P$1006:P1006),$P$1006:$S$1006,0)), HYPERLINK("#",""), HYPERLINK(CONCATENATE("#metadata!", ADDRESS(INDEX($K$2:$K$1001,MATCH(ROWS($I$2:I234),$I$2:$I$1001,0),0), INDEX($P$1004:$S$1004,1,MATCH(COLUMNS($P$1006:P1006),$P$1006:$S$1006,0)))),"Fix")))</f>
        <v>0</v>
      </c>
      <c r="C234" s="3">
        <f>IF(OR(INDEX($J$2:$J$1001,MATCH(ROWS($I$2:I234),$I$2:$I$1001,0),1)&gt;=100000,INDEX($P$1005:$S$1005,1,MATCH(COLUMNS($P$1006:Q1006),$P$1006:$S$1006,0))&gt;=100000), " ",IF(INDEX($P$2:$S$1001,MATCH(ROWS($I$2:I234),$I$2:$I$1001,0),MATCH(COLUMNS($P$1006:Q1006),$P$1006:$S$1006,0)), HYPERLINK("#",""), HYPERLINK(CONCATENATE("#metadata!", ADDRESS(INDEX($K$2:$K$1001,MATCH(ROWS($I$2:I234),$I$2:$I$1001,0),0), INDEX($P$1004:$S$1004,1,MATCH(COLUMNS($P$1006:Q1006),$P$1006:$S$1006,0)))),"Fix")))</f>
        <v>0</v>
      </c>
      <c r="D234" s="3">
        <f>IF(OR(INDEX($J$2:$J$1001,MATCH(ROWS($I$2:I234),$I$2:$I$1001,0),1)&gt;=100000,INDEX($P$1005:$S$1005,1,MATCH(COLUMNS($P$1006:R1006),$P$1006:$S$1006,0))&gt;=100000), " ",IF(INDEX($P$2:$S$1001,MATCH(ROWS($I$2:I234),$I$2:$I$1001,0),MATCH(COLUMNS($P$1006:R1006),$P$1006:$S$1006,0)), HYPERLINK("#",""), HYPERLINK(CONCATENATE("#metadata!", ADDRESS(INDEX($K$2:$K$1001,MATCH(ROWS($I$2:I234),$I$2:$I$1001,0),0), INDEX($P$1004:$S$1004,1,MATCH(COLUMNS($P$1006:R1006),$P$1006:$S$1006,0)))),"Fix")))</f>
        <v>0</v>
      </c>
      <c r="E234" s="3">
        <f>IF(OR(INDEX($J$2:$J$1001,MATCH(ROWS($I$2:I234),$I$2:$I$1001,0),1)&gt;=100000,INDEX($P$1005:$S$1005,1,MATCH(COLUMNS($P$1006:S1006),$P$1006:$S$1006,0))&gt;=100000), " ",IF(INDEX($P$2:$S$1001,MATCH(ROWS($I$2:I234),$I$2:$I$1001,0),MATCH(COLUMNS($P$1006:S1006),$P$1006:$S$1006,0)), HYPERLINK("#",""), HYPERLINK(CONCATENATE("#metadata!", ADDRESS(INDEX($K$2:$K$1001,MATCH(ROWS($I$2:I234),$I$2:$I$1001,0),0), INDEX($P$1004:$S$1004,1,MATCH(COLUMNS($P$1006:S1006),$P$1006:$S$1006,0)))),"Fix")))</f>
        <v>0</v>
      </c>
      <c r="I234">
        <v>0</v>
      </c>
      <c r="J234">
        <v>0</v>
      </c>
      <c r="K234">
        <v>0</v>
      </c>
      <c r="L234">
        <f>IF(M234,TRUE,AND(P234:S234))</f>
        <v>0</v>
      </c>
      <c r="M234">
        <f>COUNTBLANK(metadata!B234:E234)=COLUMNS(metadata!B234:E234)</f>
        <v>0</v>
      </c>
      <c r="N234">
        <v>0</v>
      </c>
      <c r="P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Q234">
        <f>AND(IF(metadata!C234="",FALSE,TRUE),exact(metadata!C234,"other"))</f>
        <v>0</v>
      </c>
      <c r="R234">
        <f>AND(IF(metadata!D234="",FALSE,TRUE),exact(metadata!D234,"metagenome"))</f>
        <v>0</v>
      </c>
      <c r="S234">
        <f>AND(IF(metadata!E234="",FALSE,TRUE),exact(metadata!E234,"256318"))</f>
        <v>0</v>
      </c>
    </row>
    <row r="235" spans="1:19">
      <c r="A235" s="4">
        <f>IF(B235=" "," ",HYPERLINK(CONCATENATE("#metadata!",ADDRESS(INDEX($K$2:$K$1001,MATCH(ROWS($I$2:I235),$I$2:$I$1001,0),0),1)),INDEX($N$2:$N$1001,MATCH(ROWS($I$2:I235),$I$2:$I$1001,0),0)))</f>
        <v>0</v>
      </c>
      <c r="B235" s="3">
        <f>IF(OR(INDEX($J$2:$J$1001,MATCH(ROWS($I$2:I235),$I$2:$I$1001,0),1)&gt;=100000,INDEX($P$1005:$S$1005,1,MATCH(COLUMNS($P$1006:P1006),$P$1006:$S$1006,0))&gt;=100000), " ",IF(INDEX($P$2:$S$1001,MATCH(ROWS($I$2:I235),$I$2:$I$1001,0),MATCH(COLUMNS($P$1006:P1006),$P$1006:$S$1006,0)), HYPERLINK("#",""), HYPERLINK(CONCATENATE("#metadata!", ADDRESS(INDEX($K$2:$K$1001,MATCH(ROWS($I$2:I235),$I$2:$I$1001,0),0), INDEX($P$1004:$S$1004,1,MATCH(COLUMNS($P$1006:P1006),$P$1006:$S$1006,0)))),"Fix")))</f>
        <v>0</v>
      </c>
      <c r="C235" s="3">
        <f>IF(OR(INDEX($J$2:$J$1001,MATCH(ROWS($I$2:I235),$I$2:$I$1001,0),1)&gt;=100000,INDEX($P$1005:$S$1005,1,MATCH(COLUMNS($P$1006:Q1006),$P$1006:$S$1006,0))&gt;=100000), " ",IF(INDEX($P$2:$S$1001,MATCH(ROWS($I$2:I235),$I$2:$I$1001,0),MATCH(COLUMNS($P$1006:Q1006),$P$1006:$S$1006,0)), HYPERLINK("#",""), HYPERLINK(CONCATENATE("#metadata!", ADDRESS(INDEX($K$2:$K$1001,MATCH(ROWS($I$2:I235),$I$2:$I$1001,0),0), INDEX($P$1004:$S$1004,1,MATCH(COLUMNS($P$1006:Q1006),$P$1006:$S$1006,0)))),"Fix")))</f>
        <v>0</v>
      </c>
      <c r="D235" s="3">
        <f>IF(OR(INDEX($J$2:$J$1001,MATCH(ROWS($I$2:I235),$I$2:$I$1001,0),1)&gt;=100000,INDEX($P$1005:$S$1005,1,MATCH(COLUMNS($P$1006:R1006),$P$1006:$S$1006,0))&gt;=100000), " ",IF(INDEX($P$2:$S$1001,MATCH(ROWS($I$2:I235),$I$2:$I$1001,0),MATCH(COLUMNS($P$1006:R1006),$P$1006:$S$1006,0)), HYPERLINK("#",""), HYPERLINK(CONCATENATE("#metadata!", ADDRESS(INDEX($K$2:$K$1001,MATCH(ROWS($I$2:I235),$I$2:$I$1001,0),0), INDEX($P$1004:$S$1004,1,MATCH(COLUMNS($P$1006:R1006),$P$1006:$S$1006,0)))),"Fix")))</f>
        <v>0</v>
      </c>
      <c r="E235" s="3">
        <f>IF(OR(INDEX($J$2:$J$1001,MATCH(ROWS($I$2:I235),$I$2:$I$1001,0),1)&gt;=100000,INDEX($P$1005:$S$1005,1,MATCH(COLUMNS($P$1006:S1006),$P$1006:$S$1006,0))&gt;=100000), " ",IF(INDEX($P$2:$S$1001,MATCH(ROWS($I$2:I235),$I$2:$I$1001,0),MATCH(COLUMNS($P$1006:S1006),$P$1006:$S$1006,0)), HYPERLINK("#",""), HYPERLINK(CONCATENATE("#metadata!", ADDRESS(INDEX($K$2:$K$1001,MATCH(ROWS($I$2:I235),$I$2:$I$1001,0),0), INDEX($P$1004:$S$1004,1,MATCH(COLUMNS($P$1006:S1006),$P$1006:$S$1006,0)))),"Fix")))</f>
        <v>0</v>
      </c>
      <c r="I235">
        <v>0</v>
      </c>
      <c r="J235">
        <v>0</v>
      </c>
      <c r="K235">
        <v>0</v>
      </c>
      <c r="L235">
        <f>IF(M235,TRUE,AND(P235:S235))</f>
        <v>0</v>
      </c>
      <c r="M235">
        <f>COUNTBLANK(metadata!B235:E235)=COLUMNS(metadata!B235:E235)</f>
        <v>0</v>
      </c>
      <c r="N235">
        <v>0</v>
      </c>
      <c r="P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Q235">
        <f>AND(IF(metadata!C235="",FALSE,TRUE),exact(metadata!C235,"other"))</f>
        <v>0</v>
      </c>
      <c r="R235">
        <f>AND(IF(metadata!D235="",FALSE,TRUE),exact(metadata!D235,"metagenome"))</f>
        <v>0</v>
      </c>
      <c r="S235">
        <f>AND(IF(metadata!E235="",FALSE,TRUE),exact(metadata!E235,"256318"))</f>
        <v>0</v>
      </c>
    </row>
    <row r="236" spans="1:19">
      <c r="A236" s="4">
        <f>IF(B236=" "," ",HYPERLINK(CONCATENATE("#metadata!",ADDRESS(INDEX($K$2:$K$1001,MATCH(ROWS($I$2:I236),$I$2:$I$1001,0),0),1)),INDEX($N$2:$N$1001,MATCH(ROWS($I$2:I236),$I$2:$I$1001,0),0)))</f>
        <v>0</v>
      </c>
      <c r="B236" s="3">
        <f>IF(OR(INDEX($J$2:$J$1001,MATCH(ROWS($I$2:I236),$I$2:$I$1001,0),1)&gt;=100000,INDEX($P$1005:$S$1005,1,MATCH(COLUMNS($P$1006:P1006),$P$1006:$S$1006,0))&gt;=100000), " ",IF(INDEX($P$2:$S$1001,MATCH(ROWS($I$2:I236),$I$2:$I$1001,0),MATCH(COLUMNS($P$1006:P1006),$P$1006:$S$1006,0)), HYPERLINK("#",""), HYPERLINK(CONCATENATE("#metadata!", ADDRESS(INDEX($K$2:$K$1001,MATCH(ROWS($I$2:I236),$I$2:$I$1001,0),0), INDEX($P$1004:$S$1004,1,MATCH(COLUMNS($P$1006:P1006),$P$1006:$S$1006,0)))),"Fix")))</f>
        <v>0</v>
      </c>
      <c r="C236" s="3">
        <f>IF(OR(INDEX($J$2:$J$1001,MATCH(ROWS($I$2:I236),$I$2:$I$1001,0),1)&gt;=100000,INDEX($P$1005:$S$1005,1,MATCH(COLUMNS($P$1006:Q1006),$P$1006:$S$1006,0))&gt;=100000), " ",IF(INDEX($P$2:$S$1001,MATCH(ROWS($I$2:I236),$I$2:$I$1001,0),MATCH(COLUMNS($P$1006:Q1006),$P$1006:$S$1006,0)), HYPERLINK("#",""), HYPERLINK(CONCATENATE("#metadata!", ADDRESS(INDEX($K$2:$K$1001,MATCH(ROWS($I$2:I236),$I$2:$I$1001,0),0), INDEX($P$1004:$S$1004,1,MATCH(COLUMNS($P$1006:Q1006),$P$1006:$S$1006,0)))),"Fix")))</f>
        <v>0</v>
      </c>
      <c r="D236" s="3">
        <f>IF(OR(INDEX($J$2:$J$1001,MATCH(ROWS($I$2:I236),$I$2:$I$1001,0),1)&gt;=100000,INDEX($P$1005:$S$1005,1,MATCH(COLUMNS($P$1006:R1006),$P$1006:$S$1006,0))&gt;=100000), " ",IF(INDEX($P$2:$S$1001,MATCH(ROWS($I$2:I236),$I$2:$I$1001,0),MATCH(COLUMNS($P$1006:R1006),$P$1006:$S$1006,0)), HYPERLINK("#",""), HYPERLINK(CONCATENATE("#metadata!", ADDRESS(INDEX($K$2:$K$1001,MATCH(ROWS($I$2:I236),$I$2:$I$1001,0),0), INDEX($P$1004:$S$1004,1,MATCH(COLUMNS($P$1006:R1006),$P$1006:$S$1006,0)))),"Fix")))</f>
        <v>0</v>
      </c>
      <c r="E236" s="3">
        <f>IF(OR(INDEX($J$2:$J$1001,MATCH(ROWS($I$2:I236),$I$2:$I$1001,0),1)&gt;=100000,INDEX($P$1005:$S$1005,1,MATCH(COLUMNS($P$1006:S1006),$P$1006:$S$1006,0))&gt;=100000), " ",IF(INDEX($P$2:$S$1001,MATCH(ROWS($I$2:I236),$I$2:$I$1001,0),MATCH(COLUMNS($P$1006:S1006),$P$1006:$S$1006,0)), HYPERLINK("#",""), HYPERLINK(CONCATENATE("#metadata!", ADDRESS(INDEX($K$2:$K$1001,MATCH(ROWS($I$2:I236),$I$2:$I$1001,0),0), INDEX($P$1004:$S$1004,1,MATCH(COLUMNS($P$1006:S1006),$P$1006:$S$1006,0)))),"Fix")))</f>
        <v>0</v>
      </c>
      <c r="I236">
        <v>0</v>
      </c>
      <c r="J236">
        <v>0</v>
      </c>
      <c r="K236">
        <v>0</v>
      </c>
      <c r="L236">
        <f>IF(M236,TRUE,AND(P236:S236))</f>
        <v>0</v>
      </c>
      <c r="M236">
        <f>COUNTBLANK(metadata!B236:E236)=COLUMNS(metadata!B236:E236)</f>
        <v>0</v>
      </c>
      <c r="N236">
        <v>0</v>
      </c>
      <c r="P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Q236">
        <f>AND(IF(metadata!C236="",FALSE,TRUE),exact(metadata!C236,"other"))</f>
        <v>0</v>
      </c>
      <c r="R236">
        <f>AND(IF(metadata!D236="",FALSE,TRUE),exact(metadata!D236,"metagenome"))</f>
        <v>0</v>
      </c>
      <c r="S236">
        <f>AND(IF(metadata!E236="",FALSE,TRUE),exact(metadata!E236,"256318"))</f>
        <v>0</v>
      </c>
    </row>
    <row r="237" spans="1:19">
      <c r="A237" s="4">
        <f>IF(B237=" "," ",HYPERLINK(CONCATENATE("#metadata!",ADDRESS(INDEX($K$2:$K$1001,MATCH(ROWS($I$2:I237),$I$2:$I$1001,0),0),1)),INDEX($N$2:$N$1001,MATCH(ROWS($I$2:I237),$I$2:$I$1001,0),0)))</f>
        <v>0</v>
      </c>
      <c r="B237" s="3">
        <f>IF(OR(INDEX($J$2:$J$1001,MATCH(ROWS($I$2:I237),$I$2:$I$1001,0),1)&gt;=100000,INDEX($P$1005:$S$1005,1,MATCH(COLUMNS($P$1006:P1006),$P$1006:$S$1006,0))&gt;=100000), " ",IF(INDEX($P$2:$S$1001,MATCH(ROWS($I$2:I237),$I$2:$I$1001,0),MATCH(COLUMNS($P$1006:P1006),$P$1006:$S$1006,0)), HYPERLINK("#",""), HYPERLINK(CONCATENATE("#metadata!", ADDRESS(INDEX($K$2:$K$1001,MATCH(ROWS($I$2:I237),$I$2:$I$1001,0),0), INDEX($P$1004:$S$1004,1,MATCH(COLUMNS($P$1006:P1006),$P$1006:$S$1006,0)))),"Fix")))</f>
        <v>0</v>
      </c>
      <c r="C237" s="3">
        <f>IF(OR(INDEX($J$2:$J$1001,MATCH(ROWS($I$2:I237),$I$2:$I$1001,0),1)&gt;=100000,INDEX($P$1005:$S$1005,1,MATCH(COLUMNS($P$1006:Q1006),$P$1006:$S$1006,0))&gt;=100000), " ",IF(INDEX($P$2:$S$1001,MATCH(ROWS($I$2:I237),$I$2:$I$1001,0),MATCH(COLUMNS($P$1006:Q1006),$P$1006:$S$1006,0)), HYPERLINK("#",""), HYPERLINK(CONCATENATE("#metadata!", ADDRESS(INDEX($K$2:$K$1001,MATCH(ROWS($I$2:I237),$I$2:$I$1001,0),0), INDEX($P$1004:$S$1004,1,MATCH(COLUMNS($P$1006:Q1006),$P$1006:$S$1006,0)))),"Fix")))</f>
        <v>0</v>
      </c>
      <c r="D237" s="3">
        <f>IF(OR(INDEX($J$2:$J$1001,MATCH(ROWS($I$2:I237),$I$2:$I$1001,0),1)&gt;=100000,INDEX($P$1005:$S$1005,1,MATCH(COLUMNS($P$1006:R1006),$P$1006:$S$1006,0))&gt;=100000), " ",IF(INDEX($P$2:$S$1001,MATCH(ROWS($I$2:I237),$I$2:$I$1001,0),MATCH(COLUMNS($P$1006:R1006),$P$1006:$S$1006,0)), HYPERLINK("#",""), HYPERLINK(CONCATENATE("#metadata!", ADDRESS(INDEX($K$2:$K$1001,MATCH(ROWS($I$2:I237),$I$2:$I$1001,0),0), INDEX($P$1004:$S$1004,1,MATCH(COLUMNS($P$1006:R1006),$P$1006:$S$1006,0)))),"Fix")))</f>
        <v>0</v>
      </c>
      <c r="E237" s="3">
        <f>IF(OR(INDEX($J$2:$J$1001,MATCH(ROWS($I$2:I237),$I$2:$I$1001,0),1)&gt;=100000,INDEX($P$1005:$S$1005,1,MATCH(COLUMNS($P$1006:S1006),$P$1006:$S$1006,0))&gt;=100000), " ",IF(INDEX($P$2:$S$1001,MATCH(ROWS($I$2:I237),$I$2:$I$1001,0),MATCH(COLUMNS($P$1006:S1006),$P$1006:$S$1006,0)), HYPERLINK("#",""), HYPERLINK(CONCATENATE("#metadata!", ADDRESS(INDEX($K$2:$K$1001,MATCH(ROWS($I$2:I237),$I$2:$I$1001,0),0), INDEX($P$1004:$S$1004,1,MATCH(COLUMNS($P$1006:S1006),$P$1006:$S$1006,0)))),"Fix")))</f>
        <v>0</v>
      </c>
      <c r="I237">
        <v>0</v>
      </c>
      <c r="J237">
        <v>0</v>
      </c>
      <c r="K237">
        <v>0</v>
      </c>
      <c r="L237">
        <f>IF(M237,TRUE,AND(P237:S237))</f>
        <v>0</v>
      </c>
      <c r="M237">
        <f>COUNTBLANK(metadata!B237:E237)=COLUMNS(metadata!B237:E237)</f>
        <v>0</v>
      </c>
      <c r="N237">
        <v>0</v>
      </c>
      <c r="P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Q237">
        <f>AND(IF(metadata!C237="",FALSE,TRUE),exact(metadata!C237,"other"))</f>
        <v>0</v>
      </c>
      <c r="R237">
        <f>AND(IF(metadata!D237="",FALSE,TRUE),exact(metadata!D237,"metagenome"))</f>
        <v>0</v>
      </c>
      <c r="S237">
        <f>AND(IF(metadata!E237="",FALSE,TRUE),exact(metadata!E237,"256318"))</f>
        <v>0</v>
      </c>
    </row>
    <row r="238" spans="1:19">
      <c r="A238" s="4">
        <f>IF(B238=" "," ",HYPERLINK(CONCATENATE("#metadata!",ADDRESS(INDEX($K$2:$K$1001,MATCH(ROWS($I$2:I238),$I$2:$I$1001,0),0),1)),INDEX($N$2:$N$1001,MATCH(ROWS($I$2:I238),$I$2:$I$1001,0),0)))</f>
        <v>0</v>
      </c>
      <c r="B238" s="3">
        <f>IF(OR(INDEX($J$2:$J$1001,MATCH(ROWS($I$2:I238),$I$2:$I$1001,0),1)&gt;=100000,INDEX($P$1005:$S$1005,1,MATCH(COLUMNS($P$1006:P1006),$P$1006:$S$1006,0))&gt;=100000), " ",IF(INDEX($P$2:$S$1001,MATCH(ROWS($I$2:I238),$I$2:$I$1001,0),MATCH(COLUMNS($P$1006:P1006),$P$1006:$S$1006,0)), HYPERLINK("#",""), HYPERLINK(CONCATENATE("#metadata!", ADDRESS(INDEX($K$2:$K$1001,MATCH(ROWS($I$2:I238),$I$2:$I$1001,0),0), INDEX($P$1004:$S$1004,1,MATCH(COLUMNS($P$1006:P1006),$P$1006:$S$1006,0)))),"Fix")))</f>
        <v>0</v>
      </c>
      <c r="C238" s="3">
        <f>IF(OR(INDEX($J$2:$J$1001,MATCH(ROWS($I$2:I238),$I$2:$I$1001,0),1)&gt;=100000,INDEX($P$1005:$S$1005,1,MATCH(COLUMNS($P$1006:Q1006),$P$1006:$S$1006,0))&gt;=100000), " ",IF(INDEX($P$2:$S$1001,MATCH(ROWS($I$2:I238),$I$2:$I$1001,0),MATCH(COLUMNS($P$1006:Q1006),$P$1006:$S$1006,0)), HYPERLINK("#",""), HYPERLINK(CONCATENATE("#metadata!", ADDRESS(INDEX($K$2:$K$1001,MATCH(ROWS($I$2:I238),$I$2:$I$1001,0),0), INDEX($P$1004:$S$1004,1,MATCH(COLUMNS($P$1006:Q1006),$P$1006:$S$1006,0)))),"Fix")))</f>
        <v>0</v>
      </c>
      <c r="D238" s="3">
        <f>IF(OR(INDEX($J$2:$J$1001,MATCH(ROWS($I$2:I238),$I$2:$I$1001,0),1)&gt;=100000,INDEX($P$1005:$S$1005,1,MATCH(COLUMNS($P$1006:R1006),$P$1006:$S$1006,0))&gt;=100000), " ",IF(INDEX($P$2:$S$1001,MATCH(ROWS($I$2:I238),$I$2:$I$1001,0),MATCH(COLUMNS($P$1006:R1006),$P$1006:$S$1006,0)), HYPERLINK("#",""), HYPERLINK(CONCATENATE("#metadata!", ADDRESS(INDEX($K$2:$K$1001,MATCH(ROWS($I$2:I238),$I$2:$I$1001,0),0), INDEX($P$1004:$S$1004,1,MATCH(COLUMNS($P$1006:R1006),$P$1006:$S$1006,0)))),"Fix")))</f>
        <v>0</v>
      </c>
      <c r="E238" s="3">
        <f>IF(OR(INDEX($J$2:$J$1001,MATCH(ROWS($I$2:I238),$I$2:$I$1001,0),1)&gt;=100000,INDEX($P$1005:$S$1005,1,MATCH(COLUMNS($P$1006:S1006),$P$1006:$S$1006,0))&gt;=100000), " ",IF(INDEX($P$2:$S$1001,MATCH(ROWS($I$2:I238),$I$2:$I$1001,0),MATCH(COLUMNS($P$1006:S1006),$P$1006:$S$1006,0)), HYPERLINK("#",""), HYPERLINK(CONCATENATE("#metadata!", ADDRESS(INDEX($K$2:$K$1001,MATCH(ROWS($I$2:I238),$I$2:$I$1001,0),0), INDEX($P$1004:$S$1004,1,MATCH(COLUMNS($P$1006:S1006),$P$1006:$S$1006,0)))),"Fix")))</f>
        <v>0</v>
      </c>
      <c r="I238">
        <v>0</v>
      </c>
      <c r="J238">
        <v>0</v>
      </c>
      <c r="K238">
        <v>0</v>
      </c>
      <c r="L238">
        <f>IF(M238,TRUE,AND(P238:S238))</f>
        <v>0</v>
      </c>
      <c r="M238">
        <f>COUNTBLANK(metadata!B238:E238)=COLUMNS(metadata!B238:E238)</f>
        <v>0</v>
      </c>
      <c r="N238">
        <v>0</v>
      </c>
      <c r="P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Q238">
        <f>AND(IF(metadata!C238="",FALSE,TRUE),exact(metadata!C238,"other"))</f>
        <v>0</v>
      </c>
      <c r="R238">
        <f>AND(IF(metadata!D238="",FALSE,TRUE),exact(metadata!D238,"metagenome"))</f>
        <v>0</v>
      </c>
      <c r="S238">
        <f>AND(IF(metadata!E238="",FALSE,TRUE),exact(metadata!E238,"256318"))</f>
        <v>0</v>
      </c>
    </row>
    <row r="239" spans="1:19">
      <c r="A239" s="4">
        <f>IF(B239=" "," ",HYPERLINK(CONCATENATE("#metadata!",ADDRESS(INDEX($K$2:$K$1001,MATCH(ROWS($I$2:I239),$I$2:$I$1001,0),0),1)),INDEX($N$2:$N$1001,MATCH(ROWS($I$2:I239),$I$2:$I$1001,0),0)))</f>
        <v>0</v>
      </c>
      <c r="B239" s="3">
        <f>IF(OR(INDEX($J$2:$J$1001,MATCH(ROWS($I$2:I239),$I$2:$I$1001,0),1)&gt;=100000,INDEX($P$1005:$S$1005,1,MATCH(COLUMNS($P$1006:P1006),$P$1006:$S$1006,0))&gt;=100000), " ",IF(INDEX($P$2:$S$1001,MATCH(ROWS($I$2:I239),$I$2:$I$1001,0),MATCH(COLUMNS($P$1006:P1006),$P$1006:$S$1006,0)), HYPERLINK("#",""), HYPERLINK(CONCATENATE("#metadata!", ADDRESS(INDEX($K$2:$K$1001,MATCH(ROWS($I$2:I239),$I$2:$I$1001,0),0), INDEX($P$1004:$S$1004,1,MATCH(COLUMNS($P$1006:P1006),$P$1006:$S$1006,0)))),"Fix")))</f>
        <v>0</v>
      </c>
      <c r="C239" s="3">
        <f>IF(OR(INDEX($J$2:$J$1001,MATCH(ROWS($I$2:I239),$I$2:$I$1001,0),1)&gt;=100000,INDEX($P$1005:$S$1005,1,MATCH(COLUMNS($P$1006:Q1006),$P$1006:$S$1006,0))&gt;=100000), " ",IF(INDEX($P$2:$S$1001,MATCH(ROWS($I$2:I239),$I$2:$I$1001,0),MATCH(COLUMNS($P$1006:Q1006),$P$1006:$S$1006,0)), HYPERLINK("#",""), HYPERLINK(CONCATENATE("#metadata!", ADDRESS(INDEX($K$2:$K$1001,MATCH(ROWS($I$2:I239),$I$2:$I$1001,0),0), INDEX($P$1004:$S$1004,1,MATCH(COLUMNS($P$1006:Q1006),$P$1006:$S$1006,0)))),"Fix")))</f>
        <v>0</v>
      </c>
      <c r="D239" s="3">
        <f>IF(OR(INDEX($J$2:$J$1001,MATCH(ROWS($I$2:I239),$I$2:$I$1001,0),1)&gt;=100000,INDEX($P$1005:$S$1005,1,MATCH(COLUMNS($P$1006:R1006),$P$1006:$S$1006,0))&gt;=100000), " ",IF(INDEX($P$2:$S$1001,MATCH(ROWS($I$2:I239),$I$2:$I$1001,0),MATCH(COLUMNS($P$1006:R1006),$P$1006:$S$1006,0)), HYPERLINK("#",""), HYPERLINK(CONCATENATE("#metadata!", ADDRESS(INDEX($K$2:$K$1001,MATCH(ROWS($I$2:I239),$I$2:$I$1001,0),0), INDEX($P$1004:$S$1004,1,MATCH(COLUMNS($P$1006:R1006),$P$1006:$S$1006,0)))),"Fix")))</f>
        <v>0</v>
      </c>
      <c r="E239" s="3">
        <f>IF(OR(INDEX($J$2:$J$1001,MATCH(ROWS($I$2:I239),$I$2:$I$1001,0),1)&gt;=100000,INDEX($P$1005:$S$1005,1,MATCH(COLUMNS($P$1006:S1006),$P$1006:$S$1006,0))&gt;=100000), " ",IF(INDEX($P$2:$S$1001,MATCH(ROWS($I$2:I239),$I$2:$I$1001,0),MATCH(COLUMNS($P$1006:S1006),$P$1006:$S$1006,0)), HYPERLINK("#",""), HYPERLINK(CONCATENATE("#metadata!", ADDRESS(INDEX($K$2:$K$1001,MATCH(ROWS($I$2:I239),$I$2:$I$1001,0),0), INDEX($P$1004:$S$1004,1,MATCH(COLUMNS($P$1006:S1006),$P$1006:$S$1006,0)))),"Fix")))</f>
        <v>0</v>
      </c>
      <c r="I239">
        <v>0</v>
      </c>
      <c r="J239">
        <v>0</v>
      </c>
      <c r="K239">
        <v>0</v>
      </c>
      <c r="L239">
        <f>IF(M239,TRUE,AND(P239:S239))</f>
        <v>0</v>
      </c>
      <c r="M239">
        <f>COUNTBLANK(metadata!B239:E239)=COLUMNS(metadata!B239:E239)</f>
        <v>0</v>
      </c>
      <c r="N239">
        <v>0</v>
      </c>
      <c r="P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Q239">
        <f>AND(IF(metadata!C239="",FALSE,TRUE),exact(metadata!C239,"other"))</f>
        <v>0</v>
      </c>
      <c r="R239">
        <f>AND(IF(metadata!D239="",FALSE,TRUE),exact(metadata!D239,"metagenome"))</f>
        <v>0</v>
      </c>
      <c r="S239">
        <f>AND(IF(metadata!E239="",FALSE,TRUE),exact(metadata!E239,"256318"))</f>
        <v>0</v>
      </c>
    </row>
    <row r="240" spans="1:19">
      <c r="A240" s="4">
        <f>IF(B240=" "," ",HYPERLINK(CONCATENATE("#metadata!",ADDRESS(INDEX($K$2:$K$1001,MATCH(ROWS($I$2:I240),$I$2:$I$1001,0),0),1)),INDEX($N$2:$N$1001,MATCH(ROWS($I$2:I240),$I$2:$I$1001,0),0)))</f>
        <v>0</v>
      </c>
      <c r="B240" s="3">
        <f>IF(OR(INDEX($J$2:$J$1001,MATCH(ROWS($I$2:I240),$I$2:$I$1001,0),1)&gt;=100000,INDEX($P$1005:$S$1005,1,MATCH(COLUMNS($P$1006:P1006),$P$1006:$S$1006,0))&gt;=100000), " ",IF(INDEX($P$2:$S$1001,MATCH(ROWS($I$2:I240),$I$2:$I$1001,0),MATCH(COLUMNS($P$1006:P1006),$P$1006:$S$1006,0)), HYPERLINK("#",""), HYPERLINK(CONCATENATE("#metadata!", ADDRESS(INDEX($K$2:$K$1001,MATCH(ROWS($I$2:I240),$I$2:$I$1001,0),0), INDEX($P$1004:$S$1004,1,MATCH(COLUMNS($P$1006:P1006),$P$1006:$S$1006,0)))),"Fix")))</f>
        <v>0</v>
      </c>
      <c r="C240" s="3">
        <f>IF(OR(INDEX($J$2:$J$1001,MATCH(ROWS($I$2:I240),$I$2:$I$1001,0),1)&gt;=100000,INDEX($P$1005:$S$1005,1,MATCH(COLUMNS($P$1006:Q1006),$P$1006:$S$1006,0))&gt;=100000), " ",IF(INDEX($P$2:$S$1001,MATCH(ROWS($I$2:I240),$I$2:$I$1001,0),MATCH(COLUMNS($P$1006:Q1006),$P$1006:$S$1006,0)), HYPERLINK("#",""), HYPERLINK(CONCATENATE("#metadata!", ADDRESS(INDEX($K$2:$K$1001,MATCH(ROWS($I$2:I240),$I$2:$I$1001,0),0), INDEX($P$1004:$S$1004,1,MATCH(COLUMNS($P$1006:Q1006),$P$1006:$S$1006,0)))),"Fix")))</f>
        <v>0</v>
      </c>
      <c r="D240" s="3">
        <f>IF(OR(INDEX($J$2:$J$1001,MATCH(ROWS($I$2:I240),$I$2:$I$1001,0),1)&gt;=100000,INDEX($P$1005:$S$1005,1,MATCH(COLUMNS($P$1006:R1006),$P$1006:$S$1006,0))&gt;=100000), " ",IF(INDEX($P$2:$S$1001,MATCH(ROWS($I$2:I240),$I$2:$I$1001,0),MATCH(COLUMNS($P$1006:R1006),$P$1006:$S$1006,0)), HYPERLINK("#",""), HYPERLINK(CONCATENATE("#metadata!", ADDRESS(INDEX($K$2:$K$1001,MATCH(ROWS($I$2:I240),$I$2:$I$1001,0),0), INDEX($P$1004:$S$1004,1,MATCH(COLUMNS($P$1006:R1006),$P$1006:$S$1006,0)))),"Fix")))</f>
        <v>0</v>
      </c>
      <c r="E240" s="3">
        <f>IF(OR(INDEX($J$2:$J$1001,MATCH(ROWS($I$2:I240),$I$2:$I$1001,0),1)&gt;=100000,INDEX($P$1005:$S$1005,1,MATCH(COLUMNS($P$1006:S1006),$P$1006:$S$1006,0))&gt;=100000), " ",IF(INDEX($P$2:$S$1001,MATCH(ROWS($I$2:I240),$I$2:$I$1001,0),MATCH(COLUMNS($P$1006:S1006),$P$1006:$S$1006,0)), HYPERLINK("#",""), HYPERLINK(CONCATENATE("#metadata!", ADDRESS(INDEX($K$2:$K$1001,MATCH(ROWS($I$2:I240),$I$2:$I$1001,0),0), INDEX($P$1004:$S$1004,1,MATCH(COLUMNS($P$1006:S1006),$P$1006:$S$1006,0)))),"Fix")))</f>
        <v>0</v>
      </c>
      <c r="I240">
        <v>0</v>
      </c>
      <c r="J240">
        <v>0</v>
      </c>
      <c r="K240">
        <v>0</v>
      </c>
      <c r="L240">
        <f>IF(M240,TRUE,AND(P240:S240))</f>
        <v>0</v>
      </c>
      <c r="M240">
        <f>COUNTBLANK(metadata!B240:E240)=COLUMNS(metadata!B240:E240)</f>
        <v>0</v>
      </c>
      <c r="N240">
        <v>0</v>
      </c>
      <c r="P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Q240">
        <f>AND(IF(metadata!C240="",FALSE,TRUE),exact(metadata!C240,"other"))</f>
        <v>0</v>
      </c>
      <c r="R240">
        <f>AND(IF(metadata!D240="",FALSE,TRUE),exact(metadata!D240,"metagenome"))</f>
        <v>0</v>
      </c>
      <c r="S240">
        <f>AND(IF(metadata!E240="",FALSE,TRUE),exact(metadata!E240,"256318"))</f>
        <v>0</v>
      </c>
    </row>
    <row r="241" spans="1:19">
      <c r="A241" s="4">
        <f>IF(B241=" "," ",HYPERLINK(CONCATENATE("#metadata!",ADDRESS(INDEX($K$2:$K$1001,MATCH(ROWS($I$2:I241),$I$2:$I$1001,0),0),1)),INDEX($N$2:$N$1001,MATCH(ROWS($I$2:I241),$I$2:$I$1001,0),0)))</f>
        <v>0</v>
      </c>
      <c r="B241" s="3">
        <f>IF(OR(INDEX($J$2:$J$1001,MATCH(ROWS($I$2:I241),$I$2:$I$1001,0),1)&gt;=100000,INDEX($P$1005:$S$1005,1,MATCH(COLUMNS($P$1006:P1006),$P$1006:$S$1006,0))&gt;=100000), " ",IF(INDEX($P$2:$S$1001,MATCH(ROWS($I$2:I241),$I$2:$I$1001,0),MATCH(COLUMNS($P$1006:P1006),$P$1006:$S$1006,0)), HYPERLINK("#",""), HYPERLINK(CONCATENATE("#metadata!", ADDRESS(INDEX($K$2:$K$1001,MATCH(ROWS($I$2:I241),$I$2:$I$1001,0),0), INDEX($P$1004:$S$1004,1,MATCH(COLUMNS($P$1006:P1006),$P$1006:$S$1006,0)))),"Fix")))</f>
        <v>0</v>
      </c>
      <c r="C241" s="3">
        <f>IF(OR(INDEX($J$2:$J$1001,MATCH(ROWS($I$2:I241),$I$2:$I$1001,0),1)&gt;=100000,INDEX($P$1005:$S$1005,1,MATCH(COLUMNS($P$1006:Q1006),$P$1006:$S$1006,0))&gt;=100000), " ",IF(INDEX($P$2:$S$1001,MATCH(ROWS($I$2:I241),$I$2:$I$1001,0),MATCH(COLUMNS($P$1006:Q1006),$P$1006:$S$1006,0)), HYPERLINK("#",""), HYPERLINK(CONCATENATE("#metadata!", ADDRESS(INDEX($K$2:$K$1001,MATCH(ROWS($I$2:I241),$I$2:$I$1001,0),0), INDEX($P$1004:$S$1004,1,MATCH(COLUMNS($P$1006:Q1006),$P$1006:$S$1006,0)))),"Fix")))</f>
        <v>0</v>
      </c>
      <c r="D241" s="3">
        <f>IF(OR(INDEX($J$2:$J$1001,MATCH(ROWS($I$2:I241),$I$2:$I$1001,0),1)&gt;=100000,INDEX($P$1005:$S$1005,1,MATCH(COLUMNS($P$1006:R1006),$P$1006:$S$1006,0))&gt;=100000), " ",IF(INDEX($P$2:$S$1001,MATCH(ROWS($I$2:I241),$I$2:$I$1001,0),MATCH(COLUMNS($P$1006:R1006),$P$1006:$S$1006,0)), HYPERLINK("#",""), HYPERLINK(CONCATENATE("#metadata!", ADDRESS(INDEX($K$2:$K$1001,MATCH(ROWS($I$2:I241),$I$2:$I$1001,0),0), INDEX($P$1004:$S$1004,1,MATCH(COLUMNS($P$1006:R1006),$P$1006:$S$1006,0)))),"Fix")))</f>
        <v>0</v>
      </c>
      <c r="E241" s="3">
        <f>IF(OR(INDEX($J$2:$J$1001,MATCH(ROWS($I$2:I241),$I$2:$I$1001,0),1)&gt;=100000,INDEX($P$1005:$S$1005,1,MATCH(COLUMNS($P$1006:S1006),$P$1006:$S$1006,0))&gt;=100000), " ",IF(INDEX($P$2:$S$1001,MATCH(ROWS($I$2:I241),$I$2:$I$1001,0),MATCH(COLUMNS($P$1006:S1006),$P$1006:$S$1006,0)), HYPERLINK("#",""), HYPERLINK(CONCATENATE("#metadata!", ADDRESS(INDEX($K$2:$K$1001,MATCH(ROWS($I$2:I241),$I$2:$I$1001,0),0), INDEX($P$1004:$S$1004,1,MATCH(COLUMNS($P$1006:S1006),$P$1006:$S$1006,0)))),"Fix")))</f>
        <v>0</v>
      </c>
      <c r="I241">
        <v>0</v>
      </c>
      <c r="J241">
        <v>0</v>
      </c>
      <c r="K241">
        <v>0</v>
      </c>
      <c r="L241">
        <f>IF(M241,TRUE,AND(P241:S241))</f>
        <v>0</v>
      </c>
      <c r="M241">
        <f>COUNTBLANK(metadata!B241:E241)=COLUMNS(metadata!B241:E241)</f>
        <v>0</v>
      </c>
      <c r="N241">
        <v>0</v>
      </c>
      <c r="P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Q241">
        <f>AND(IF(metadata!C241="",FALSE,TRUE),exact(metadata!C241,"other"))</f>
        <v>0</v>
      </c>
      <c r="R241">
        <f>AND(IF(metadata!D241="",FALSE,TRUE),exact(metadata!D241,"metagenome"))</f>
        <v>0</v>
      </c>
      <c r="S241">
        <f>AND(IF(metadata!E241="",FALSE,TRUE),exact(metadata!E241,"256318"))</f>
        <v>0</v>
      </c>
    </row>
    <row r="242" spans="1:19">
      <c r="A242" s="4">
        <f>IF(B242=" "," ",HYPERLINK(CONCATENATE("#metadata!",ADDRESS(INDEX($K$2:$K$1001,MATCH(ROWS($I$2:I242),$I$2:$I$1001,0),0),1)),INDEX($N$2:$N$1001,MATCH(ROWS($I$2:I242),$I$2:$I$1001,0),0)))</f>
        <v>0</v>
      </c>
      <c r="B242" s="3">
        <f>IF(OR(INDEX($J$2:$J$1001,MATCH(ROWS($I$2:I242),$I$2:$I$1001,0),1)&gt;=100000,INDEX($P$1005:$S$1005,1,MATCH(COLUMNS($P$1006:P1006),$P$1006:$S$1006,0))&gt;=100000), " ",IF(INDEX($P$2:$S$1001,MATCH(ROWS($I$2:I242),$I$2:$I$1001,0),MATCH(COLUMNS($P$1006:P1006),$P$1006:$S$1006,0)), HYPERLINK("#",""), HYPERLINK(CONCATENATE("#metadata!", ADDRESS(INDEX($K$2:$K$1001,MATCH(ROWS($I$2:I242),$I$2:$I$1001,0),0), INDEX($P$1004:$S$1004,1,MATCH(COLUMNS($P$1006:P1006),$P$1006:$S$1006,0)))),"Fix")))</f>
        <v>0</v>
      </c>
      <c r="C242" s="3">
        <f>IF(OR(INDEX($J$2:$J$1001,MATCH(ROWS($I$2:I242),$I$2:$I$1001,0),1)&gt;=100000,INDEX($P$1005:$S$1005,1,MATCH(COLUMNS($P$1006:Q1006),$P$1006:$S$1006,0))&gt;=100000), " ",IF(INDEX($P$2:$S$1001,MATCH(ROWS($I$2:I242),$I$2:$I$1001,0),MATCH(COLUMNS($P$1006:Q1006),$P$1006:$S$1006,0)), HYPERLINK("#",""), HYPERLINK(CONCATENATE("#metadata!", ADDRESS(INDEX($K$2:$K$1001,MATCH(ROWS($I$2:I242),$I$2:$I$1001,0),0), INDEX($P$1004:$S$1004,1,MATCH(COLUMNS($P$1006:Q1006),$P$1006:$S$1006,0)))),"Fix")))</f>
        <v>0</v>
      </c>
      <c r="D242" s="3">
        <f>IF(OR(INDEX($J$2:$J$1001,MATCH(ROWS($I$2:I242),$I$2:$I$1001,0),1)&gt;=100000,INDEX($P$1005:$S$1005,1,MATCH(COLUMNS($P$1006:R1006),$P$1006:$S$1006,0))&gt;=100000), " ",IF(INDEX($P$2:$S$1001,MATCH(ROWS($I$2:I242),$I$2:$I$1001,0),MATCH(COLUMNS($P$1006:R1006),$P$1006:$S$1006,0)), HYPERLINK("#",""), HYPERLINK(CONCATENATE("#metadata!", ADDRESS(INDEX($K$2:$K$1001,MATCH(ROWS($I$2:I242),$I$2:$I$1001,0),0), INDEX($P$1004:$S$1004,1,MATCH(COLUMNS($P$1006:R1006),$P$1006:$S$1006,0)))),"Fix")))</f>
        <v>0</v>
      </c>
      <c r="E242" s="3">
        <f>IF(OR(INDEX($J$2:$J$1001,MATCH(ROWS($I$2:I242),$I$2:$I$1001,0),1)&gt;=100000,INDEX($P$1005:$S$1005,1,MATCH(COLUMNS($P$1006:S1006),$P$1006:$S$1006,0))&gt;=100000), " ",IF(INDEX($P$2:$S$1001,MATCH(ROWS($I$2:I242),$I$2:$I$1001,0),MATCH(COLUMNS($P$1006:S1006),$P$1006:$S$1006,0)), HYPERLINK("#",""), HYPERLINK(CONCATENATE("#metadata!", ADDRESS(INDEX($K$2:$K$1001,MATCH(ROWS($I$2:I242),$I$2:$I$1001,0),0), INDEX($P$1004:$S$1004,1,MATCH(COLUMNS($P$1006:S1006),$P$1006:$S$1006,0)))),"Fix")))</f>
        <v>0</v>
      </c>
      <c r="I242">
        <v>0</v>
      </c>
      <c r="J242">
        <v>0</v>
      </c>
      <c r="K242">
        <v>0</v>
      </c>
      <c r="L242">
        <f>IF(M242,TRUE,AND(P242:S242))</f>
        <v>0</v>
      </c>
      <c r="M242">
        <f>COUNTBLANK(metadata!B242:E242)=COLUMNS(metadata!B242:E242)</f>
        <v>0</v>
      </c>
      <c r="N242">
        <v>0</v>
      </c>
      <c r="P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Q242">
        <f>AND(IF(metadata!C242="",FALSE,TRUE),exact(metadata!C242,"other"))</f>
        <v>0</v>
      </c>
      <c r="R242">
        <f>AND(IF(metadata!D242="",FALSE,TRUE),exact(metadata!D242,"metagenome"))</f>
        <v>0</v>
      </c>
      <c r="S242">
        <f>AND(IF(metadata!E242="",FALSE,TRUE),exact(metadata!E242,"256318"))</f>
        <v>0</v>
      </c>
    </row>
    <row r="243" spans="1:19">
      <c r="A243" s="4">
        <f>IF(B243=" "," ",HYPERLINK(CONCATENATE("#metadata!",ADDRESS(INDEX($K$2:$K$1001,MATCH(ROWS($I$2:I243),$I$2:$I$1001,0),0),1)),INDEX($N$2:$N$1001,MATCH(ROWS($I$2:I243),$I$2:$I$1001,0),0)))</f>
        <v>0</v>
      </c>
      <c r="B243" s="3">
        <f>IF(OR(INDEX($J$2:$J$1001,MATCH(ROWS($I$2:I243),$I$2:$I$1001,0),1)&gt;=100000,INDEX($P$1005:$S$1005,1,MATCH(COLUMNS($P$1006:P1006),$P$1006:$S$1006,0))&gt;=100000), " ",IF(INDEX($P$2:$S$1001,MATCH(ROWS($I$2:I243),$I$2:$I$1001,0),MATCH(COLUMNS($P$1006:P1006),$P$1006:$S$1006,0)), HYPERLINK("#",""), HYPERLINK(CONCATENATE("#metadata!", ADDRESS(INDEX($K$2:$K$1001,MATCH(ROWS($I$2:I243),$I$2:$I$1001,0),0), INDEX($P$1004:$S$1004,1,MATCH(COLUMNS($P$1006:P1006),$P$1006:$S$1006,0)))),"Fix")))</f>
        <v>0</v>
      </c>
      <c r="C243" s="3">
        <f>IF(OR(INDEX($J$2:$J$1001,MATCH(ROWS($I$2:I243),$I$2:$I$1001,0),1)&gt;=100000,INDEX($P$1005:$S$1005,1,MATCH(COLUMNS($P$1006:Q1006),$P$1006:$S$1006,0))&gt;=100000), " ",IF(INDEX($P$2:$S$1001,MATCH(ROWS($I$2:I243),$I$2:$I$1001,0),MATCH(COLUMNS($P$1006:Q1006),$P$1006:$S$1006,0)), HYPERLINK("#",""), HYPERLINK(CONCATENATE("#metadata!", ADDRESS(INDEX($K$2:$K$1001,MATCH(ROWS($I$2:I243),$I$2:$I$1001,0),0), INDEX($P$1004:$S$1004,1,MATCH(COLUMNS($P$1006:Q1006),$P$1006:$S$1006,0)))),"Fix")))</f>
        <v>0</v>
      </c>
      <c r="D243" s="3">
        <f>IF(OR(INDEX($J$2:$J$1001,MATCH(ROWS($I$2:I243),$I$2:$I$1001,0),1)&gt;=100000,INDEX($P$1005:$S$1005,1,MATCH(COLUMNS($P$1006:R1006),$P$1006:$S$1006,0))&gt;=100000), " ",IF(INDEX($P$2:$S$1001,MATCH(ROWS($I$2:I243),$I$2:$I$1001,0),MATCH(COLUMNS($P$1006:R1006),$P$1006:$S$1006,0)), HYPERLINK("#",""), HYPERLINK(CONCATENATE("#metadata!", ADDRESS(INDEX($K$2:$K$1001,MATCH(ROWS($I$2:I243),$I$2:$I$1001,0),0), INDEX($P$1004:$S$1004,1,MATCH(COLUMNS($P$1006:R1006),$P$1006:$S$1006,0)))),"Fix")))</f>
        <v>0</v>
      </c>
      <c r="E243" s="3">
        <f>IF(OR(INDEX($J$2:$J$1001,MATCH(ROWS($I$2:I243),$I$2:$I$1001,0),1)&gt;=100000,INDEX($P$1005:$S$1005,1,MATCH(COLUMNS($P$1006:S1006),$P$1006:$S$1006,0))&gt;=100000), " ",IF(INDEX($P$2:$S$1001,MATCH(ROWS($I$2:I243),$I$2:$I$1001,0),MATCH(COLUMNS($P$1006:S1006),$P$1006:$S$1006,0)), HYPERLINK("#",""), HYPERLINK(CONCATENATE("#metadata!", ADDRESS(INDEX($K$2:$K$1001,MATCH(ROWS($I$2:I243),$I$2:$I$1001,0),0), INDEX($P$1004:$S$1004,1,MATCH(COLUMNS($P$1006:S1006),$P$1006:$S$1006,0)))),"Fix")))</f>
        <v>0</v>
      </c>
      <c r="I243">
        <v>0</v>
      </c>
      <c r="J243">
        <v>0</v>
      </c>
      <c r="K243">
        <v>0</v>
      </c>
      <c r="L243">
        <f>IF(M243,TRUE,AND(P243:S243))</f>
        <v>0</v>
      </c>
      <c r="M243">
        <f>COUNTBLANK(metadata!B243:E243)=COLUMNS(metadata!B243:E243)</f>
        <v>0</v>
      </c>
      <c r="N243">
        <v>0</v>
      </c>
      <c r="P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Q243">
        <f>AND(IF(metadata!C243="",FALSE,TRUE),exact(metadata!C243,"other"))</f>
        <v>0</v>
      </c>
      <c r="R243">
        <f>AND(IF(metadata!D243="",FALSE,TRUE),exact(metadata!D243,"metagenome"))</f>
        <v>0</v>
      </c>
      <c r="S243">
        <f>AND(IF(metadata!E243="",FALSE,TRUE),exact(metadata!E243,"256318"))</f>
        <v>0</v>
      </c>
    </row>
    <row r="244" spans="1:19">
      <c r="A244" s="4">
        <f>IF(B244=" "," ",HYPERLINK(CONCATENATE("#metadata!",ADDRESS(INDEX($K$2:$K$1001,MATCH(ROWS($I$2:I244),$I$2:$I$1001,0),0),1)),INDEX($N$2:$N$1001,MATCH(ROWS($I$2:I244),$I$2:$I$1001,0),0)))</f>
        <v>0</v>
      </c>
      <c r="B244" s="3">
        <f>IF(OR(INDEX($J$2:$J$1001,MATCH(ROWS($I$2:I244),$I$2:$I$1001,0),1)&gt;=100000,INDEX($P$1005:$S$1005,1,MATCH(COLUMNS($P$1006:P1006),$P$1006:$S$1006,0))&gt;=100000), " ",IF(INDEX($P$2:$S$1001,MATCH(ROWS($I$2:I244),$I$2:$I$1001,0),MATCH(COLUMNS($P$1006:P1006),$P$1006:$S$1006,0)), HYPERLINK("#",""), HYPERLINK(CONCATENATE("#metadata!", ADDRESS(INDEX($K$2:$K$1001,MATCH(ROWS($I$2:I244),$I$2:$I$1001,0),0), INDEX($P$1004:$S$1004,1,MATCH(COLUMNS($P$1006:P1006),$P$1006:$S$1006,0)))),"Fix")))</f>
        <v>0</v>
      </c>
      <c r="C244" s="3">
        <f>IF(OR(INDEX($J$2:$J$1001,MATCH(ROWS($I$2:I244),$I$2:$I$1001,0),1)&gt;=100000,INDEX($P$1005:$S$1005,1,MATCH(COLUMNS($P$1006:Q1006),$P$1006:$S$1006,0))&gt;=100000), " ",IF(INDEX($P$2:$S$1001,MATCH(ROWS($I$2:I244),$I$2:$I$1001,0),MATCH(COLUMNS($P$1006:Q1006),$P$1006:$S$1006,0)), HYPERLINK("#",""), HYPERLINK(CONCATENATE("#metadata!", ADDRESS(INDEX($K$2:$K$1001,MATCH(ROWS($I$2:I244),$I$2:$I$1001,0),0), INDEX($P$1004:$S$1004,1,MATCH(COLUMNS($P$1006:Q1006),$P$1006:$S$1006,0)))),"Fix")))</f>
        <v>0</v>
      </c>
      <c r="D244" s="3">
        <f>IF(OR(INDEX($J$2:$J$1001,MATCH(ROWS($I$2:I244),$I$2:$I$1001,0),1)&gt;=100000,INDEX($P$1005:$S$1005,1,MATCH(COLUMNS($P$1006:R1006),$P$1006:$S$1006,0))&gt;=100000), " ",IF(INDEX($P$2:$S$1001,MATCH(ROWS($I$2:I244),$I$2:$I$1001,0),MATCH(COLUMNS($P$1006:R1006),$P$1006:$S$1006,0)), HYPERLINK("#",""), HYPERLINK(CONCATENATE("#metadata!", ADDRESS(INDEX($K$2:$K$1001,MATCH(ROWS($I$2:I244),$I$2:$I$1001,0),0), INDEX($P$1004:$S$1004,1,MATCH(COLUMNS($P$1006:R1006),$P$1006:$S$1006,0)))),"Fix")))</f>
        <v>0</v>
      </c>
      <c r="E244" s="3">
        <f>IF(OR(INDEX($J$2:$J$1001,MATCH(ROWS($I$2:I244),$I$2:$I$1001,0),1)&gt;=100000,INDEX($P$1005:$S$1005,1,MATCH(COLUMNS($P$1006:S1006),$P$1006:$S$1006,0))&gt;=100000), " ",IF(INDEX($P$2:$S$1001,MATCH(ROWS($I$2:I244),$I$2:$I$1001,0),MATCH(COLUMNS($P$1006:S1006),$P$1006:$S$1006,0)), HYPERLINK("#",""), HYPERLINK(CONCATENATE("#metadata!", ADDRESS(INDEX($K$2:$K$1001,MATCH(ROWS($I$2:I244),$I$2:$I$1001,0),0), INDEX($P$1004:$S$1004,1,MATCH(COLUMNS($P$1006:S1006),$P$1006:$S$1006,0)))),"Fix")))</f>
        <v>0</v>
      </c>
      <c r="I244">
        <v>0</v>
      </c>
      <c r="J244">
        <v>0</v>
      </c>
      <c r="K244">
        <v>0</v>
      </c>
      <c r="L244">
        <f>IF(M244,TRUE,AND(P244:S244))</f>
        <v>0</v>
      </c>
      <c r="M244">
        <f>COUNTBLANK(metadata!B244:E244)=COLUMNS(metadata!B244:E244)</f>
        <v>0</v>
      </c>
      <c r="N244">
        <v>0</v>
      </c>
      <c r="P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Q244">
        <f>AND(IF(metadata!C244="",FALSE,TRUE),exact(metadata!C244,"other"))</f>
        <v>0</v>
      </c>
      <c r="R244">
        <f>AND(IF(metadata!D244="",FALSE,TRUE),exact(metadata!D244,"metagenome"))</f>
        <v>0</v>
      </c>
      <c r="S244">
        <f>AND(IF(metadata!E244="",FALSE,TRUE),exact(metadata!E244,"256318"))</f>
        <v>0</v>
      </c>
    </row>
    <row r="245" spans="1:19">
      <c r="A245" s="4">
        <f>IF(B245=" "," ",HYPERLINK(CONCATENATE("#metadata!",ADDRESS(INDEX($K$2:$K$1001,MATCH(ROWS($I$2:I245),$I$2:$I$1001,0),0),1)),INDEX($N$2:$N$1001,MATCH(ROWS($I$2:I245),$I$2:$I$1001,0),0)))</f>
        <v>0</v>
      </c>
      <c r="B245" s="3">
        <f>IF(OR(INDEX($J$2:$J$1001,MATCH(ROWS($I$2:I245),$I$2:$I$1001,0),1)&gt;=100000,INDEX($P$1005:$S$1005,1,MATCH(COLUMNS($P$1006:P1006),$P$1006:$S$1006,0))&gt;=100000), " ",IF(INDEX($P$2:$S$1001,MATCH(ROWS($I$2:I245),$I$2:$I$1001,0),MATCH(COLUMNS($P$1006:P1006),$P$1006:$S$1006,0)), HYPERLINK("#",""), HYPERLINK(CONCATENATE("#metadata!", ADDRESS(INDEX($K$2:$K$1001,MATCH(ROWS($I$2:I245),$I$2:$I$1001,0),0), INDEX($P$1004:$S$1004,1,MATCH(COLUMNS($P$1006:P1006),$P$1006:$S$1006,0)))),"Fix")))</f>
        <v>0</v>
      </c>
      <c r="C245" s="3">
        <f>IF(OR(INDEX($J$2:$J$1001,MATCH(ROWS($I$2:I245),$I$2:$I$1001,0),1)&gt;=100000,INDEX($P$1005:$S$1005,1,MATCH(COLUMNS($P$1006:Q1006),$P$1006:$S$1006,0))&gt;=100000), " ",IF(INDEX($P$2:$S$1001,MATCH(ROWS($I$2:I245),$I$2:$I$1001,0),MATCH(COLUMNS($P$1006:Q1006),$P$1006:$S$1006,0)), HYPERLINK("#",""), HYPERLINK(CONCATENATE("#metadata!", ADDRESS(INDEX($K$2:$K$1001,MATCH(ROWS($I$2:I245),$I$2:$I$1001,0),0), INDEX($P$1004:$S$1004,1,MATCH(COLUMNS($P$1006:Q1006),$P$1006:$S$1006,0)))),"Fix")))</f>
        <v>0</v>
      </c>
      <c r="D245" s="3">
        <f>IF(OR(INDEX($J$2:$J$1001,MATCH(ROWS($I$2:I245),$I$2:$I$1001,0),1)&gt;=100000,INDEX($P$1005:$S$1005,1,MATCH(COLUMNS($P$1006:R1006),$P$1006:$S$1006,0))&gt;=100000), " ",IF(INDEX($P$2:$S$1001,MATCH(ROWS($I$2:I245),$I$2:$I$1001,0),MATCH(COLUMNS($P$1006:R1006),$P$1006:$S$1006,0)), HYPERLINK("#",""), HYPERLINK(CONCATENATE("#metadata!", ADDRESS(INDEX($K$2:$K$1001,MATCH(ROWS($I$2:I245),$I$2:$I$1001,0),0), INDEX($P$1004:$S$1004,1,MATCH(COLUMNS($P$1006:R1006),$P$1006:$S$1006,0)))),"Fix")))</f>
        <v>0</v>
      </c>
      <c r="E245" s="3">
        <f>IF(OR(INDEX($J$2:$J$1001,MATCH(ROWS($I$2:I245),$I$2:$I$1001,0),1)&gt;=100000,INDEX($P$1005:$S$1005,1,MATCH(COLUMNS($P$1006:S1006),$P$1006:$S$1006,0))&gt;=100000), " ",IF(INDEX($P$2:$S$1001,MATCH(ROWS($I$2:I245),$I$2:$I$1001,0),MATCH(COLUMNS($P$1006:S1006),$P$1006:$S$1006,0)), HYPERLINK("#",""), HYPERLINK(CONCATENATE("#metadata!", ADDRESS(INDEX($K$2:$K$1001,MATCH(ROWS($I$2:I245),$I$2:$I$1001,0),0), INDEX($P$1004:$S$1004,1,MATCH(COLUMNS($P$1006:S1006),$P$1006:$S$1006,0)))),"Fix")))</f>
        <v>0</v>
      </c>
      <c r="I245">
        <v>0</v>
      </c>
      <c r="J245">
        <v>0</v>
      </c>
      <c r="K245">
        <v>0</v>
      </c>
      <c r="L245">
        <f>IF(M245,TRUE,AND(P245:S245))</f>
        <v>0</v>
      </c>
      <c r="M245">
        <f>COUNTBLANK(metadata!B245:E245)=COLUMNS(metadata!B245:E245)</f>
        <v>0</v>
      </c>
      <c r="N245">
        <v>0</v>
      </c>
      <c r="P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Q245">
        <f>AND(IF(metadata!C245="",FALSE,TRUE),exact(metadata!C245,"other"))</f>
        <v>0</v>
      </c>
      <c r="R245">
        <f>AND(IF(metadata!D245="",FALSE,TRUE),exact(metadata!D245,"metagenome"))</f>
        <v>0</v>
      </c>
      <c r="S245">
        <f>AND(IF(metadata!E245="",FALSE,TRUE),exact(metadata!E245,"256318"))</f>
        <v>0</v>
      </c>
    </row>
    <row r="246" spans="1:19">
      <c r="A246" s="4">
        <f>IF(B246=" "," ",HYPERLINK(CONCATENATE("#metadata!",ADDRESS(INDEX($K$2:$K$1001,MATCH(ROWS($I$2:I246),$I$2:$I$1001,0),0),1)),INDEX($N$2:$N$1001,MATCH(ROWS($I$2:I246),$I$2:$I$1001,0),0)))</f>
        <v>0</v>
      </c>
      <c r="B246" s="3">
        <f>IF(OR(INDEX($J$2:$J$1001,MATCH(ROWS($I$2:I246),$I$2:$I$1001,0),1)&gt;=100000,INDEX($P$1005:$S$1005,1,MATCH(COLUMNS($P$1006:P1006),$P$1006:$S$1006,0))&gt;=100000), " ",IF(INDEX($P$2:$S$1001,MATCH(ROWS($I$2:I246),$I$2:$I$1001,0),MATCH(COLUMNS($P$1006:P1006),$P$1006:$S$1006,0)), HYPERLINK("#",""), HYPERLINK(CONCATENATE("#metadata!", ADDRESS(INDEX($K$2:$K$1001,MATCH(ROWS($I$2:I246),$I$2:$I$1001,0),0), INDEX($P$1004:$S$1004,1,MATCH(COLUMNS($P$1006:P1006),$P$1006:$S$1006,0)))),"Fix")))</f>
        <v>0</v>
      </c>
      <c r="C246" s="3">
        <f>IF(OR(INDEX($J$2:$J$1001,MATCH(ROWS($I$2:I246),$I$2:$I$1001,0),1)&gt;=100000,INDEX($P$1005:$S$1005,1,MATCH(COLUMNS($P$1006:Q1006),$P$1006:$S$1006,0))&gt;=100000), " ",IF(INDEX($P$2:$S$1001,MATCH(ROWS($I$2:I246),$I$2:$I$1001,0),MATCH(COLUMNS($P$1006:Q1006),$P$1006:$S$1006,0)), HYPERLINK("#",""), HYPERLINK(CONCATENATE("#metadata!", ADDRESS(INDEX($K$2:$K$1001,MATCH(ROWS($I$2:I246),$I$2:$I$1001,0),0), INDEX($P$1004:$S$1004,1,MATCH(COLUMNS($P$1006:Q1006),$P$1006:$S$1006,0)))),"Fix")))</f>
        <v>0</v>
      </c>
      <c r="D246" s="3">
        <f>IF(OR(INDEX($J$2:$J$1001,MATCH(ROWS($I$2:I246),$I$2:$I$1001,0),1)&gt;=100000,INDEX($P$1005:$S$1005,1,MATCH(COLUMNS($P$1006:R1006),$P$1006:$S$1006,0))&gt;=100000), " ",IF(INDEX($P$2:$S$1001,MATCH(ROWS($I$2:I246),$I$2:$I$1001,0),MATCH(COLUMNS($P$1006:R1006),$P$1006:$S$1006,0)), HYPERLINK("#",""), HYPERLINK(CONCATENATE("#metadata!", ADDRESS(INDEX($K$2:$K$1001,MATCH(ROWS($I$2:I246),$I$2:$I$1001,0),0), INDEX($P$1004:$S$1004,1,MATCH(COLUMNS($P$1006:R1006),$P$1006:$S$1006,0)))),"Fix")))</f>
        <v>0</v>
      </c>
      <c r="E246" s="3">
        <f>IF(OR(INDEX($J$2:$J$1001,MATCH(ROWS($I$2:I246),$I$2:$I$1001,0),1)&gt;=100000,INDEX($P$1005:$S$1005,1,MATCH(COLUMNS($P$1006:S1006),$P$1006:$S$1006,0))&gt;=100000), " ",IF(INDEX($P$2:$S$1001,MATCH(ROWS($I$2:I246),$I$2:$I$1001,0),MATCH(COLUMNS($P$1006:S1006),$P$1006:$S$1006,0)), HYPERLINK("#",""), HYPERLINK(CONCATENATE("#metadata!", ADDRESS(INDEX($K$2:$K$1001,MATCH(ROWS($I$2:I246),$I$2:$I$1001,0),0), INDEX($P$1004:$S$1004,1,MATCH(COLUMNS($P$1006:S1006),$P$1006:$S$1006,0)))),"Fix")))</f>
        <v>0</v>
      </c>
      <c r="I246">
        <v>0</v>
      </c>
      <c r="J246">
        <v>0</v>
      </c>
      <c r="K246">
        <v>0</v>
      </c>
      <c r="L246">
        <f>IF(M246,TRUE,AND(P246:S246))</f>
        <v>0</v>
      </c>
      <c r="M246">
        <f>COUNTBLANK(metadata!B246:E246)=COLUMNS(metadata!B246:E246)</f>
        <v>0</v>
      </c>
      <c r="N246">
        <v>0</v>
      </c>
      <c r="P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Q246">
        <f>AND(IF(metadata!C246="",FALSE,TRUE),exact(metadata!C246,"other"))</f>
        <v>0</v>
      </c>
      <c r="R246">
        <f>AND(IF(metadata!D246="",FALSE,TRUE),exact(metadata!D246,"metagenome"))</f>
        <v>0</v>
      </c>
      <c r="S246">
        <f>AND(IF(metadata!E246="",FALSE,TRUE),exact(metadata!E246,"256318"))</f>
        <v>0</v>
      </c>
    </row>
    <row r="247" spans="1:19">
      <c r="A247" s="4">
        <f>IF(B247=" "," ",HYPERLINK(CONCATENATE("#metadata!",ADDRESS(INDEX($K$2:$K$1001,MATCH(ROWS($I$2:I247),$I$2:$I$1001,0),0),1)),INDEX($N$2:$N$1001,MATCH(ROWS($I$2:I247),$I$2:$I$1001,0),0)))</f>
        <v>0</v>
      </c>
      <c r="B247" s="3">
        <f>IF(OR(INDEX($J$2:$J$1001,MATCH(ROWS($I$2:I247),$I$2:$I$1001,0),1)&gt;=100000,INDEX($P$1005:$S$1005,1,MATCH(COLUMNS($P$1006:P1006),$P$1006:$S$1006,0))&gt;=100000), " ",IF(INDEX($P$2:$S$1001,MATCH(ROWS($I$2:I247),$I$2:$I$1001,0),MATCH(COLUMNS($P$1006:P1006),$P$1006:$S$1006,0)), HYPERLINK("#",""), HYPERLINK(CONCATENATE("#metadata!", ADDRESS(INDEX($K$2:$K$1001,MATCH(ROWS($I$2:I247),$I$2:$I$1001,0),0), INDEX($P$1004:$S$1004,1,MATCH(COLUMNS($P$1006:P1006),$P$1006:$S$1006,0)))),"Fix")))</f>
        <v>0</v>
      </c>
      <c r="C247" s="3">
        <f>IF(OR(INDEX($J$2:$J$1001,MATCH(ROWS($I$2:I247),$I$2:$I$1001,0),1)&gt;=100000,INDEX($P$1005:$S$1005,1,MATCH(COLUMNS($P$1006:Q1006),$P$1006:$S$1006,0))&gt;=100000), " ",IF(INDEX($P$2:$S$1001,MATCH(ROWS($I$2:I247),$I$2:$I$1001,0),MATCH(COLUMNS($P$1006:Q1006),$P$1006:$S$1006,0)), HYPERLINK("#",""), HYPERLINK(CONCATENATE("#metadata!", ADDRESS(INDEX($K$2:$K$1001,MATCH(ROWS($I$2:I247),$I$2:$I$1001,0),0), INDEX($P$1004:$S$1004,1,MATCH(COLUMNS($P$1006:Q1006),$P$1006:$S$1006,0)))),"Fix")))</f>
        <v>0</v>
      </c>
      <c r="D247" s="3">
        <f>IF(OR(INDEX($J$2:$J$1001,MATCH(ROWS($I$2:I247),$I$2:$I$1001,0),1)&gt;=100000,INDEX($P$1005:$S$1005,1,MATCH(COLUMNS($P$1006:R1006),$P$1006:$S$1006,0))&gt;=100000), " ",IF(INDEX($P$2:$S$1001,MATCH(ROWS($I$2:I247),$I$2:$I$1001,0),MATCH(COLUMNS($P$1006:R1006),$P$1006:$S$1006,0)), HYPERLINK("#",""), HYPERLINK(CONCATENATE("#metadata!", ADDRESS(INDEX($K$2:$K$1001,MATCH(ROWS($I$2:I247),$I$2:$I$1001,0),0), INDEX($P$1004:$S$1004,1,MATCH(COLUMNS($P$1006:R1006),$P$1006:$S$1006,0)))),"Fix")))</f>
        <v>0</v>
      </c>
      <c r="E247" s="3">
        <f>IF(OR(INDEX($J$2:$J$1001,MATCH(ROWS($I$2:I247),$I$2:$I$1001,0),1)&gt;=100000,INDEX($P$1005:$S$1005,1,MATCH(COLUMNS($P$1006:S1006),$P$1006:$S$1006,0))&gt;=100000), " ",IF(INDEX($P$2:$S$1001,MATCH(ROWS($I$2:I247),$I$2:$I$1001,0),MATCH(COLUMNS($P$1006:S1006),$P$1006:$S$1006,0)), HYPERLINK("#",""), HYPERLINK(CONCATENATE("#metadata!", ADDRESS(INDEX($K$2:$K$1001,MATCH(ROWS($I$2:I247),$I$2:$I$1001,0),0), INDEX($P$1004:$S$1004,1,MATCH(COLUMNS($P$1006:S1006),$P$1006:$S$1006,0)))),"Fix")))</f>
        <v>0</v>
      </c>
      <c r="I247">
        <v>0</v>
      </c>
      <c r="J247">
        <v>0</v>
      </c>
      <c r="K247">
        <v>0</v>
      </c>
      <c r="L247">
        <f>IF(M247,TRUE,AND(P247:S247))</f>
        <v>0</v>
      </c>
      <c r="M247">
        <f>COUNTBLANK(metadata!B247:E247)=COLUMNS(metadata!B247:E247)</f>
        <v>0</v>
      </c>
      <c r="N247">
        <v>0</v>
      </c>
      <c r="P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Q247">
        <f>AND(IF(metadata!C247="",FALSE,TRUE),exact(metadata!C247,"other"))</f>
        <v>0</v>
      </c>
      <c r="R247">
        <f>AND(IF(metadata!D247="",FALSE,TRUE),exact(metadata!D247,"metagenome"))</f>
        <v>0</v>
      </c>
      <c r="S247">
        <f>AND(IF(metadata!E247="",FALSE,TRUE),exact(metadata!E247,"256318"))</f>
        <v>0</v>
      </c>
    </row>
    <row r="248" spans="1:19">
      <c r="A248" s="4">
        <f>IF(B248=" "," ",HYPERLINK(CONCATENATE("#metadata!",ADDRESS(INDEX($K$2:$K$1001,MATCH(ROWS($I$2:I248),$I$2:$I$1001,0),0),1)),INDEX($N$2:$N$1001,MATCH(ROWS($I$2:I248),$I$2:$I$1001,0),0)))</f>
        <v>0</v>
      </c>
      <c r="B248" s="3">
        <f>IF(OR(INDEX($J$2:$J$1001,MATCH(ROWS($I$2:I248),$I$2:$I$1001,0),1)&gt;=100000,INDEX($P$1005:$S$1005,1,MATCH(COLUMNS($P$1006:P1006),$P$1006:$S$1006,0))&gt;=100000), " ",IF(INDEX($P$2:$S$1001,MATCH(ROWS($I$2:I248),$I$2:$I$1001,0),MATCH(COLUMNS($P$1006:P1006),$P$1006:$S$1006,0)), HYPERLINK("#",""), HYPERLINK(CONCATENATE("#metadata!", ADDRESS(INDEX($K$2:$K$1001,MATCH(ROWS($I$2:I248),$I$2:$I$1001,0),0), INDEX($P$1004:$S$1004,1,MATCH(COLUMNS($P$1006:P1006),$P$1006:$S$1006,0)))),"Fix")))</f>
        <v>0</v>
      </c>
      <c r="C248" s="3">
        <f>IF(OR(INDEX($J$2:$J$1001,MATCH(ROWS($I$2:I248),$I$2:$I$1001,0),1)&gt;=100000,INDEX($P$1005:$S$1005,1,MATCH(COLUMNS($P$1006:Q1006),$P$1006:$S$1006,0))&gt;=100000), " ",IF(INDEX($P$2:$S$1001,MATCH(ROWS($I$2:I248),$I$2:$I$1001,0),MATCH(COLUMNS($P$1006:Q1006),$P$1006:$S$1006,0)), HYPERLINK("#",""), HYPERLINK(CONCATENATE("#metadata!", ADDRESS(INDEX($K$2:$K$1001,MATCH(ROWS($I$2:I248),$I$2:$I$1001,0),0), INDEX($P$1004:$S$1004,1,MATCH(COLUMNS($P$1006:Q1006),$P$1006:$S$1006,0)))),"Fix")))</f>
        <v>0</v>
      </c>
      <c r="D248" s="3">
        <f>IF(OR(INDEX($J$2:$J$1001,MATCH(ROWS($I$2:I248),$I$2:$I$1001,0),1)&gt;=100000,INDEX($P$1005:$S$1005,1,MATCH(COLUMNS($P$1006:R1006),$P$1006:$S$1006,0))&gt;=100000), " ",IF(INDEX($P$2:$S$1001,MATCH(ROWS($I$2:I248),$I$2:$I$1001,0),MATCH(COLUMNS($P$1006:R1006),$P$1006:$S$1006,0)), HYPERLINK("#",""), HYPERLINK(CONCATENATE("#metadata!", ADDRESS(INDEX($K$2:$K$1001,MATCH(ROWS($I$2:I248),$I$2:$I$1001,0),0), INDEX($P$1004:$S$1004,1,MATCH(COLUMNS($P$1006:R1006),$P$1006:$S$1006,0)))),"Fix")))</f>
        <v>0</v>
      </c>
      <c r="E248" s="3">
        <f>IF(OR(INDEX($J$2:$J$1001,MATCH(ROWS($I$2:I248),$I$2:$I$1001,0),1)&gt;=100000,INDEX($P$1005:$S$1005,1,MATCH(COLUMNS($P$1006:S1006),$P$1006:$S$1006,0))&gt;=100000), " ",IF(INDEX($P$2:$S$1001,MATCH(ROWS($I$2:I248),$I$2:$I$1001,0),MATCH(COLUMNS($P$1006:S1006),$P$1006:$S$1006,0)), HYPERLINK("#",""), HYPERLINK(CONCATENATE("#metadata!", ADDRESS(INDEX($K$2:$K$1001,MATCH(ROWS($I$2:I248),$I$2:$I$1001,0),0), INDEX($P$1004:$S$1004,1,MATCH(COLUMNS($P$1006:S1006),$P$1006:$S$1006,0)))),"Fix")))</f>
        <v>0</v>
      </c>
      <c r="I248">
        <v>0</v>
      </c>
      <c r="J248">
        <v>0</v>
      </c>
      <c r="K248">
        <v>0</v>
      </c>
      <c r="L248">
        <f>IF(M248,TRUE,AND(P248:S248))</f>
        <v>0</v>
      </c>
      <c r="M248">
        <f>COUNTBLANK(metadata!B248:E248)=COLUMNS(metadata!B248:E248)</f>
        <v>0</v>
      </c>
      <c r="N248">
        <v>0</v>
      </c>
      <c r="P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Q248">
        <f>AND(IF(metadata!C248="",FALSE,TRUE),exact(metadata!C248,"other"))</f>
        <v>0</v>
      </c>
      <c r="R248">
        <f>AND(IF(metadata!D248="",FALSE,TRUE),exact(metadata!D248,"metagenome"))</f>
        <v>0</v>
      </c>
      <c r="S248">
        <f>AND(IF(metadata!E248="",FALSE,TRUE),exact(metadata!E248,"256318"))</f>
        <v>0</v>
      </c>
    </row>
    <row r="249" spans="1:19">
      <c r="A249" s="4">
        <f>IF(B249=" "," ",HYPERLINK(CONCATENATE("#metadata!",ADDRESS(INDEX($K$2:$K$1001,MATCH(ROWS($I$2:I249),$I$2:$I$1001,0),0),1)),INDEX($N$2:$N$1001,MATCH(ROWS($I$2:I249),$I$2:$I$1001,0),0)))</f>
        <v>0</v>
      </c>
      <c r="B249" s="3">
        <f>IF(OR(INDEX($J$2:$J$1001,MATCH(ROWS($I$2:I249),$I$2:$I$1001,0),1)&gt;=100000,INDEX($P$1005:$S$1005,1,MATCH(COLUMNS($P$1006:P1006),$P$1006:$S$1006,0))&gt;=100000), " ",IF(INDEX($P$2:$S$1001,MATCH(ROWS($I$2:I249),$I$2:$I$1001,0),MATCH(COLUMNS($P$1006:P1006),$P$1006:$S$1006,0)), HYPERLINK("#",""), HYPERLINK(CONCATENATE("#metadata!", ADDRESS(INDEX($K$2:$K$1001,MATCH(ROWS($I$2:I249),$I$2:$I$1001,0),0), INDEX($P$1004:$S$1004,1,MATCH(COLUMNS($P$1006:P1006),$P$1006:$S$1006,0)))),"Fix")))</f>
        <v>0</v>
      </c>
      <c r="C249" s="3">
        <f>IF(OR(INDEX($J$2:$J$1001,MATCH(ROWS($I$2:I249),$I$2:$I$1001,0),1)&gt;=100000,INDEX($P$1005:$S$1005,1,MATCH(COLUMNS($P$1006:Q1006),$P$1006:$S$1006,0))&gt;=100000), " ",IF(INDEX($P$2:$S$1001,MATCH(ROWS($I$2:I249),$I$2:$I$1001,0),MATCH(COLUMNS($P$1006:Q1006),$P$1006:$S$1006,0)), HYPERLINK("#",""), HYPERLINK(CONCATENATE("#metadata!", ADDRESS(INDEX($K$2:$K$1001,MATCH(ROWS($I$2:I249),$I$2:$I$1001,0),0), INDEX($P$1004:$S$1004,1,MATCH(COLUMNS($P$1006:Q1006),$P$1006:$S$1006,0)))),"Fix")))</f>
        <v>0</v>
      </c>
      <c r="D249" s="3">
        <f>IF(OR(INDEX($J$2:$J$1001,MATCH(ROWS($I$2:I249),$I$2:$I$1001,0),1)&gt;=100000,INDEX($P$1005:$S$1005,1,MATCH(COLUMNS($P$1006:R1006),$P$1006:$S$1006,0))&gt;=100000), " ",IF(INDEX($P$2:$S$1001,MATCH(ROWS($I$2:I249),$I$2:$I$1001,0),MATCH(COLUMNS($P$1006:R1006),$P$1006:$S$1006,0)), HYPERLINK("#",""), HYPERLINK(CONCATENATE("#metadata!", ADDRESS(INDEX($K$2:$K$1001,MATCH(ROWS($I$2:I249),$I$2:$I$1001,0),0), INDEX($P$1004:$S$1004,1,MATCH(COLUMNS($P$1006:R1006),$P$1006:$S$1006,0)))),"Fix")))</f>
        <v>0</v>
      </c>
      <c r="E249" s="3">
        <f>IF(OR(INDEX($J$2:$J$1001,MATCH(ROWS($I$2:I249),$I$2:$I$1001,0),1)&gt;=100000,INDEX($P$1005:$S$1005,1,MATCH(COLUMNS($P$1006:S1006),$P$1006:$S$1006,0))&gt;=100000), " ",IF(INDEX($P$2:$S$1001,MATCH(ROWS($I$2:I249),$I$2:$I$1001,0),MATCH(COLUMNS($P$1006:S1006),$P$1006:$S$1006,0)), HYPERLINK("#",""), HYPERLINK(CONCATENATE("#metadata!", ADDRESS(INDEX($K$2:$K$1001,MATCH(ROWS($I$2:I249),$I$2:$I$1001,0),0), INDEX($P$1004:$S$1004,1,MATCH(COLUMNS($P$1006:S1006),$P$1006:$S$1006,0)))),"Fix")))</f>
        <v>0</v>
      </c>
      <c r="I249">
        <v>0</v>
      </c>
      <c r="J249">
        <v>0</v>
      </c>
      <c r="K249">
        <v>0</v>
      </c>
      <c r="L249">
        <f>IF(M249,TRUE,AND(P249:S249))</f>
        <v>0</v>
      </c>
      <c r="M249">
        <f>COUNTBLANK(metadata!B249:E249)=COLUMNS(metadata!B249:E249)</f>
        <v>0</v>
      </c>
      <c r="N249">
        <v>0</v>
      </c>
      <c r="P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Q249">
        <f>AND(IF(metadata!C249="",FALSE,TRUE),exact(metadata!C249,"other"))</f>
        <v>0</v>
      </c>
      <c r="R249">
        <f>AND(IF(metadata!D249="",FALSE,TRUE),exact(metadata!D249,"metagenome"))</f>
        <v>0</v>
      </c>
      <c r="S249">
        <f>AND(IF(metadata!E249="",FALSE,TRUE),exact(metadata!E249,"256318"))</f>
        <v>0</v>
      </c>
    </row>
    <row r="250" spans="1:19">
      <c r="A250" s="4">
        <f>IF(B250=" "," ",HYPERLINK(CONCATENATE("#metadata!",ADDRESS(INDEX($K$2:$K$1001,MATCH(ROWS($I$2:I250),$I$2:$I$1001,0),0),1)),INDEX($N$2:$N$1001,MATCH(ROWS($I$2:I250),$I$2:$I$1001,0),0)))</f>
        <v>0</v>
      </c>
      <c r="B250" s="3">
        <f>IF(OR(INDEX($J$2:$J$1001,MATCH(ROWS($I$2:I250),$I$2:$I$1001,0),1)&gt;=100000,INDEX($P$1005:$S$1005,1,MATCH(COLUMNS($P$1006:P1006),$P$1006:$S$1006,0))&gt;=100000), " ",IF(INDEX($P$2:$S$1001,MATCH(ROWS($I$2:I250),$I$2:$I$1001,0),MATCH(COLUMNS($P$1006:P1006),$P$1006:$S$1006,0)), HYPERLINK("#",""), HYPERLINK(CONCATENATE("#metadata!", ADDRESS(INDEX($K$2:$K$1001,MATCH(ROWS($I$2:I250),$I$2:$I$1001,0),0), INDEX($P$1004:$S$1004,1,MATCH(COLUMNS($P$1006:P1006),$P$1006:$S$1006,0)))),"Fix")))</f>
        <v>0</v>
      </c>
      <c r="C250" s="3">
        <f>IF(OR(INDEX($J$2:$J$1001,MATCH(ROWS($I$2:I250),$I$2:$I$1001,0),1)&gt;=100000,INDEX($P$1005:$S$1005,1,MATCH(COLUMNS($P$1006:Q1006),$P$1006:$S$1006,0))&gt;=100000), " ",IF(INDEX($P$2:$S$1001,MATCH(ROWS($I$2:I250),$I$2:$I$1001,0),MATCH(COLUMNS($P$1006:Q1006),$P$1006:$S$1006,0)), HYPERLINK("#",""), HYPERLINK(CONCATENATE("#metadata!", ADDRESS(INDEX($K$2:$K$1001,MATCH(ROWS($I$2:I250),$I$2:$I$1001,0),0), INDEX($P$1004:$S$1004,1,MATCH(COLUMNS($P$1006:Q1006),$P$1006:$S$1006,0)))),"Fix")))</f>
        <v>0</v>
      </c>
      <c r="D250" s="3">
        <f>IF(OR(INDEX($J$2:$J$1001,MATCH(ROWS($I$2:I250),$I$2:$I$1001,0),1)&gt;=100000,INDEX($P$1005:$S$1005,1,MATCH(COLUMNS($P$1006:R1006),$P$1006:$S$1006,0))&gt;=100000), " ",IF(INDEX($P$2:$S$1001,MATCH(ROWS($I$2:I250),$I$2:$I$1001,0),MATCH(COLUMNS($P$1006:R1006),$P$1006:$S$1006,0)), HYPERLINK("#",""), HYPERLINK(CONCATENATE("#metadata!", ADDRESS(INDEX($K$2:$K$1001,MATCH(ROWS($I$2:I250),$I$2:$I$1001,0),0), INDEX($P$1004:$S$1004,1,MATCH(COLUMNS($P$1006:R1006),$P$1006:$S$1006,0)))),"Fix")))</f>
        <v>0</v>
      </c>
      <c r="E250" s="3">
        <f>IF(OR(INDEX($J$2:$J$1001,MATCH(ROWS($I$2:I250),$I$2:$I$1001,0),1)&gt;=100000,INDEX($P$1005:$S$1005,1,MATCH(COLUMNS($P$1006:S1006),$P$1006:$S$1006,0))&gt;=100000), " ",IF(INDEX($P$2:$S$1001,MATCH(ROWS($I$2:I250),$I$2:$I$1001,0),MATCH(COLUMNS($P$1006:S1006),$P$1006:$S$1006,0)), HYPERLINK("#",""), HYPERLINK(CONCATENATE("#metadata!", ADDRESS(INDEX($K$2:$K$1001,MATCH(ROWS($I$2:I250),$I$2:$I$1001,0),0), INDEX($P$1004:$S$1004,1,MATCH(COLUMNS($P$1006:S1006),$P$1006:$S$1006,0)))),"Fix")))</f>
        <v>0</v>
      </c>
      <c r="I250">
        <v>0</v>
      </c>
      <c r="J250">
        <v>0</v>
      </c>
      <c r="K250">
        <v>0</v>
      </c>
      <c r="L250">
        <f>IF(M250,TRUE,AND(P250:S250))</f>
        <v>0</v>
      </c>
      <c r="M250">
        <f>COUNTBLANK(metadata!B250:E250)=COLUMNS(metadata!B250:E250)</f>
        <v>0</v>
      </c>
      <c r="N250">
        <v>0</v>
      </c>
      <c r="P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Q250">
        <f>AND(IF(metadata!C250="",FALSE,TRUE),exact(metadata!C250,"other"))</f>
        <v>0</v>
      </c>
      <c r="R250">
        <f>AND(IF(metadata!D250="",FALSE,TRUE),exact(metadata!D250,"metagenome"))</f>
        <v>0</v>
      </c>
      <c r="S250">
        <f>AND(IF(metadata!E250="",FALSE,TRUE),exact(metadata!E250,"256318"))</f>
        <v>0</v>
      </c>
    </row>
    <row r="251" spans="1:19">
      <c r="A251" s="4">
        <f>IF(B251=" "," ",HYPERLINK(CONCATENATE("#metadata!",ADDRESS(INDEX($K$2:$K$1001,MATCH(ROWS($I$2:I251),$I$2:$I$1001,0),0),1)),INDEX($N$2:$N$1001,MATCH(ROWS($I$2:I251),$I$2:$I$1001,0),0)))</f>
        <v>0</v>
      </c>
      <c r="B251" s="3">
        <f>IF(OR(INDEX($J$2:$J$1001,MATCH(ROWS($I$2:I251),$I$2:$I$1001,0),1)&gt;=100000,INDEX($P$1005:$S$1005,1,MATCH(COLUMNS($P$1006:P1006),$P$1006:$S$1006,0))&gt;=100000), " ",IF(INDEX($P$2:$S$1001,MATCH(ROWS($I$2:I251),$I$2:$I$1001,0),MATCH(COLUMNS($P$1006:P1006),$P$1006:$S$1006,0)), HYPERLINK("#",""), HYPERLINK(CONCATENATE("#metadata!", ADDRESS(INDEX($K$2:$K$1001,MATCH(ROWS($I$2:I251),$I$2:$I$1001,0),0), INDEX($P$1004:$S$1004,1,MATCH(COLUMNS($P$1006:P1006),$P$1006:$S$1006,0)))),"Fix")))</f>
        <v>0</v>
      </c>
      <c r="C251" s="3">
        <f>IF(OR(INDEX($J$2:$J$1001,MATCH(ROWS($I$2:I251),$I$2:$I$1001,0),1)&gt;=100000,INDEX($P$1005:$S$1005,1,MATCH(COLUMNS($P$1006:Q1006),$P$1006:$S$1006,0))&gt;=100000), " ",IF(INDEX($P$2:$S$1001,MATCH(ROWS($I$2:I251),$I$2:$I$1001,0),MATCH(COLUMNS($P$1006:Q1006),$P$1006:$S$1006,0)), HYPERLINK("#",""), HYPERLINK(CONCATENATE("#metadata!", ADDRESS(INDEX($K$2:$K$1001,MATCH(ROWS($I$2:I251),$I$2:$I$1001,0),0), INDEX($P$1004:$S$1004,1,MATCH(COLUMNS($P$1006:Q1006),$P$1006:$S$1006,0)))),"Fix")))</f>
        <v>0</v>
      </c>
      <c r="D251" s="3">
        <f>IF(OR(INDEX($J$2:$J$1001,MATCH(ROWS($I$2:I251),$I$2:$I$1001,0),1)&gt;=100000,INDEX($P$1005:$S$1005,1,MATCH(COLUMNS($P$1006:R1006),$P$1006:$S$1006,0))&gt;=100000), " ",IF(INDEX($P$2:$S$1001,MATCH(ROWS($I$2:I251),$I$2:$I$1001,0),MATCH(COLUMNS($P$1006:R1006),$P$1006:$S$1006,0)), HYPERLINK("#",""), HYPERLINK(CONCATENATE("#metadata!", ADDRESS(INDEX($K$2:$K$1001,MATCH(ROWS($I$2:I251),$I$2:$I$1001,0),0), INDEX($P$1004:$S$1004,1,MATCH(COLUMNS($P$1006:R1006),$P$1006:$S$1006,0)))),"Fix")))</f>
        <v>0</v>
      </c>
      <c r="E251" s="3">
        <f>IF(OR(INDEX($J$2:$J$1001,MATCH(ROWS($I$2:I251),$I$2:$I$1001,0),1)&gt;=100000,INDEX($P$1005:$S$1005,1,MATCH(COLUMNS($P$1006:S1006),$P$1006:$S$1006,0))&gt;=100000), " ",IF(INDEX($P$2:$S$1001,MATCH(ROWS($I$2:I251),$I$2:$I$1001,0),MATCH(COLUMNS($P$1006:S1006),$P$1006:$S$1006,0)), HYPERLINK("#",""), HYPERLINK(CONCATENATE("#metadata!", ADDRESS(INDEX($K$2:$K$1001,MATCH(ROWS($I$2:I251),$I$2:$I$1001,0),0), INDEX($P$1004:$S$1004,1,MATCH(COLUMNS($P$1006:S1006),$P$1006:$S$1006,0)))),"Fix")))</f>
        <v>0</v>
      </c>
      <c r="I251">
        <v>0</v>
      </c>
      <c r="J251">
        <v>0</v>
      </c>
      <c r="K251">
        <v>0</v>
      </c>
      <c r="L251">
        <f>IF(M251,TRUE,AND(P251:S251))</f>
        <v>0</v>
      </c>
      <c r="M251">
        <f>COUNTBLANK(metadata!B251:E251)=COLUMNS(metadata!B251:E251)</f>
        <v>0</v>
      </c>
      <c r="N251">
        <v>0</v>
      </c>
      <c r="P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Q251">
        <f>AND(IF(metadata!C251="",FALSE,TRUE),exact(metadata!C251,"other"))</f>
        <v>0</v>
      </c>
      <c r="R251">
        <f>AND(IF(metadata!D251="",FALSE,TRUE),exact(metadata!D251,"metagenome"))</f>
        <v>0</v>
      </c>
      <c r="S251">
        <f>AND(IF(metadata!E251="",FALSE,TRUE),exact(metadata!E251,"256318"))</f>
        <v>0</v>
      </c>
    </row>
    <row r="252" spans="1:19">
      <c r="A252" s="4">
        <f>IF(B252=" "," ",HYPERLINK(CONCATENATE("#metadata!",ADDRESS(INDEX($K$2:$K$1001,MATCH(ROWS($I$2:I252),$I$2:$I$1001,0),0),1)),INDEX($N$2:$N$1001,MATCH(ROWS($I$2:I252),$I$2:$I$1001,0),0)))</f>
        <v>0</v>
      </c>
      <c r="B252" s="3">
        <f>IF(OR(INDEX($J$2:$J$1001,MATCH(ROWS($I$2:I252),$I$2:$I$1001,0),1)&gt;=100000,INDEX($P$1005:$S$1005,1,MATCH(COLUMNS($P$1006:P1006),$P$1006:$S$1006,0))&gt;=100000), " ",IF(INDEX($P$2:$S$1001,MATCH(ROWS($I$2:I252),$I$2:$I$1001,0),MATCH(COLUMNS($P$1006:P1006),$P$1006:$S$1006,0)), HYPERLINK("#",""), HYPERLINK(CONCATENATE("#metadata!", ADDRESS(INDEX($K$2:$K$1001,MATCH(ROWS($I$2:I252),$I$2:$I$1001,0),0), INDEX($P$1004:$S$1004,1,MATCH(COLUMNS($P$1006:P1006),$P$1006:$S$1006,0)))),"Fix")))</f>
        <v>0</v>
      </c>
      <c r="C252" s="3">
        <f>IF(OR(INDEX($J$2:$J$1001,MATCH(ROWS($I$2:I252),$I$2:$I$1001,0),1)&gt;=100000,INDEX($P$1005:$S$1005,1,MATCH(COLUMNS($P$1006:Q1006),$P$1006:$S$1006,0))&gt;=100000), " ",IF(INDEX($P$2:$S$1001,MATCH(ROWS($I$2:I252),$I$2:$I$1001,0),MATCH(COLUMNS($P$1006:Q1006),$P$1006:$S$1006,0)), HYPERLINK("#",""), HYPERLINK(CONCATENATE("#metadata!", ADDRESS(INDEX($K$2:$K$1001,MATCH(ROWS($I$2:I252),$I$2:$I$1001,0),0), INDEX($P$1004:$S$1004,1,MATCH(COLUMNS($P$1006:Q1006),$P$1006:$S$1006,0)))),"Fix")))</f>
        <v>0</v>
      </c>
      <c r="D252" s="3">
        <f>IF(OR(INDEX($J$2:$J$1001,MATCH(ROWS($I$2:I252),$I$2:$I$1001,0),1)&gt;=100000,INDEX($P$1005:$S$1005,1,MATCH(COLUMNS($P$1006:R1006),$P$1006:$S$1006,0))&gt;=100000), " ",IF(INDEX($P$2:$S$1001,MATCH(ROWS($I$2:I252),$I$2:$I$1001,0),MATCH(COLUMNS($P$1006:R1006),$P$1006:$S$1006,0)), HYPERLINK("#",""), HYPERLINK(CONCATENATE("#metadata!", ADDRESS(INDEX($K$2:$K$1001,MATCH(ROWS($I$2:I252),$I$2:$I$1001,0),0), INDEX($P$1004:$S$1004,1,MATCH(COLUMNS($P$1006:R1006),$P$1006:$S$1006,0)))),"Fix")))</f>
        <v>0</v>
      </c>
      <c r="E252" s="3">
        <f>IF(OR(INDEX($J$2:$J$1001,MATCH(ROWS($I$2:I252),$I$2:$I$1001,0),1)&gt;=100000,INDEX($P$1005:$S$1005,1,MATCH(COLUMNS($P$1006:S1006),$P$1006:$S$1006,0))&gt;=100000), " ",IF(INDEX($P$2:$S$1001,MATCH(ROWS($I$2:I252),$I$2:$I$1001,0),MATCH(COLUMNS($P$1006:S1006),$P$1006:$S$1006,0)), HYPERLINK("#",""), HYPERLINK(CONCATENATE("#metadata!", ADDRESS(INDEX($K$2:$K$1001,MATCH(ROWS($I$2:I252),$I$2:$I$1001,0),0), INDEX($P$1004:$S$1004,1,MATCH(COLUMNS($P$1006:S1006),$P$1006:$S$1006,0)))),"Fix")))</f>
        <v>0</v>
      </c>
      <c r="I252">
        <v>0</v>
      </c>
      <c r="J252">
        <v>0</v>
      </c>
      <c r="K252">
        <v>0</v>
      </c>
      <c r="L252">
        <f>IF(M252,TRUE,AND(P252:S252))</f>
        <v>0</v>
      </c>
      <c r="M252">
        <f>COUNTBLANK(metadata!B252:E252)=COLUMNS(metadata!B252:E252)</f>
        <v>0</v>
      </c>
      <c r="N252">
        <v>0</v>
      </c>
      <c r="P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Q252">
        <f>AND(IF(metadata!C252="",FALSE,TRUE),exact(metadata!C252,"other"))</f>
        <v>0</v>
      </c>
      <c r="R252">
        <f>AND(IF(metadata!D252="",FALSE,TRUE),exact(metadata!D252,"metagenome"))</f>
        <v>0</v>
      </c>
      <c r="S252">
        <f>AND(IF(metadata!E252="",FALSE,TRUE),exact(metadata!E252,"256318"))</f>
        <v>0</v>
      </c>
    </row>
    <row r="253" spans="1:19">
      <c r="A253" s="4">
        <f>IF(B253=" "," ",HYPERLINK(CONCATENATE("#metadata!",ADDRESS(INDEX($K$2:$K$1001,MATCH(ROWS($I$2:I253),$I$2:$I$1001,0),0),1)),INDEX($N$2:$N$1001,MATCH(ROWS($I$2:I253),$I$2:$I$1001,0),0)))</f>
        <v>0</v>
      </c>
      <c r="B253" s="3">
        <f>IF(OR(INDEX($J$2:$J$1001,MATCH(ROWS($I$2:I253),$I$2:$I$1001,0),1)&gt;=100000,INDEX($P$1005:$S$1005,1,MATCH(COLUMNS($P$1006:P1006),$P$1006:$S$1006,0))&gt;=100000), " ",IF(INDEX($P$2:$S$1001,MATCH(ROWS($I$2:I253),$I$2:$I$1001,0),MATCH(COLUMNS($P$1006:P1006),$P$1006:$S$1006,0)), HYPERLINK("#",""), HYPERLINK(CONCATENATE("#metadata!", ADDRESS(INDEX($K$2:$K$1001,MATCH(ROWS($I$2:I253),$I$2:$I$1001,0),0), INDEX($P$1004:$S$1004,1,MATCH(COLUMNS($P$1006:P1006),$P$1006:$S$1006,0)))),"Fix")))</f>
        <v>0</v>
      </c>
      <c r="C253" s="3">
        <f>IF(OR(INDEX($J$2:$J$1001,MATCH(ROWS($I$2:I253),$I$2:$I$1001,0),1)&gt;=100000,INDEX($P$1005:$S$1005,1,MATCH(COLUMNS($P$1006:Q1006),$P$1006:$S$1006,0))&gt;=100000), " ",IF(INDEX($P$2:$S$1001,MATCH(ROWS($I$2:I253),$I$2:$I$1001,0),MATCH(COLUMNS($P$1006:Q1006),$P$1006:$S$1006,0)), HYPERLINK("#",""), HYPERLINK(CONCATENATE("#metadata!", ADDRESS(INDEX($K$2:$K$1001,MATCH(ROWS($I$2:I253),$I$2:$I$1001,0),0), INDEX($P$1004:$S$1004,1,MATCH(COLUMNS($P$1006:Q1006),$P$1006:$S$1006,0)))),"Fix")))</f>
        <v>0</v>
      </c>
      <c r="D253" s="3">
        <f>IF(OR(INDEX($J$2:$J$1001,MATCH(ROWS($I$2:I253),$I$2:$I$1001,0),1)&gt;=100000,INDEX($P$1005:$S$1005,1,MATCH(COLUMNS($P$1006:R1006),$P$1006:$S$1006,0))&gt;=100000), " ",IF(INDEX($P$2:$S$1001,MATCH(ROWS($I$2:I253),$I$2:$I$1001,0),MATCH(COLUMNS($P$1006:R1006),$P$1006:$S$1006,0)), HYPERLINK("#",""), HYPERLINK(CONCATENATE("#metadata!", ADDRESS(INDEX($K$2:$K$1001,MATCH(ROWS($I$2:I253),$I$2:$I$1001,0),0), INDEX($P$1004:$S$1004,1,MATCH(COLUMNS($P$1006:R1006),$P$1006:$S$1006,0)))),"Fix")))</f>
        <v>0</v>
      </c>
      <c r="E253" s="3">
        <f>IF(OR(INDEX($J$2:$J$1001,MATCH(ROWS($I$2:I253),$I$2:$I$1001,0),1)&gt;=100000,INDEX($P$1005:$S$1005,1,MATCH(COLUMNS($P$1006:S1006),$P$1006:$S$1006,0))&gt;=100000), " ",IF(INDEX($P$2:$S$1001,MATCH(ROWS($I$2:I253),$I$2:$I$1001,0),MATCH(COLUMNS($P$1006:S1006),$P$1006:$S$1006,0)), HYPERLINK("#",""), HYPERLINK(CONCATENATE("#metadata!", ADDRESS(INDEX($K$2:$K$1001,MATCH(ROWS($I$2:I253),$I$2:$I$1001,0),0), INDEX($P$1004:$S$1004,1,MATCH(COLUMNS($P$1006:S1006),$P$1006:$S$1006,0)))),"Fix")))</f>
        <v>0</v>
      </c>
      <c r="I253">
        <v>0</v>
      </c>
      <c r="J253">
        <v>0</v>
      </c>
      <c r="K253">
        <v>0</v>
      </c>
      <c r="L253">
        <f>IF(M253,TRUE,AND(P253:S253))</f>
        <v>0</v>
      </c>
      <c r="M253">
        <f>COUNTBLANK(metadata!B253:E253)=COLUMNS(metadata!B253:E253)</f>
        <v>0</v>
      </c>
      <c r="N253">
        <v>0</v>
      </c>
      <c r="P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Q253">
        <f>AND(IF(metadata!C253="",FALSE,TRUE),exact(metadata!C253,"other"))</f>
        <v>0</v>
      </c>
      <c r="R253">
        <f>AND(IF(metadata!D253="",FALSE,TRUE),exact(metadata!D253,"metagenome"))</f>
        <v>0</v>
      </c>
      <c r="S253">
        <f>AND(IF(metadata!E253="",FALSE,TRUE),exact(metadata!E253,"256318"))</f>
        <v>0</v>
      </c>
    </row>
    <row r="254" spans="1:19">
      <c r="A254" s="4">
        <f>IF(B254=" "," ",HYPERLINK(CONCATENATE("#metadata!",ADDRESS(INDEX($K$2:$K$1001,MATCH(ROWS($I$2:I254),$I$2:$I$1001,0),0),1)),INDEX($N$2:$N$1001,MATCH(ROWS($I$2:I254),$I$2:$I$1001,0),0)))</f>
        <v>0</v>
      </c>
      <c r="B254" s="3">
        <f>IF(OR(INDEX($J$2:$J$1001,MATCH(ROWS($I$2:I254),$I$2:$I$1001,0),1)&gt;=100000,INDEX($P$1005:$S$1005,1,MATCH(COLUMNS($P$1006:P1006),$P$1006:$S$1006,0))&gt;=100000), " ",IF(INDEX($P$2:$S$1001,MATCH(ROWS($I$2:I254),$I$2:$I$1001,0),MATCH(COLUMNS($P$1006:P1006),$P$1006:$S$1006,0)), HYPERLINK("#",""), HYPERLINK(CONCATENATE("#metadata!", ADDRESS(INDEX($K$2:$K$1001,MATCH(ROWS($I$2:I254),$I$2:$I$1001,0),0), INDEX($P$1004:$S$1004,1,MATCH(COLUMNS($P$1006:P1006),$P$1006:$S$1006,0)))),"Fix")))</f>
        <v>0</v>
      </c>
      <c r="C254" s="3">
        <f>IF(OR(INDEX($J$2:$J$1001,MATCH(ROWS($I$2:I254),$I$2:$I$1001,0),1)&gt;=100000,INDEX($P$1005:$S$1005,1,MATCH(COLUMNS($P$1006:Q1006),$P$1006:$S$1006,0))&gt;=100000), " ",IF(INDEX($P$2:$S$1001,MATCH(ROWS($I$2:I254),$I$2:$I$1001,0),MATCH(COLUMNS($P$1006:Q1006),$P$1006:$S$1006,0)), HYPERLINK("#",""), HYPERLINK(CONCATENATE("#metadata!", ADDRESS(INDEX($K$2:$K$1001,MATCH(ROWS($I$2:I254),$I$2:$I$1001,0),0), INDEX($P$1004:$S$1004,1,MATCH(COLUMNS($P$1006:Q1006),$P$1006:$S$1006,0)))),"Fix")))</f>
        <v>0</v>
      </c>
      <c r="D254" s="3">
        <f>IF(OR(INDEX($J$2:$J$1001,MATCH(ROWS($I$2:I254),$I$2:$I$1001,0),1)&gt;=100000,INDEX($P$1005:$S$1005,1,MATCH(COLUMNS($P$1006:R1006),$P$1006:$S$1006,0))&gt;=100000), " ",IF(INDEX($P$2:$S$1001,MATCH(ROWS($I$2:I254),$I$2:$I$1001,0),MATCH(COLUMNS($P$1006:R1006),$P$1006:$S$1006,0)), HYPERLINK("#",""), HYPERLINK(CONCATENATE("#metadata!", ADDRESS(INDEX($K$2:$K$1001,MATCH(ROWS($I$2:I254),$I$2:$I$1001,0),0), INDEX($P$1004:$S$1004,1,MATCH(COLUMNS($P$1006:R1006),$P$1006:$S$1006,0)))),"Fix")))</f>
        <v>0</v>
      </c>
      <c r="E254" s="3">
        <f>IF(OR(INDEX($J$2:$J$1001,MATCH(ROWS($I$2:I254),$I$2:$I$1001,0),1)&gt;=100000,INDEX($P$1005:$S$1005,1,MATCH(COLUMNS($P$1006:S1006),$P$1006:$S$1006,0))&gt;=100000), " ",IF(INDEX($P$2:$S$1001,MATCH(ROWS($I$2:I254),$I$2:$I$1001,0),MATCH(COLUMNS($P$1006:S1006),$P$1006:$S$1006,0)), HYPERLINK("#",""), HYPERLINK(CONCATENATE("#metadata!", ADDRESS(INDEX($K$2:$K$1001,MATCH(ROWS($I$2:I254),$I$2:$I$1001,0),0), INDEX($P$1004:$S$1004,1,MATCH(COLUMNS($P$1006:S1006),$P$1006:$S$1006,0)))),"Fix")))</f>
        <v>0</v>
      </c>
      <c r="I254">
        <v>0</v>
      </c>
      <c r="J254">
        <v>0</v>
      </c>
      <c r="K254">
        <v>0</v>
      </c>
      <c r="L254">
        <f>IF(M254,TRUE,AND(P254:S254))</f>
        <v>0</v>
      </c>
      <c r="M254">
        <f>COUNTBLANK(metadata!B254:E254)=COLUMNS(metadata!B254:E254)</f>
        <v>0</v>
      </c>
      <c r="N254">
        <v>0</v>
      </c>
      <c r="P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Q254">
        <f>AND(IF(metadata!C254="",FALSE,TRUE),exact(metadata!C254,"other"))</f>
        <v>0</v>
      </c>
      <c r="R254">
        <f>AND(IF(metadata!D254="",FALSE,TRUE),exact(metadata!D254,"metagenome"))</f>
        <v>0</v>
      </c>
      <c r="S254">
        <f>AND(IF(metadata!E254="",FALSE,TRUE),exact(metadata!E254,"256318"))</f>
        <v>0</v>
      </c>
    </row>
    <row r="255" spans="1:19">
      <c r="A255" s="4">
        <f>IF(B255=" "," ",HYPERLINK(CONCATENATE("#metadata!",ADDRESS(INDEX($K$2:$K$1001,MATCH(ROWS($I$2:I255),$I$2:$I$1001,0),0),1)),INDEX($N$2:$N$1001,MATCH(ROWS($I$2:I255),$I$2:$I$1001,0),0)))</f>
        <v>0</v>
      </c>
      <c r="B255" s="3">
        <f>IF(OR(INDEX($J$2:$J$1001,MATCH(ROWS($I$2:I255),$I$2:$I$1001,0),1)&gt;=100000,INDEX($P$1005:$S$1005,1,MATCH(COLUMNS($P$1006:P1006),$P$1006:$S$1006,0))&gt;=100000), " ",IF(INDEX($P$2:$S$1001,MATCH(ROWS($I$2:I255),$I$2:$I$1001,0),MATCH(COLUMNS($P$1006:P1006),$P$1006:$S$1006,0)), HYPERLINK("#",""), HYPERLINK(CONCATENATE("#metadata!", ADDRESS(INDEX($K$2:$K$1001,MATCH(ROWS($I$2:I255),$I$2:$I$1001,0),0), INDEX($P$1004:$S$1004,1,MATCH(COLUMNS($P$1006:P1006),$P$1006:$S$1006,0)))),"Fix")))</f>
        <v>0</v>
      </c>
      <c r="C255" s="3">
        <f>IF(OR(INDEX($J$2:$J$1001,MATCH(ROWS($I$2:I255),$I$2:$I$1001,0),1)&gt;=100000,INDEX($P$1005:$S$1005,1,MATCH(COLUMNS($P$1006:Q1006),$P$1006:$S$1006,0))&gt;=100000), " ",IF(INDEX($P$2:$S$1001,MATCH(ROWS($I$2:I255),$I$2:$I$1001,0),MATCH(COLUMNS($P$1006:Q1006),$P$1006:$S$1006,0)), HYPERLINK("#",""), HYPERLINK(CONCATENATE("#metadata!", ADDRESS(INDEX($K$2:$K$1001,MATCH(ROWS($I$2:I255),$I$2:$I$1001,0),0), INDEX($P$1004:$S$1004,1,MATCH(COLUMNS($P$1006:Q1006),$P$1006:$S$1006,0)))),"Fix")))</f>
        <v>0</v>
      </c>
      <c r="D255" s="3">
        <f>IF(OR(INDEX($J$2:$J$1001,MATCH(ROWS($I$2:I255),$I$2:$I$1001,0),1)&gt;=100000,INDEX($P$1005:$S$1005,1,MATCH(COLUMNS($P$1006:R1006),$P$1006:$S$1006,0))&gt;=100000), " ",IF(INDEX($P$2:$S$1001,MATCH(ROWS($I$2:I255),$I$2:$I$1001,0),MATCH(COLUMNS($P$1006:R1006),$P$1006:$S$1006,0)), HYPERLINK("#",""), HYPERLINK(CONCATENATE("#metadata!", ADDRESS(INDEX($K$2:$K$1001,MATCH(ROWS($I$2:I255),$I$2:$I$1001,0),0), INDEX($P$1004:$S$1004,1,MATCH(COLUMNS($P$1006:R1006),$P$1006:$S$1006,0)))),"Fix")))</f>
        <v>0</v>
      </c>
      <c r="E255" s="3">
        <f>IF(OR(INDEX($J$2:$J$1001,MATCH(ROWS($I$2:I255),$I$2:$I$1001,0),1)&gt;=100000,INDEX($P$1005:$S$1005,1,MATCH(COLUMNS($P$1006:S1006),$P$1006:$S$1006,0))&gt;=100000), " ",IF(INDEX($P$2:$S$1001,MATCH(ROWS($I$2:I255),$I$2:$I$1001,0),MATCH(COLUMNS($P$1006:S1006),$P$1006:$S$1006,0)), HYPERLINK("#",""), HYPERLINK(CONCATENATE("#metadata!", ADDRESS(INDEX($K$2:$K$1001,MATCH(ROWS($I$2:I255),$I$2:$I$1001,0),0), INDEX($P$1004:$S$1004,1,MATCH(COLUMNS($P$1006:S1006),$P$1006:$S$1006,0)))),"Fix")))</f>
        <v>0</v>
      </c>
      <c r="I255">
        <v>0</v>
      </c>
      <c r="J255">
        <v>0</v>
      </c>
      <c r="K255">
        <v>0</v>
      </c>
      <c r="L255">
        <f>IF(M255,TRUE,AND(P255:S255))</f>
        <v>0</v>
      </c>
      <c r="M255">
        <f>COUNTBLANK(metadata!B255:E255)=COLUMNS(metadata!B255:E255)</f>
        <v>0</v>
      </c>
      <c r="N255">
        <v>0</v>
      </c>
      <c r="P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Q255">
        <f>AND(IF(metadata!C255="",FALSE,TRUE),exact(metadata!C255,"other"))</f>
        <v>0</v>
      </c>
      <c r="R255">
        <f>AND(IF(metadata!D255="",FALSE,TRUE),exact(metadata!D255,"metagenome"))</f>
        <v>0</v>
      </c>
      <c r="S255">
        <f>AND(IF(metadata!E255="",FALSE,TRUE),exact(metadata!E255,"256318"))</f>
        <v>0</v>
      </c>
    </row>
    <row r="256" spans="1:19">
      <c r="A256" s="4">
        <f>IF(B256=" "," ",HYPERLINK(CONCATENATE("#metadata!",ADDRESS(INDEX($K$2:$K$1001,MATCH(ROWS($I$2:I256),$I$2:$I$1001,0),0),1)),INDEX($N$2:$N$1001,MATCH(ROWS($I$2:I256),$I$2:$I$1001,0),0)))</f>
        <v>0</v>
      </c>
      <c r="B256" s="3">
        <f>IF(OR(INDEX($J$2:$J$1001,MATCH(ROWS($I$2:I256),$I$2:$I$1001,0),1)&gt;=100000,INDEX($P$1005:$S$1005,1,MATCH(COLUMNS($P$1006:P1006),$P$1006:$S$1006,0))&gt;=100000), " ",IF(INDEX($P$2:$S$1001,MATCH(ROWS($I$2:I256),$I$2:$I$1001,0),MATCH(COLUMNS($P$1006:P1006),$P$1006:$S$1006,0)), HYPERLINK("#",""), HYPERLINK(CONCATENATE("#metadata!", ADDRESS(INDEX($K$2:$K$1001,MATCH(ROWS($I$2:I256),$I$2:$I$1001,0),0), INDEX($P$1004:$S$1004,1,MATCH(COLUMNS($P$1006:P1006),$P$1006:$S$1006,0)))),"Fix")))</f>
        <v>0</v>
      </c>
      <c r="C256" s="3">
        <f>IF(OR(INDEX($J$2:$J$1001,MATCH(ROWS($I$2:I256),$I$2:$I$1001,0),1)&gt;=100000,INDEX($P$1005:$S$1005,1,MATCH(COLUMNS($P$1006:Q1006),$P$1006:$S$1006,0))&gt;=100000), " ",IF(INDEX($P$2:$S$1001,MATCH(ROWS($I$2:I256),$I$2:$I$1001,0),MATCH(COLUMNS($P$1006:Q1006),$P$1006:$S$1006,0)), HYPERLINK("#",""), HYPERLINK(CONCATENATE("#metadata!", ADDRESS(INDEX($K$2:$K$1001,MATCH(ROWS($I$2:I256),$I$2:$I$1001,0),0), INDEX($P$1004:$S$1004,1,MATCH(COLUMNS($P$1006:Q1006),$P$1006:$S$1006,0)))),"Fix")))</f>
        <v>0</v>
      </c>
      <c r="D256" s="3">
        <f>IF(OR(INDEX($J$2:$J$1001,MATCH(ROWS($I$2:I256),$I$2:$I$1001,0),1)&gt;=100000,INDEX($P$1005:$S$1005,1,MATCH(COLUMNS($P$1006:R1006),$P$1006:$S$1006,0))&gt;=100000), " ",IF(INDEX($P$2:$S$1001,MATCH(ROWS($I$2:I256),$I$2:$I$1001,0),MATCH(COLUMNS($P$1006:R1006),$P$1006:$S$1006,0)), HYPERLINK("#",""), HYPERLINK(CONCATENATE("#metadata!", ADDRESS(INDEX($K$2:$K$1001,MATCH(ROWS($I$2:I256),$I$2:$I$1001,0),0), INDEX($P$1004:$S$1004,1,MATCH(COLUMNS($P$1006:R1006),$P$1006:$S$1006,0)))),"Fix")))</f>
        <v>0</v>
      </c>
      <c r="E256" s="3">
        <f>IF(OR(INDEX($J$2:$J$1001,MATCH(ROWS($I$2:I256),$I$2:$I$1001,0),1)&gt;=100000,INDEX($P$1005:$S$1005,1,MATCH(COLUMNS($P$1006:S1006),$P$1006:$S$1006,0))&gt;=100000), " ",IF(INDEX($P$2:$S$1001,MATCH(ROWS($I$2:I256),$I$2:$I$1001,0),MATCH(COLUMNS($P$1006:S1006),$P$1006:$S$1006,0)), HYPERLINK("#",""), HYPERLINK(CONCATENATE("#metadata!", ADDRESS(INDEX($K$2:$K$1001,MATCH(ROWS($I$2:I256),$I$2:$I$1001,0),0), INDEX($P$1004:$S$1004,1,MATCH(COLUMNS($P$1006:S1006),$P$1006:$S$1006,0)))),"Fix")))</f>
        <v>0</v>
      </c>
      <c r="I256">
        <v>0</v>
      </c>
      <c r="J256">
        <v>0</v>
      </c>
      <c r="K256">
        <v>0</v>
      </c>
      <c r="L256">
        <f>IF(M256,TRUE,AND(P256:S256))</f>
        <v>0</v>
      </c>
      <c r="M256">
        <f>COUNTBLANK(metadata!B256:E256)=COLUMNS(metadata!B256:E256)</f>
        <v>0</v>
      </c>
      <c r="N256">
        <v>0</v>
      </c>
      <c r="P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Q256">
        <f>AND(IF(metadata!C256="",FALSE,TRUE),exact(metadata!C256,"other"))</f>
        <v>0</v>
      </c>
      <c r="R256">
        <f>AND(IF(metadata!D256="",FALSE,TRUE),exact(metadata!D256,"metagenome"))</f>
        <v>0</v>
      </c>
      <c r="S256">
        <f>AND(IF(metadata!E256="",FALSE,TRUE),exact(metadata!E256,"256318"))</f>
        <v>0</v>
      </c>
    </row>
    <row r="257" spans="1:19">
      <c r="A257" s="4">
        <f>IF(B257=" "," ",HYPERLINK(CONCATENATE("#metadata!",ADDRESS(INDEX($K$2:$K$1001,MATCH(ROWS($I$2:I257),$I$2:$I$1001,0),0),1)),INDEX($N$2:$N$1001,MATCH(ROWS($I$2:I257),$I$2:$I$1001,0),0)))</f>
        <v>0</v>
      </c>
      <c r="B257" s="3">
        <f>IF(OR(INDEX($J$2:$J$1001,MATCH(ROWS($I$2:I257),$I$2:$I$1001,0),1)&gt;=100000,INDEX($P$1005:$S$1005,1,MATCH(COLUMNS($P$1006:P1006),$P$1006:$S$1006,0))&gt;=100000), " ",IF(INDEX($P$2:$S$1001,MATCH(ROWS($I$2:I257),$I$2:$I$1001,0),MATCH(COLUMNS($P$1006:P1006),$P$1006:$S$1006,0)), HYPERLINK("#",""), HYPERLINK(CONCATENATE("#metadata!", ADDRESS(INDEX($K$2:$K$1001,MATCH(ROWS($I$2:I257),$I$2:$I$1001,0),0), INDEX($P$1004:$S$1004,1,MATCH(COLUMNS($P$1006:P1006),$P$1006:$S$1006,0)))),"Fix")))</f>
        <v>0</v>
      </c>
      <c r="C257" s="3">
        <f>IF(OR(INDEX($J$2:$J$1001,MATCH(ROWS($I$2:I257),$I$2:$I$1001,0),1)&gt;=100000,INDEX($P$1005:$S$1005,1,MATCH(COLUMNS($P$1006:Q1006),$P$1006:$S$1006,0))&gt;=100000), " ",IF(INDEX($P$2:$S$1001,MATCH(ROWS($I$2:I257),$I$2:$I$1001,0),MATCH(COLUMNS($P$1006:Q1006),$P$1006:$S$1006,0)), HYPERLINK("#",""), HYPERLINK(CONCATENATE("#metadata!", ADDRESS(INDEX($K$2:$K$1001,MATCH(ROWS($I$2:I257),$I$2:$I$1001,0),0), INDEX($P$1004:$S$1004,1,MATCH(COLUMNS($P$1006:Q1006),$P$1006:$S$1006,0)))),"Fix")))</f>
        <v>0</v>
      </c>
      <c r="D257" s="3">
        <f>IF(OR(INDEX($J$2:$J$1001,MATCH(ROWS($I$2:I257),$I$2:$I$1001,0),1)&gt;=100000,INDEX($P$1005:$S$1005,1,MATCH(COLUMNS($P$1006:R1006),$P$1006:$S$1006,0))&gt;=100000), " ",IF(INDEX($P$2:$S$1001,MATCH(ROWS($I$2:I257),$I$2:$I$1001,0),MATCH(COLUMNS($P$1006:R1006),$P$1006:$S$1006,0)), HYPERLINK("#",""), HYPERLINK(CONCATENATE("#metadata!", ADDRESS(INDEX($K$2:$K$1001,MATCH(ROWS($I$2:I257),$I$2:$I$1001,0),0), INDEX($P$1004:$S$1004,1,MATCH(COLUMNS($P$1006:R1006),$P$1006:$S$1006,0)))),"Fix")))</f>
        <v>0</v>
      </c>
      <c r="E257" s="3">
        <f>IF(OR(INDEX($J$2:$J$1001,MATCH(ROWS($I$2:I257),$I$2:$I$1001,0),1)&gt;=100000,INDEX($P$1005:$S$1005,1,MATCH(COLUMNS($P$1006:S1006),$P$1006:$S$1006,0))&gt;=100000), " ",IF(INDEX($P$2:$S$1001,MATCH(ROWS($I$2:I257),$I$2:$I$1001,0),MATCH(COLUMNS($P$1006:S1006),$P$1006:$S$1006,0)), HYPERLINK("#",""), HYPERLINK(CONCATENATE("#metadata!", ADDRESS(INDEX($K$2:$K$1001,MATCH(ROWS($I$2:I257),$I$2:$I$1001,0),0), INDEX($P$1004:$S$1004,1,MATCH(COLUMNS($P$1006:S1006),$P$1006:$S$1006,0)))),"Fix")))</f>
        <v>0</v>
      </c>
      <c r="I257">
        <v>0</v>
      </c>
      <c r="J257">
        <v>0</v>
      </c>
      <c r="K257">
        <v>0</v>
      </c>
      <c r="L257">
        <f>IF(M257,TRUE,AND(P257:S257))</f>
        <v>0</v>
      </c>
      <c r="M257">
        <f>COUNTBLANK(metadata!B257:E257)=COLUMNS(metadata!B257:E257)</f>
        <v>0</v>
      </c>
      <c r="N257">
        <v>0</v>
      </c>
      <c r="P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Q257">
        <f>AND(IF(metadata!C257="",FALSE,TRUE),exact(metadata!C257,"other"))</f>
        <v>0</v>
      </c>
      <c r="R257">
        <f>AND(IF(metadata!D257="",FALSE,TRUE),exact(metadata!D257,"metagenome"))</f>
        <v>0</v>
      </c>
      <c r="S257">
        <f>AND(IF(metadata!E257="",FALSE,TRUE),exact(metadata!E257,"256318"))</f>
        <v>0</v>
      </c>
    </row>
    <row r="258" spans="1:19">
      <c r="A258" s="4">
        <f>IF(B258=" "," ",HYPERLINK(CONCATENATE("#metadata!",ADDRESS(INDEX($K$2:$K$1001,MATCH(ROWS($I$2:I258),$I$2:$I$1001,0),0),1)),INDEX($N$2:$N$1001,MATCH(ROWS($I$2:I258),$I$2:$I$1001,0),0)))</f>
        <v>0</v>
      </c>
      <c r="B258" s="3">
        <f>IF(OR(INDEX($J$2:$J$1001,MATCH(ROWS($I$2:I258),$I$2:$I$1001,0),1)&gt;=100000,INDEX($P$1005:$S$1005,1,MATCH(COLUMNS($P$1006:P1006),$P$1006:$S$1006,0))&gt;=100000), " ",IF(INDEX($P$2:$S$1001,MATCH(ROWS($I$2:I258),$I$2:$I$1001,0),MATCH(COLUMNS($P$1006:P1006),$P$1006:$S$1006,0)), HYPERLINK("#",""), HYPERLINK(CONCATENATE("#metadata!", ADDRESS(INDEX($K$2:$K$1001,MATCH(ROWS($I$2:I258),$I$2:$I$1001,0),0), INDEX($P$1004:$S$1004,1,MATCH(COLUMNS($P$1006:P1006),$P$1006:$S$1006,0)))),"Fix")))</f>
        <v>0</v>
      </c>
      <c r="C258" s="3">
        <f>IF(OR(INDEX($J$2:$J$1001,MATCH(ROWS($I$2:I258),$I$2:$I$1001,0),1)&gt;=100000,INDEX($P$1005:$S$1005,1,MATCH(COLUMNS($P$1006:Q1006),$P$1006:$S$1006,0))&gt;=100000), " ",IF(INDEX($P$2:$S$1001,MATCH(ROWS($I$2:I258),$I$2:$I$1001,0),MATCH(COLUMNS($P$1006:Q1006),$P$1006:$S$1006,0)), HYPERLINK("#",""), HYPERLINK(CONCATENATE("#metadata!", ADDRESS(INDEX($K$2:$K$1001,MATCH(ROWS($I$2:I258),$I$2:$I$1001,0),0), INDEX($P$1004:$S$1004,1,MATCH(COLUMNS($P$1006:Q1006),$P$1006:$S$1006,0)))),"Fix")))</f>
        <v>0</v>
      </c>
      <c r="D258" s="3">
        <f>IF(OR(INDEX($J$2:$J$1001,MATCH(ROWS($I$2:I258),$I$2:$I$1001,0),1)&gt;=100000,INDEX($P$1005:$S$1005,1,MATCH(COLUMNS($P$1006:R1006),$P$1006:$S$1006,0))&gt;=100000), " ",IF(INDEX($P$2:$S$1001,MATCH(ROWS($I$2:I258),$I$2:$I$1001,0),MATCH(COLUMNS($P$1006:R1006),$P$1006:$S$1006,0)), HYPERLINK("#",""), HYPERLINK(CONCATENATE("#metadata!", ADDRESS(INDEX($K$2:$K$1001,MATCH(ROWS($I$2:I258),$I$2:$I$1001,0),0), INDEX($P$1004:$S$1004,1,MATCH(COLUMNS($P$1006:R1006),$P$1006:$S$1006,0)))),"Fix")))</f>
        <v>0</v>
      </c>
      <c r="E258" s="3">
        <f>IF(OR(INDEX($J$2:$J$1001,MATCH(ROWS($I$2:I258),$I$2:$I$1001,0),1)&gt;=100000,INDEX($P$1005:$S$1005,1,MATCH(COLUMNS($P$1006:S1006),$P$1006:$S$1006,0))&gt;=100000), " ",IF(INDEX($P$2:$S$1001,MATCH(ROWS($I$2:I258),$I$2:$I$1001,0),MATCH(COLUMNS($P$1006:S1006),$P$1006:$S$1006,0)), HYPERLINK("#",""), HYPERLINK(CONCATENATE("#metadata!", ADDRESS(INDEX($K$2:$K$1001,MATCH(ROWS($I$2:I258),$I$2:$I$1001,0),0), INDEX($P$1004:$S$1004,1,MATCH(COLUMNS($P$1006:S1006),$P$1006:$S$1006,0)))),"Fix")))</f>
        <v>0</v>
      </c>
      <c r="I258">
        <v>0</v>
      </c>
      <c r="J258">
        <v>0</v>
      </c>
      <c r="K258">
        <v>0</v>
      </c>
      <c r="L258">
        <f>IF(M258,TRUE,AND(P258:S258))</f>
        <v>0</v>
      </c>
      <c r="M258">
        <f>COUNTBLANK(metadata!B258:E258)=COLUMNS(metadata!B258:E258)</f>
        <v>0</v>
      </c>
      <c r="N258">
        <v>0</v>
      </c>
      <c r="P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Q258">
        <f>AND(IF(metadata!C258="",FALSE,TRUE),exact(metadata!C258,"other"))</f>
        <v>0</v>
      </c>
      <c r="R258">
        <f>AND(IF(metadata!D258="",FALSE,TRUE),exact(metadata!D258,"metagenome"))</f>
        <v>0</v>
      </c>
      <c r="S258">
        <f>AND(IF(metadata!E258="",FALSE,TRUE),exact(metadata!E258,"256318"))</f>
        <v>0</v>
      </c>
    </row>
    <row r="259" spans="1:19">
      <c r="A259" s="4">
        <f>IF(B259=" "," ",HYPERLINK(CONCATENATE("#metadata!",ADDRESS(INDEX($K$2:$K$1001,MATCH(ROWS($I$2:I259),$I$2:$I$1001,0),0),1)),INDEX($N$2:$N$1001,MATCH(ROWS($I$2:I259),$I$2:$I$1001,0),0)))</f>
        <v>0</v>
      </c>
      <c r="B259" s="3">
        <f>IF(OR(INDEX($J$2:$J$1001,MATCH(ROWS($I$2:I259),$I$2:$I$1001,0),1)&gt;=100000,INDEX($P$1005:$S$1005,1,MATCH(COLUMNS($P$1006:P1006),$P$1006:$S$1006,0))&gt;=100000), " ",IF(INDEX($P$2:$S$1001,MATCH(ROWS($I$2:I259),$I$2:$I$1001,0),MATCH(COLUMNS($P$1006:P1006),$P$1006:$S$1006,0)), HYPERLINK("#",""), HYPERLINK(CONCATENATE("#metadata!", ADDRESS(INDEX($K$2:$K$1001,MATCH(ROWS($I$2:I259),$I$2:$I$1001,0),0), INDEX($P$1004:$S$1004,1,MATCH(COLUMNS($P$1006:P1006),$P$1006:$S$1006,0)))),"Fix")))</f>
        <v>0</v>
      </c>
      <c r="C259" s="3">
        <f>IF(OR(INDEX($J$2:$J$1001,MATCH(ROWS($I$2:I259),$I$2:$I$1001,0),1)&gt;=100000,INDEX($P$1005:$S$1005,1,MATCH(COLUMNS($P$1006:Q1006),$P$1006:$S$1006,0))&gt;=100000), " ",IF(INDEX($P$2:$S$1001,MATCH(ROWS($I$2:I259),$I$2:$I$1001,0),MATCH(COLUMNS($P$1006:Q1006),$P$1006:$S$1006,0)), HYPERLINK("#",""), HYPERLINK(CONCATENATE("#metadata!", ADDRESS(INDEX($K$2:$K$1001,MATCH(ROWS($I$2:I259),$I$2:$I$1001,0),0), INDEX($P$1004:$S$1004,1,MATCH(COLUMNS($P$1006:Q1006),$P$1006:$S$1006,0)))),"Fix")))</f>
        <v>0</v>
      </c>
      <c r="D259" s="3">
        <f>IF(OR(INDEX($J$2:$J$1001,MATCH(ROWS($I$2:I259),$I$2:$I$1001,0),1)&gt;=100000,INDEX($P$1005:$S$1005,1,MATCH(COLUMNS($P$1006:R1006),$P$1006:$S$1006,0))&gt;=100000), " ",IF(INDEX($P$2:$S$1001,MATCH(ROWS($I$2:I259),$I$2:$I$1001,0),MATCH(COLUMNS($P$1006:R1006),$P$1006:$S$1006,0)), HYPERLINK("#",""), HYPERLINK(CONCATENATE("#metadata!", ADDRESS(INDEX($K$2:$K$1001,MATCH(ROWS($I$2:I259),$I$2:$I$1001,0),0), INDEX($P$1004:$S$1004,1,MATCH(COLUMNS($P$1006:R1006),$P$1006:$S$1006,0)))),"Fix")))</f>
        <v>0</v>
      </c>
      <c r="E259" s="3">
        <f>IF(OR(INDEX($J$2:$J$1001,MATCH(ROWS($I$2:I259),$I$2:$I$1001,0),1)&gt;=100000,INDEX($P$1005:$S$1005,1,MATCH(COLUMNS($P$1006:S1006),$P$1006:$S$1006,0))&gt;=100000), " ",IF(INDEX($P$2:$S$1001,MATCH(ROWS($I$2:I259),$I$2:$I$1001,0),MATCH(COLUMNS($P$1006:S1006),$P$1006:$S$1006,0)), HYPERLINK("#",""), HYPERLINK(CONCATENATE("#metadata!", ADDRESS(INDEX($K$2:$K$1001,MATCH(ROWS($I$2:I259),$I$2:$I$1001,0),0), INDEX($P$1004:$S$1004,1,MATCH(COLUMNS($P$1006:S1006),$P$1006:$S$1006,0)))),"Fix")))</f>
        <v>0</v>
      </c>
      <c r="I259">
        <v>0</v>
      </c>
      <c r="J259">
        <v>0</v>
      </c>
      <c r="K259">
        <v>0</v>
      </c>
      <c r="L259">
        <f>IF(M259,TRUE,AND(P259:S259))</f>
        <v>0</v>
      </c>
      <c r="M259">
        <f>COUNTBLANK(metadata!B259:E259)=COLUMNS(metadata!B259:E259)</f>
        <v>0</v>
      </c>
      <c r="N259">
        <v>0</v>
      </c>
      <c r="P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Q259">
        <f>AND(IF(metadata!C259="",FALSE,TRUE),exact(metadata!C259,"other"))</f>
        <v>0</v>
      </c>
      <c r="R259">
        <f>AND(IF(metadata!D259="",FALSE,TRUE),exact(metadata!D259,"metagenome"))</f>
        <v>0</v>
      </c>
      <c r="S259">
        <f>AND(IF(metadata!E259="",FALSE,TRUE),exact(metadata!E259,"256318"))</f>
        <v>0</v>
      </c>
    </row>
    <row r="260" spans="1:19">
      <c r="A260" s="4">
        <f>IF(B260=" "," ",HYPERLINK(CONCATENATE("#metadata!",ADDRESS(INDEX($K$2:$K$1001,MATCH(ROWS($I$2:I260),$I$2:$I$1001,0),0),1)),INDEX($N$2:$N$1001,MATCH(ROWS($I$2:I260),$I$2:$I$1001,0),0)))</f>
        <v>0</v>
      </c>
      <c r="B260" s="3">
        <f>IF(OR(INDEX($J$2:$J$1001,MATCH(ROWS($I$2:I260),$I$2:$I$1001,0),1)&gt;=100000,INDEX($P$1005:$S$1005,1,MATCH(COLUMNS($P$1006:P1006),$P$1006:$S$1006,0))&gt;=100000), " ",IF(INDEX($P$2:$S$1001,MATCH(ROWS($I$2:I260),$I$2:$I$1001,0),MATCH(COLUMNS($P$1006:P1006),$P$1006:$S$1006,0)), HYPERLINK("#",""), HYPERLINK(CONCATENATE("#metadata!", ADDRESS(INDEX($K$2:$K$1001,MATCH(ROWS($I$2:I260),$I$2:$I$1001,0),0), INDEX($P$1004:$S$1004,1,MATCH(COLUMNS($P$1006:P1006),$P$1006:$S$1006,0)))),"Fix")))</f>
        <v>0</v>
      </c>
      <c r="C260" s="3">
        <f>IF(OR(INDEX($J$2:$J$1001,MATCH(ROWS($I$2:I260),$I$2:$I$1001,0),1)&gt;=100000,INDEX($P$1005:$S$1005,1,MATCH(COLUMNS($P$1006:Q1006),$P$1006:$S$1006,0))&gt;=100000), " ",IF(INDEX($P$2:$S$1001,MATCH(ROWS($I$2:I260),$I$2:$I$1001,0),MATCH(COLUMNS($P$1006:Q1006),$P$1006:$S$1006,0)), HYPERLINK("#",""), HYPERLINK(CONCATENATE("#metadata!", ADDRESS(INDEX($K$2:$K$1001,MATCH(ROWS($I$2:I260),$I$2:$I$1001,0),0), INDEX($P$1004:$S$1004,1,MATCH(COLUMNS($P$1006:Q1006),$P$1006:$S$1006,0)))),"Fix")))</f>
        <v>0</v>
      </c>
      <c r="D260" s="3">
        <f>IF(OR(INDEX($J$2:$J$1001,MATCH(ROWS($I$2:I260),$I$2:$I$1001,0),1)&gt;=100000,INDEX($P$1005:$S$1005,1,MATCH(COLUMNS($P$1006:R1006),$P$1006:$S$1006,0))&gt;=100000), " ",IF(INDEX($P$2:$S$1001,MATCH(ROWS($I$2:I260),$I$2:$I$1001,0),MATCH(COLUMNS($P$1006:R1006),$P$1006:$S$1006,0)), HYPERLINK("#",""), HYPERLINK(CONCATENATE("#metadata!", ADDRESS(INDEX($K$2:$K$1001,MATCH(ROWS($I$2:I260),$I$2:$I$1001,0),0), INDEX($P$1004:$S$1004,1,MATCH(COLUMNS($P$1006:R1006),$P$1006:$S$1006,0)))),"Fix")))</f>
        <v>0</v>
      </c>
      <c r="E260" s="3">
        <f>IF(OR(INDEX($J$2:$J$1001,MATCH(ROWS($I$2:I260),$I$2:$I$1001,0),1)&gt;=100000,INDEX($P$1005:$S$1005,1,MATCH(COLUMNS($P$1006:S1006),$P$1006:$S$1006,0))&gt;=100000), " ",IF(INDEX($P$2:$S$1001,MATCH(ROWS($I$2:I260),$I$2:$I$1001,0),MATCH(COLUMNS($P$1006:S1006),$P$1006:$S$1006,0)), HYPERLINK("#",""), HYPERLINK(CONCATENATE("#metadata!", ADDRESS(INDEX($K$2:$K$1001,MATCH(ROWS($I$2:I260),$I$2:$I$1001,0),0), INDEX($P$1004:$S$1004,1,MATCH(COLUMNS($P$1006:S1006),$P$1006:$S$1006,0)))),"Fix")))</f>
        <v>0</v>
      </c>
      <c r="I260">
        <v>0</v>
      </c>
      <c r="J260">
        <v>0</v>
      </c>
      <c r="K260">
        <v>0</v>
      </c>
      <c r="L260">
        <f>IF(M260,TRUE,AND(P260:S260))</f>
        <v>0</v>
      </c>
      <c r="M260">
        <f>COUNTBLANK(metadata!B260:E260)=COLUMNS(metadata!B260:E260)</f>
        <v>0</v>
      </c>
      <c r="N260">
        <v>0</v>
      </c>
      <c r="P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Q260">
        <f>AND(IF(metadata!C260="",FALSE,TRUE),exact(metadata!C260,"other"))</f>
        <v>0</v>
      </c>
      <c r="R260">
        <f>AND(IF(metadata!D260="",FALSE,TRUE),exact(metadata!D260,"metagenome"))</f>
        <v>0</v>
      </c>
      <c r="S260">
        <f>AND(IF(metadata!E260="",FALSE,TRUE),exact(metadata!E260,"256318"))</f>
        <v>0</v>
      </c>
    </row>
    <row r="261" spans="1:19">
      <c r="A261" s="4">
        <f>IF(B261=" "," ",HYPERLINK(CONCATENATE("#metadata!",ADDRESS(INDEX($K$2:$K$1001,MATCH(ROWS($I$2:I261),$I$2:$I$1001,0),0),1)),INDEX($N$2:$N$1001,MATCH(ROWS($I$2:I261),$I$2:$I$1001,0),0)))</f>
        <v>0</v>
      </c>
      <c r="B261" s="3">
        <f>IF(OR(INDEX($J$2:$J$1001,MATCH(ROWS($I$2:I261),$I$2:$I$1001,0),1)&gt;=100000,INDEX($P$1005:$S$1005,1,MATCH(COLUMNS($P$1006:P1006),$P$1006:$S$1006,0))&gt;=100000), " ",IF(INDEX($P$2:$S$1001,MATCH(ROWS($I$2:I261),$I$2:$I$1001,0),MATCH(COLUMNS($P$1006:P1006),$P$1006:$S$1006,0)), HYPERLINK("#",""), HYPERLINK(CONCATENATE("#metadata!", ADDRESS(INDEX($K$2:$K$1001,MATCH(ROWS($I$2:I261),$I$2:$I$1001,0),0), INDEX($P$1004:$S$1004,1,MATCH(COLUMNS($P$1006:P1006),$P$1006:$S$1006,0)))),"Fix")))</f>
        <v>0</v>
      </c>
      <c r="C261" s="3">
        <f>IF(OR(INDEX($J$2:$J$1001,MATCH(ROWS($I$2:I261),$I$2:$I$1001,0),1)&gt;=100000,INDEX($P$1005:$S$1005,1,MATCH(COLUMNS($P$1006:Q1006),$P$1006:$S$1006,0))&gt;=100000), " ",IF(INDEX($P$2:$S$1001,MATCH(ROWS($I$2:I261),$I$2:$I$1001,0),MATCH(COLUMNS($P$1006:Q1006),$P$1006:$S$1006,0)), HYPERLINK("#",""), HYPERLINK(CONCATENATE("#metadata!", ADDRESS(INDEX($K$2:$K$1001,MATCH(ROWS($I$2:I261),$I$2:$I$1001,0),0), INDEX($P$1004:$S$1004,1,MATCH(COLUMNS($P$1006:Q1006),$P$1006:$S$1006,0)))),"Fix")))</f>
        <v>0</v>
      </c>
      <c r="D261" s="3">
        <f>IF(OR(INDEX($J$2:$J$1001,MATCH(ROWS($I$2:I261),$I$2:$I$1001,0),1)&gt;=100000,INDEX($P$1005:$S$1005,1,MATCH(COLUMNS($P$1006:R1006),$P$1006:$S$1006,0))&gt;=100000), " ",IF(INDEX($P$2:$S$1001,MATCH(ROWS($I$2:I261),$I$2:$I$1001,0),MATCH(COLUMNS($P$1006:R1006),$P$1006:$S$1006,0)), HYPERLINK("#",""), HYPERLINK(CONCATENATE("#metadata!", ADDRESS(INDEX($K$2:$K$1001,MATCH(ROWS($I$2:I261),$I$2:$I$1001,0),0), INDEX($P$1004:$S$1004,1,MATCH(COLUMNS($P$1006:R1006),$P$1006:$S$1006,0)))),"Fix")))</f>
        <v>0</v>
      </c>
      <c r="E261" s="3">
        <f>IF(OR(INDEX($J$2:$J$1001,MATCH(ROWS($I$2:I261),$I$2:$I$1001,0),1)&gt;=100000,INDEX($P$1005:$S$1005,1,MATCH(COLUMNS($P$1006:S1006),$P$1006:$S$1006,0))&gt;=100000), " ",IF(INDEX($P$2:$S$1001,MATCH(ROWS($I$2:I261),$I$2:$I$1001,0),MATCH(COLUMNS($P$1006:S1006),$P$1006:$S$1006,0)), HYPERLINK("#",""), HYPERLINK(CONCATENATE("#metadata!", ADDRESS(INDEX($K$2:$K$1001,MATCH(ROWS($I$2:I261),$I$2:$I$1001,0),0), INDEX($P$1004:$S$1004,1,MATCH(COLUMNS($P$1006:S1006),$P$1006:$S$1006,0)))),"Fix")))</f>
        <v>0</v>
      </c>
      <c r="I261">
        <v>0</v>
      </c>
      <c r="J261">
        <v>0</v>
      </c>
      <c r="K261">
        <v>0</v>
      </c>
      <c r="L261">
        <f>IF(M261,TRUE,AND(P261:S261))</f>
        <v>0</v>
      </c>
      <c r="M261">
        <f>COUNTBLANK(metadata!B261:E261)=COLUMNS(metadata!B261:E261)</f>
        <v>0</v>
      </c>
      <c r="N261">
        <v>0</v>
      </c>
      <c r="P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Q261">
        <f>AND(IF(metadata!C261="",FALSE,TRUE),exact(metadata!C261,"other"))</f>
        <v>0</v>
      </c>
      <c r="R261">
        <f>AND(IF(metadata!D261="",FALSE,TRUE),exact(metadata!D261,"metagenome"))</f>
        <v>0</v>
      </c>
      <c r="S261">
        <f>AND(IF(metadata!E261="",FALSE,TRUE),exact(metadata!E261,"256318"))</f>
        <v>0</v>
      </c>
    </row>
    <row r="262" spans="1:19">
      <c r="A262" s="4">
        <f>IF(B262=" "," ",HYPERLINK(CONCATENATE("#metadata!",ADDRESS(INDEX($K$2:$K$1001,MATCH(ROWS($I$2:I262),$I$2:$I$1001,0),0),1)),INDEX($N$2:$N$1001,MATCH(ROWS($I$2:I262),$I$2:$I$1001,0),0)))</f>
        <v>0</v>
      </c>
      <c r="B262" s="3">
        <f>IF(OR(INDEX($J$2:$J$1001,MATCH(ROWS($I$2:I262),$I$2:$I$1001,0),1)&gt;=100000,INDEX($P$1005:$S$1005,1,MATCH(COLUMNS($P$1006:P1006),$P$1006:$S$1006,0))&gt;=100000), " ",IF(INDEX($P$2:$S$1001,MATCH(ROWS($I$2:I262),$I$2:$I$1001,0),MATCH(COLUMNS($P$1006:P1006),$P$1006:$S$1006,0)), HYPERLINK("#",""), HYPERLINK(CONCATENATE("#metadata!", ADDRESS(INDEX($K$2:$K$1001,MATCH(ROWS($I$2:I262),$I$2:$I$1001,0),0), INDEX($P$1004:$S$1004,1,MATCH(COLUMNS($P$1006:P1006),$P$1006:$S$1006,0)))),"Fix")))</f>
        <v>0</v>
      </c>
      <c r="C262" s="3">
        <f>IF(OR(INDEX($J$2:$J$1001,MATCH(ROWS($I$2:I262),$I$2:$I$1001,0),1)&gt;=100000,INDEX($P$1005:$S$1005,1,MATCH(COLUMNS($P$1006:Q1006),$P$1006:$S$1006,0))&gt;=100000), " ",IF(INDEX($P$2:$S$1001,MATCH(ROWS($I$2:I262),$I$2:$I$1001,0),MATCH(COLUMNS($P$1006:Q1006),$P$1006:$S$1006,0)), HYPERLINK("#",""), HYPERLINK(CONCATENATE("#metadata!", ADDRESS(INDEX($K$2:$K$1001,MATCH(ROWS($I$2:I262),$I$2:$I$1001,0),0), INDEX($P$1004:$S$1004,1,MATCH(COLUMNS($P$1006:Q1006),$P$1006:$S$1006,0)))),"Fix")))</f>
        <v>0</v>
      </c>
      <c r="D262" s="3">
        <f>IF(OR(INDEX($J$2:$J$1001,MATCH(ROWS($I$2:I262),$I$2:$I$1001,0),1)&gt;=100000,INDEX($P$1005:$S$1005,1,MATCH(COLUMNS($P$1006:R1006),$P$1006:$S$1006,0))&gt;=100000), " ",IF(INDEX($P$2:$S$1001,MATCH(ROWS($I$2:I262),$I$2:$I$1001,0),MATCH(COLUMNS($P$1006:R1006),$P$1006:$S$1006,0)), HYPERLINK("#",""), HYPERLINK(CONCATENATE("#metadata!", ADDRESS(INDEX($K$2:$K$1001,MATCH(ROWS($I$2:I262),$I$2:$I$1001,0),0), INDEX($P$1004:$S$1004,1,MATCH(COLUMNS($P$1006:R1006),$P$1006:$S$1006,0)))),"Fix")))</f>
        <v>0</v>
      </c>
      <c r="E262" s="3">
        <f>IF(OR(INDEX($J$2:$J$1001,MATCH(ROWS($I$2:I262),$I$2:$I$1001,0),1)&gt;=100000,INDEX($P$1005:$S$1005,1,MATCH(COLUMNS($P$1006:S1006),$P$1006:$S$1006,0))&gt;=100000), " ",IF(INDEX($P$2:$S$1001,MATCH(ROWS($I$2:I262),$I$2:$I$1001,0),MATCH(COLUMNS($P$1006:S1006),$P$1006:$S$1006,0)), HYPERLINK("#",""), HYPERLINK(CONCATENATE("#metadata!", ADDRESS(INDEX($K$2:$K$1001,MATCH(ROWS($I$2:I262),$I$2:$I$1001,0),0), INDEX($P$1004:$S$1004,1,MATCH(COLUMNS($P$1006:S1006),$P$1006:$S$1006,0)))),"Fix")))</f>
        <v>0</v>
      </c>
      <c r="I262">
        <v>0</v>
      </c>
      <c r="J262">
        <v>0</v>
      </c>
      <c r="K262">
        <v>0</v>
      </c>
      <c r="L262">
        <f>IF(M262,TRUE,AND(P262:S262))</f>
        <v>0</v>
      </c>
      <c r="M262">
        <f>COUNTBLANK(metadata!B262:E262)=COLUMNS(metadata!B262:E262)</f>
        <v>0</v>
      </c>
      <c r="N262">
        <v>0</v>
      </c>
      <c r="P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Q262">
        <f>AND(IF(metadata!C262="",FALSE,TRUE),exact(metadata!C262,"other"))</f>
        <v>0</v>
      </c>
      <c r="R262">
        <f>AND(IF(metadata!D262="",FALSE,TRUE),exact(metadata!D262,"metagenome"))</f>
        <v>0</v>
      </c>
      <c r="S262">
        <f>AND(IF(metadata!E262="",FALSE,TRUE),exact(metadata!E262,"256318"))</f>
        <v>0</v>
      </c>
    </row>
    <row r="263" spans="1:19">
      <c r="A263" s="4">
        <f>IF(B263=" "," ",HYPERLINK(CONCATENATE("#metadata!",ADDRESS(INDEX($K$2:$K$1001,MATCH(ROWS($I$2:I263),$I$2:$I$1001,0),0),1)),INDEX($N$2:$N$1001,MATCH(ROWS($I$2:I263),$I$2:$I$1001,0),0)))</f>
        <v>0</v>
      </c>
      <c r="B263" s="3">
        <f>IF(OR(INDEX($J$2:$J$1001,MATCH(ROWS($I$2:I263),$I$2:$I$1001,0),1)&gt;=100000,INDEX($P$1005:$S$1005,1,MATCH(COLUMNS($P$1006:P1006),$P$1006:$S$1006,0))&gt;=100000), " ",IF(INDEX($P$2:$S$1001,MATCH(ROWS($I$2:I263),$I$2:$I$1001,0),MATCH(COLUMNS($P$1006:P1006),$P$1006:$S$1006,0)), HYPERLINK("#",""), HYPERLINK(CONCATENATE("#metadata!", ADDRESS(INDEX($K$2:$K$1001,MATCH(ROWS($I$2:I263),$I$2:$I$1001,0),0), INDEX($P$1004:$S$1004,1,MATCH(COLUMNS($P$1006:P1006),$P$1006:$S$1006,0)))),"Fix")))</f>
        <v>0</v>
      </c>
      <c r="C263" s="3">
        <f>IF(OR(INDEX($J$2:$J$1001,MATCH(ROWS($I$2:I263),$I$2:$I$1001,0),1)&gt;=100000,INDEX($P$1005:$S$1005,1,MATCH(COLUMNS($P$1006:Q1006),$P$1006:$S$1006,0))&gt;=100000), " ",IF(INDEX($P$2:$S$1001,MATCH(ROWS($I$2:I263),$I$2:$I$1001,0),MATCH(COLUMNS($P$1006:Q1006),$P$1006:$S$1006,0)), HYPERLINK("#",""), HYPERLINK(CONCATENATE("#metadata!", ADDRESS(INDEX($K$2:$K$1001,MATCH(ROWS($I$2:I263),$I$2:$I$1001,0),0), INDEX($P$1004:$S$1004,1,MATCH(COLUMNS($P$1006:Q1006),$P$1006:$S$1006,0)))),"Fix")))</f>
        <v>0</v>
      </c>
      <c r="D263" s="3">
        <f>IF(OR(INDEX($J$2:$J$1001,MATCH(ROWS($I$2:I263),$I$2:$I$1001,0),1)&gt;=100000,INDEX($P$1005:$S$1005,1,MATCH(COLUMNS($P$1006:R1006),$P$1006:$S$1006,0))&gt;=100000), " ",IF(INDEX($P$2:$S$1001,MATCH(ROWS($I$2:I263),$I$2:$I$1001,0),MATCH(COLUMNS($P$1006:R1006),$P$1006:$S$1006,0)), HYPERLINK("#",""), HYPERLINK(CONCATENATE("#metadata!", ADDRESS(INDEX($K$2:$K$1001,MATCH(ROWS($I$2:I263),$I$2:$I$1001,0),0), INDEX($P$1004:$S$1004,1,MATCH(COLUMNS($P$1006:R1006),$P$1006:$S$1006,0)))),"Fix")))</f>
        <v>0</v>
      </c>
      <c r="E263" s="3">
        <f>IF(OR(INDEX($J$2:$J$1001,MATCH(ROWS($I$2:I263),$I$2:$I$1001,0),1)&gt;=100000,INDEX($P$1005:$S$1005,1,MATCH(COLUMNS($P$1006:S1006),$P$1006:$S$1006,0))&gt;=100000), " ",IF(INDEX($P$2:$S$1001,MATCH(ROWS($I$2:I263),$I$2:$I$1001,0),MATCH(COLUMNS($P$1006:S1006),$P$1006:$S$1006,0)), HYPERLINK("#",""), HYPERLINK(CONCATENATE("#metadata!", ADDRESS(INDEX($K$2:$K$1001,MATCH(ROWS($I$2:I263),$I$2:$I$1001,0),0), INDEX($P$1004:$S$1004,1,MATCH(COLUMNS($P$1006:S1006),$P$1006:$S$1006,0)))),"Fix")))</f>
        <v>0</v>
      </c>
      <c r="I263">
        <v>0</v>
      </c>
      <c r="J263">
        <v>0</v>
      </c>
      <c r="K263">
        <v>0</v>
      </c>
      <c r="L263">
        <f>IF(M263,TRUE,AND(P263:S263))</f>
        <v>0</v>
      </c>
      <c r="M263">
        <f>COUNTBLANK(metadata!B263:E263)=COLUMNS(metadata!B263:E263)</f>
        <v>0</v>
      </c>
      <c r="N263">
        <v>0</v>
      </c>
      <c r="P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Q263">
        <f>AND(IF(metadata!C263="",FALSE,TRUE),exact(metadata!C263,"other"))</f>
        <v>0</v>
      </c>
      <c r="R263">
        <f>AND(IF(metadata!D263="",FALSE,TRUE),exact(metadata!D263,"metagenome"))</f>
        <v>0</v>
      </c>
      <c r="S263">
        <f>AND(IF(metadata!E263="",FALSE,TRUE),exact(metadata!E263,"256318"))</f>
        <v>0</v>
      </c>
    </row>
    <row r="264" spans="1:19">
      <c r="A264" s="4">
        <f>IF(B264=" "," ",HYPERLINK(CONCATENATE("#metadata!",ADDRESS(INDEX($K$2:$K$1001,MATCH(ROWS($I$2:I264),$I$2:$I$1001,0),0),1)),INDEX($N$2:$N$1001,MATCH(ROWS($I$2:I264),$I$2:$I$1001,0),0)))</f>
        <v>0</v>
      </c>
      <c r="B264" s="3">
        <f>IF(OR(INDEX($J$2:$J$1001,MATCH(ROWS($I$2:I264),$I$2:$I$1001,0),1)&gt;=100000,INDEX($P$1005:$S$1005,1,MATCH(COLUMNS($P$1006:P1006),$P$1006:$S$1006,0))&gt;=100000), " ",IF(INDEX($P$2:$S$1001,MATCH(ROWS($I$2:I264),$I$2:$I$1001,0),MATCH(COLUMNS($P$1006:P1006),$P$1006:$S$1006,0)), HYPERLINK("#",""), HYPERLINK(CONCATENATE("#metadata!", ADDRESS(INDEX($K$2:$K$1001,MATCH(ROWS($I$2:I264),$I$2:$I$1001,0),0), INDEX($P$1004:$S$1004,1,MATCH(COLUMNS($P$1006:P1006),$P$1006:$S$1006,0)))),"Fix")))</f>
        <v>0</v>
      </c>
      <c r="C264" s="3">
        <f>IF(OR(INDEX($J$2:$J$1001,MATCH(ROWS($I$2:I264),$I$2:$I$1001,0),1)&gt;=100000,INDEX($P$1005:$S$1005,1,MATCH(COLUMNS($P$1006:Q1006),$P$1006:$S$1006,0))&gt;=100000), " ",IF(INDEX($P$2:$S$1001,MATCH(ROWS($I$2:I264),$I$2:$I$1001,0),MATCH(COLUMNS($P$1006:Q1006),$P$1006:$S$1006,0)), HYPERLINK("#",""), HYPERLINK(CONCATENATE("#metadata!", ADDRESS(INDEX($K$2:$K$1001,MATCH(ROWS($I$2:I264),$I$2:$I$1001,0),0), INDEX($P$1004:$S$1004,1,MATCH(COLUMNS($P$1006:Q1006),$P$1006:$S$1006,0)))),"Fix")))</f>
        <v>0</v>
      </c>
      <c r="D264" s="3">
        <f>IF(OR(INDEX($J$2:$J$1001,MATCH(ROWS($I$2:I264),$I$2:$I$1001,0),1)&gt;=100000,INDEX($P$1005:$S$1005,1,MATCH(COLUMNS($P$1006:R1006),$P$1006:$S$1006,0))&gt;=100000), " ",IF(INDEX($P$2:$S$1001,MATCH(ROWS($I$2:I264),$I$2:$I$1001,0),MATCH(COLUMNS($P$1006:R1006),$P$1006:$S$1006,0)), HYPERLINK("#",""), HYPERLINK(CONCATENATE("#metadata!", ADDRESS(INDEX($K$2:$K$1001,MATCH(ROWS($I$2:I264),$I$2:$I$1001,0),0), INDEX($P$1004:$S$1004,1,MATCH(COLUMNS($P$1006:R1006),$P$1006:$S$1006,0)))),"Fix")))</f>
        <v>0</v>
      </c>
      <c r="E264" s="3">
        <f>IF(OR(INDEX($J$2:$J$1001,MATCH(ROWS($I$2:I264),$I$2:$I$1001,0),1)&gt;=100000,INDEX($P$1005:$S$1005,1,MATCH(COLUMNS($P$1006:S1006),$P$1006:$S$1006,0))&gt;=100000), " ",IF(INDEX($P$2:$S$1001,MATCH(ROWS($I$2:I264),$I$2:$I$1001,0),MATCH(COLUMNS($P$1006:S1006),$P$1006:$S$1006,0)), HYPERLINK("#",""), HYPERLINK(CONCATENATE("#metadata!", ADDRESS(INDEX($K$2:$K$1001,MATCH(ROWS($I$2:I264),$I$2:$I$1001,0),0), INDEX($P$1004:$S$1004,1,MATCH(COLUMNS($P$1006:S1006),$P$1006:$S$1006,0)))),"Fix")))</f>
        <v>0</v>
      </c>
      <c r="I264">
        <v>0</v>
      </c>
      <c r="J264">
        <v>0</v>
      </c>
      <c r="K264">
        <v>0</v>
      </c>
      <c r="L264">
        <f>IF(M264,TRUE,AND(P264:S264))</f>
        <v>0</v>
      </c>
      <c r="M264">
        <f>COUNTBLANK(metadata!B264:E264)=COLUMNS(metadata!B264:E264)</f>
        <v>0</v>
      </c>
      <c r="N264">
        <v>0</v>
      </c>
      <c r="P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Q264">
        <f>AND(IF(metadata!C264="",FALSE,TRUE),exact(metadata!C264,"other"))</f>
        <v>0</v>
      </c>
      <c r="R264">
        <f>AND(IF(metadata!D264="",FALSE,TRUE),exact(metadata!D264,"metagenome"))</f>
        <v>0</v>
      </c>
      <c r="S264">
        <f>AND(IF(metadata!E264="",FALSE,TRUE),exact(metadata!E264,"256318"))</f>
        <v>0</v>
      </c>
    </row>
    <row r="265" spans="1:19">
      <c r="A265" s="4">
        <f>IF(B265=" "," ",HYPERLINK(CONCATENATE("#metadata!",ADDRESS(INDEX($K$2:$K$1001,MATCH(ROWS($I$2:I265),$I$2:$I$1001,0),0),1)),INDEX($N$2:$N$1001,MATCH(ROWS($I$2:I265),$I$2:$I$1001,0),0)))</f>
        <v>0</v>
      </c>
      <c r="B265" s="3">
        <f>IF(OR(INDEX($J$2:$J$1001,MATCH(ROWS($I$2:I265),$I$2:$I$1001,0),1)&gt;=100000,INDEX($P$1005:$S$1005,1,MATCH(COLUMNS($P$1006:P1006),$P$1006:$S$1006,0))&gt;=100000), " ",IF(INDEX($P$2:$S$1001,MATCH(ROWS($I$2:I265),$I$2:$I$1001,0),MATCH(COLUMNS($P$1006:P1006),$P$1006:$S$1006,0)), HYPERLINK("#",""), HYPERLINK(CONCATENATE("#metadata!", ADDRESS(INDEX($K$2:$K$1001,MATCH(ROWS($I$2:I265),$I$2:$I$1001,0),0), INDEX($P$1004:$S$1004,1,MATCH(COLUMNS($P$1006:P1006),$P$1006:$S$1006,0)))),"Fix")))</f>
        <v>0</v>
      </c>
      <c r="C265" s="3">
        <f>IF(OR(INDEX($J$2:$J$1001,MATCH(ROWS($I$2:I265),$I$2:$I$1001,0),1)&gt;=100000,INDEX($P$1005:$S$1005,1,MATCH(COLUMNS($P$1006:Q1006),$P$1006:$S$1006,0))&gt;=100000), " ",IF(INDEX($P$2:$S$1001,MATCH(ROWS($I$2:I265),$I$2:$I$1001,0),MATCH(COLUMNS($P$1006:Q1006),$P$1006:$S$1006,0)), HYPERLINK("#",""), HYPERLINK(CONCATENATE("#metadata!", ADDRESS(INDEX($K$2:$K$1001,MATCH(ROWS($I$2:I265),$I$2:$I$1001,0),0), INDEX($P$1004:$S$1004,1,MATCH(COLUMNS($P$1006:Q1006),$P$1006:$S$1006,0)))),"Fix")))</f>
        <v>0</v>
      </c>
      <c r="D265" s="3">
        <f>IF(OR(INDEX($J$2:$J$1001,MATCH(ROWS($I$2:I265),$I$2:$I$1001,0),1)&gt;=100000,INDEX($P$1005:$S$1005,1,MATCH(COLUMNS($P$1006:R1006),$P$1006:$S$1006,0))&gt;=100000), " ",IF(INDEX($P$2:$S$1001,MATCH(ROWS($I$2:I265),$I$2:$I$1001,0),MATCH(COLUMNS($P$1006:R1006),$P$1006:$S$1006,0)), HYPERLINK("#",""), HYPERLINK(CONCATENATE("#metadata!", ADDRESS(INDEX($K$2:$K$1001,MATCH(ROWS($I$2:I265),$I$2:$I$1001,0),0), INDEX($P$1004:$S$1004,1,MATCH(COLUMNS($P$1006:R1006),$P$1006:$S$1006,0)))),"Fix")))</f>
        <v>0</v>
      </c>
      <c r="E265" s="3">
        <f>IF(OR(INDEX($J$2:$J$1001,MATCH(ROWS($I$2:I265),$I$2:$I$1001,0),1)&gt;=100000,INDEX($P$1005:$S$1005,1,MATCH(COLUMNS($P$1006:S1006),$P$1006:$S$1006,0))&gt;=100000), " ",IF(INDEX($P$2:$S$1001,MATCH(ROWS($I$2:I265),$I$2:$I$1001,0),MATCH(COLUMNS($P$1006:S1006),$P$1006:$S$1006,0)), HYPERLINK("#",""), HYPERLINK(CONCATENATE("#metadata!", ADDRESS(INDEX($K$2:$K$1001,MATCH(ROWS($I$2:I265),$I$2:$I$1001,0),0), INDEX($P$1004:$S$1004,1,MATCH(COLUMNS($P$1006:S1006),$P$1006:$S$1006,0)))),"Fix")))</f>
        <v>0</v>
      </c>
      <c r="I265">
        <v>0</v>
      </c>
      <c r="J265">
        <v>0</v>
      </c>
      <c r="K265">
        <v>0</v>
      </c>
      <c r="L265">
        <f>IF(M265,TRUE,AND(P265:S265))</f>
        <v>0</v>
      </c>
      <c r="M265">
        <f>COUNTBLANK(metadata!B265:E265)=COLUMNS(metadata!B265:E265)</f>
        <v>0</v>
      </c>
      <c r="N265">
        <v>0</v>
      </c>
      <c r="P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Q265">
        <f>AND(IF(metadata!C265="",FALSE,TRUE),exact(metadata!C265,"other"))</f>
        <v>0</v>
      </c>
      <c r="R265">
        <f>AND(IF(metadata!D265="",FALSE,TRUE),exact(metadata!D265,"metagenome"))</f>
        <v>0</v>
      </c>
      <c r="S265">
        <f>AND(IF(metadata!E265="",FALSE,TRUE),exact(metadata!E265,"256318"))</f>
        <v>0</v>
      </c>
    </row>
    <row r="266" spans="1:19">
      <c r="A266" s="4">
        <f>IF(B266=" "," ",HYPERLINK(CONCATENATE("#metadata!",ADDRESS(INDEX($K$2:$K$1001,MATCH(ROWS($I$2:I266),$I$2:$I$1001,0),0),1)),INDEX($N$2:$N$1001,MATCH(ROWS($I$2:I266),$I$2:$I$1001,0),0)))</f>
        <v>0</v>
      </c>
      <c r="B266" s="3">
        <f>IF(OR(INDEX($J$2:$J$1001,MATCH(ROWS($I$2:I266),$I$2:$I$1001,0),1)&gt;=100000,INDEX($P$1005:$S$1005,1,MATCH(COLUMNS($P$1006:P1006),$P$1006:$S$1006,0))&gt;=100000), " ",IF(INDEX($P$2:$S$1001,MATCH(ROWS($I$2:I266),$I$2:$I$1001,0),MATCH(COLUMNS($P$1006:P1006),$P$1006:$S$1006,0)), HYPERLINK("#",""), HYPERLINK(CONCATENATE("#metadata!", ADDRESS(INDEX($K$2:$K$1001,MATCH(ROWS($I$2:I266),$I$2:$I$1001,0),0), INDEX($P$1004:$S$1004,1,MATCH(COLUMNS($P$1006:P1006),$P$1006:$S$1006,0)))),"Fix")))</f>
        <v>0</v>
      </c>
      <c r="C266" s="3">
        <f>IF(OR(INDEX($J$2:$J$1001,MATCH(ROWS($I$2:I266),$I$2:$I$1001,0),1)&gt;=100000,INDEX($P$1005:$S$1005,1,MATCH(COLUMNS($P$1006:Q1006),$P$1006:$S$1006,0))&gt;=100000), " ",IF(INDEX($P$2:$S$1001,MATCH(ROWS($I$2:I266),$I$2:$I$1001,0),MATCH(COLUMNS($P$1006:Q1006),$P$1006:$S$1006,0)), HYPERLINK("#",""), HYPERLINK(CONCATENATE("#metadata!", ADDRESS(INDEX($K$2:$K$1001,MATCH(ROWS($I$2:I266),$I$2:$I$1001,0),0), INDEX($P$1004:$S$1004,1,MATCH(COLUMNS($P$1006:Q1006),$P$1006:$S$1006,0)))),"Fix")))</f>
        <v>0</v>
      </c>
      <c r="D266" s="3">
        <f>IF(OR(INDEX($J$2:$J$1001,MATCH(ROWS($I$2:I266),$I$2:$I$1001,0),1)&gt;=100000,INDEX($P$1005:$S$1005,1,MATCH(COLUMNS($P$1006:R1006),$P$1006:$S$1006,0))&gt;=100000), " ",IF(INDEX($P$2:$S$1001,MATCH(ROWS($I$2:I266),$I$2:$I$1001,0),MATCH(COLUMNS($P$1006:R1006),$P$1006:$S$1006,0)), HYPERLINK("#",""), HYPERLINK(CONCATENATE("#metadata!", ADDRESS(INDEX($K$2:$K$1001,MATCH(ROWS($I$2:I266),$I$2:$I$1001,0),0), INDEX($P$1004:$S$1004,1,MATCH(COLUMNS($P$1006:R1006),$P$1006:$S$1006,0)))),"Fix")))</f>
        <v>0</v>
      </c>
      <c r="E266" s="3">
        <f>IF(OR(INDEX($J$2:$J$1001,MATCH(ROWS($I$2:I266),$I$2:$I$1001,0),1)&gt;=100000,INDEX($P$1005:$S$1005,1,MATCH(COLUMNS($P$1006:S1006),$P$1006:$S$1006,0))&gt;=100000), " ",IF(INDEX($P$2:$S$1001,MATCH(ROWS($I$2:I266),$I$2:$I$1001,0),MATCH(COLUMNS($P$1006:S1006),$P$1006:$S$1006,0)), HYPERLINK("#",""), HYPERLINK(CONCATENATE("#metadata!", ADDRESS(INDEX($K$2:$K$1001,MATCH(ROWS($I$2:I266),$I$2:$I$1001,0),0), INDEX($P$1004:$S$1004,1,MATCH(COLUMNS($P$1006:S1006),$P$1006:$S$1006,0)))),"Fix")))</f>
        <v>0</v>
      </c>
      <c r="I266">
        <v>0</v>
      </c>
      <c r="J266">
        <v>0</v>
      </c>
      <c r="K266">
        <v>0</v>
      </c>
      <c r="L266">
        <f>IF(M266,TRUE,AND(P266:S266))</f>
        <v>0</v>
      </c>
      <c r="M266">
        <f>COUNTBLANK(metadata!B266:E266)=COLUMNS(metadata!B266:E266)</f>
        <v>0</v>
      </c>
      <c r="N266">
        <v>0</v>
      </c>
      <c r="P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Q266">
        <f>AND(IF(metadata!C266="",FALSE,TRUE),exact(metadata!C266,"other"))</f>
        <v>0</v>
      </c>
      <c r="R266">
        <f>AND(IF(metadata!D266="",FALSE,TRUE),exact(metadata!D266,"metagenome"))</f>
        <v>0</v>
      </c>
      <c r="S266">
        <f>AND(IF(metadata!E266="",FALSE,TRUE),exact(metadata!E266,"256318"))</f>
        <v>0</v>
      </c>
    </row>
    <row r="267" spans="1:19">
      <c r="A267" s="4">
        <f>IF(B267=" "," ",HYPERLINK(CONCATENATE("#metadata!",ADDRESS(INDEX($K$2:$K$1001,MATCH(ROWS($I$2:I267),$I$2:$I$1001,0),0),1)),INDEX($N$2:$N$1001,MATCH(ROWS($I$2:I267),$I$2:$I$1001,0),0)))</f>
        <v>0</v>
      </c>
      <c r="B267" s="3">
        <f>IF(OR(INDEX($J$2:$J$1001,MATCH(ROWS($I$2:I267),$I$2:$I$1001,0),1)&gt;=100000,INDEX($P$1005:$S$1005,1,MATCH(COLUMNS($P$1006:P1006),$P$1006:$S$1006,0))&gt;=100000), " ",IF(INDEX($P$2:$S$1001,MATCH(ROWS($I$2:I267),$I$2:$I$1001,0),MATCH(COLUMNS($P$1006:P1006),$P$1006:$S$1006,0)), HYPERLINK("#",""), HYPERLINK(CONCATENATE("#metadata!", ADDRESS(INDEX($K$2:$K$1001,MATCH(ROWS($I$2:I267),$I$2:$I$1001,0),0), INDEX($P$1004:$S$1004,1,MATCH(COLUMNS($P$1006:P1006),$P$1006:$S$1006,0)))),"Fix")))</f>
        <v>0</v>
      </c>
      <c r="C267" s="3">
        <f>IF(OR(INDEX($J$2:$J$1001,MATCH(ROWS($I$2:I267),$I$2:$I$1001,0),1)&gt;=100000,INDEX($P$1005:$S$1005,1,MATCH(COLUMNS($P$1006:Q1006),$P$1006:$S$1006,0))&gt;=100000), " ",IF(INDEX($P$2:$S$1001,MATCH(ROWS($I$2:I267),$I$2:$I$1001,0),MATCH(COLUMNS($P$1006:Q1006),$P$1006:$S$1006,0)), HYPERLINK("#",""), HYPERLINK(CONCATENATE("#metadata!", ADDRESS(INDEX($K$2:$K$1001,MATCH(ROWS($I$2:I267),$I$2:$I$1001,0),0), INDEX($P$1004:$S$1004,1,MATCH(COLUMNS($P$1006:Q1006),$P$1006:$S$1006,0)))),"Fix")))</f>
        <v>0</v>
      </c>
      <c r="D267" s="3">
        <f>IF(OR(INDEX($J$2:$J$1001,MATCH(ROWS($I$2:I267),$I$2:$I$1001,0),1)&gt;=100000,INDEX($P$1005:$S$1005,1,MATCH(COLUMNS($P$1006:R1006),$P$1006:$S$1006,0))&gt;=100000), " ",IF(INDEX($P$2:$S$1001,MATCH(ROWS($I$2:I267),$I$2:$I$1001,0),MATCH(COLUMNS($P$1006:R1006),$P$1006:$S$1006,0)), HYPERLINK("#",""), HYPERLINK(CONCATENATE("#metadata!", ADDRESS(INDEX($K$2:$K$1001,MATCH(ROWS($I$2:I267),$I$2:$I$1001,0),0), INDEX($P$1004:$S$1004,1,MATCH(COLUMNS($P$1006:R1006),$P$1006:$S$1006,0)))),"Fix")))</f>
        <v>0</v>
      </c>
      <c r="E267" s="3">
        <f>IF(OR(INDEX($J$2:$J$1001,MATCH(ROWS($I$2:I267),$I$2:$I$1001,0),1)&gt;=100000,INDEX($P$1005:$S$1005,1,MATCH(COLUMNS($P$1006:S1006),$P$1006:$S$1006,0))&gt;=100000), " ",IF(INDEX($P$2:$S$1001,MATCH(ROWS($I$2:I267),$I$2:$I$1001,0),MATCH(COLUMNS($P$1006:S1006),$P$1006:$S$1006,0)), HYPERLINK("#",""), HYPERLINK(CONCATENATE("#metadata!", ADDRESS(INDEX($K$2:$K$1001,MATCH(ROWS($I$2:I267),$I$2:$I$1001,0),0), INDEX($P$1004:$S$1004,1,MATCH(COLUMNS($P$1006:S1006),$P$1006:$S$1006,0)))),"Fix")))</f>
        <v>0</v>
      </c>
      <c r="I267">
        <v>0</v>
      </c>
      <c r="J267">
        <v>0</v>
      </c>
      <c r="K267">
        <v>0</v>
      </c>
      <c r="L267">
        <f>IF(M267,TRUE,AND(P267:S267))</f>
        <v>0</v>
      </c>
      <c r="M267">
        <f>COUNTBLANK(metadata!B267:E267)=COLUMNS(metadata!B267:E267)</f>
        <v>0</v>
      </c>
      <c r="N267">
        <v>0</v>
      </c>
      <c r="P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Q267">
        <f>AND(IF(metadata!C267="",FALSE,TRUE),exact(metadata!C267,"other"))</f>
        <v>0</v>
      </c>
      <c r="R267">
        <f>AND(IF(metadata!D267="",FALSE,TRUE),exact(metadata!D267,"metagenome"))</f>
        <v>0</v>
      </c>
      <c r="S267">
        <f>AND(IF(metadata!E267="",FALSE,TRUE),exact(metadata!E267,"256318"))</f>
        <v>0</v>
      </c>
    </row>
    <row r="268" spans="1:19">
      <c r="A268" s="4">
        <f>IF(B268=" "," ",HYPERLINK(CONCATENATE("#metadata!",ADDRESS(INDEX($K$2:$K$1001,MATCH(ROWS($I$2:I268),$I$2:$I$1001,0),0),1)),INDEX($N$2:$N$1001,MATCH(ROWS($I$2:I268),$I$2:$I$1001,0),0)))</f>
        <v>0</v>
      </c>
      <c r="B268" s="3">
        <f>IF(OR(INDEX($J$2:$J$1001,MATCH(ROWS($I$2:I268),$I$2:$I$1001,0),1)&gt;=100000,INDEX($P$1005:$S$1005,1,MATCH(COLUMNS($P$1006:P1006),$P$1006:$S$1006,0))&gt;=100000), " ",IF(INDEX($P$2:$S$1001,MATCH(ROWS($I$2:I268),$I$2:$I$1001,0),MATCH(COLUMNS($P$1006:P1006),$P$1006:$S$1006,0)), HYPERLINK("#",""), HYPERLINK(CONCATENATE("#metadata!", ADDRESS(INDEX($K$2:$K$1001,MATCH(ROWS($I$2:I268),$I$2:$I$1001,0),0), INDEX($P$1004:$S$1004,1,MATCH(COLUMNS($P$1006:P1006),$P$1006:$S$1006,0)))),"Fix")))</f>
        <v>0</v>
      </c>
      <c r="C268" s="3">
        <f>IF(OR(INDEX($J$2:$J$1001,MATCH(ROWS($I$2:I268),$I$2:$I$1001,0),1)&gt;=100000,INDEX($P$1005:$S$1005,1,MATCH(COLUMNS($P$1006:Q1006),$P$1006:$S$1006,0))&gt;=100000), " ",IF(INDEX($P$2:$S$1001,MATCH(ROWS($I$2:I268),$I$2:$I$1001,0),MATCH(COLUMNS($P$1006:Q1006),$P$1006:$S$1006,0)), HYPERLINK("#",""), HYPERLINK(CONCATENATE("#metadata!", ADDRESS(INDEX($K$2:$K$1001,MATCH(ROWS($I$2:I268),$I$2:$I$1001,0),0), INDEX($P$1004:$S$1004,1,MATCH(COLUMNS($P$1006:Q1006),$P$1006:$S$1006,0)))),"Fix")))</f>
        <v>0</v>
      </c>
      <c r="D268" s="3">
        <f>IF(OR(INDEX($J$2:$J$1001,MATCH(ROWS($I$2:I268),$I$2:$I$1001,0),1)&gt;=100000,INDEX($P$1005:$S$1005,1,MATCH(COLUMNS($P$1006:R1006),$P$1006:$S$1006,0))&gt;=100000), " ",IF(INDEX($P$2:$S$1001,MATCH(ROWS($I$2:I268),$I$2:$I$1001,0),MATCH(COLUMNS($P$1006:R1006),$P$1006:$S$1006,0)), HYPERLINK("#",""), HYPERLINK(CONCATENATE("#metadata!", ADDRESS(INDEX($K$2:$K$1001,MATCH(ROWS($I$2:I268),$I$2:$I$1001,0),0), INDEX($P$1004:$S$1004,1,MATCH(COLUMNS($P$1006:R1006),$P$1006:$S$1006,0)))),"Fix")))</f>
        <v>0</v>
      </c>
      <c r="E268" s="3">
        <f>IF(OR(INDEX($J$2:$J$1001,MATCH(ROWS($I$2:I268),$I$2:$I$1001,0),1)&gt;=100000,INDEX($P$1005:$S$1005,1,MATCH(COLUMNS($P$1006:S1006),$P$1006:$S$1006,0))&gt;=100000), " ",IF(INDEX($P$2:$S$1001,MATCH(ROWS($I$2:I268),$I$2:$I$1001,0),MATCH(COLUMNS($P$1006:S1006),$P$1006:$S$1006,0)), HYPERLINK("#",""), HYPERLINK(CONCATENATE("#metadata!", ADDRESS(INDEX($K$2:$K$1001,MATCH(ROWS($I$2:I268),$I$2:$I$1001,0),0), INDEX($P$1004:$S$1004,1,MATCH(COLUMNS($P$1006:S1006),$P$1006:$S$1006,0)))),"Fix")))</f>
        <v>0</v>
      </c>
      <c r="I268">
        <v>0</v>
      </c>
      <c r="J268">
        <v>0</v>
      </c>
      <c r="K268">
        <v>0</v>
      </c>
      <c r="L268">
        <f>IF(M268,TRUE,AND(P268:S268))</f>
        <v>0</v>
      </c>
      <c r="M268">
        <f>COUNTBLANK(metadata!B268:E268)=COLUMNS(metadata!B268:E268)</f>
        <v>0</v>
      </c>
      <c r="N268">
        <v>0</v>
      </c>
      <c r="P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Q268">
        <f>AND(IF(metadata!C268="",FALSE,TRUE),exact(metadata!C268,"other"))</f>
        <v>0</v>
      </c>
      <c r="R268">
        <f>AND(IF(metadata!D268="",FALSE,TRUE),exact(metadata!D268,"metagenome"))</f>
        <v>0</v>
      </c>
      <c r="S268">
        <f>AND(IF(metadata!E268="",FALSE,TRUE),exact(metadata!E268,"256318"))</f>
        <v>0</v>
      </c>
    </row>
    <row r="269" spans="1:19">
      <c r="A269" s="4">
        <f>IF(B269=" "," ",HYPERLINK(CONCATENATE("#metadata!",ADDRESS(INDEX($K$2:$K$1001,MATCH(ROWS($I$2:I269),$I$2:$I$1001,0),0),1)),INDEX($N$2:$N$1001,MATCH(ROWS($I$2:I269),$I$2:$I$1001,0),0)))</f>
        <v>0</v>
      </c>
      <c r="B269" s="3">
        <f>IF(OR(INDEX($J$2:$J$1001,MATCH(ROWS($I$2:I269),$I$2:$I$1001,0),1)&gt;=100000,INDEX($P$1005:$S$1005,1,MATCH(COLUMNS($P$1006:P1006),$P$1006:$S$1006,0))&gt;=100000), " ",IF(INDEX($P$2:$S$1001,MATCH(ROWS($I$2:I269),$I$2:$I$1001,0),MATCH(COLUMNS($P$1006:P1006),$P$1006:$S$1006,0)), HYPERLINK("#",""), HYPERLINK(CONCATENATE("#metadata!", ADDRESS(INDEX($K$2:$K$1001,MATCH(ROWS($I$2:I269),$I$2:$I$1001,0),0), INDEX($P$1004:$S$1004,1,MATCH(COLUMNS($P$1006:P1006),$P$1006:$S$1006,0)))),"Fix")))</f>
        <v>0</v>
      </c>
      <c r="C269" s="3">
        <f>IF(OR(INDEX($J$2:$J$1001,MATCH(ROWS($I$2:I269),$I$2:$I$1001,0),1)&gt;=100000,INDEX($P$1005:$S$1005,1,MATCH(COLUMNS($P$1006:Q1006),$P$1006:$S$1006,0))&gt;=100000), " ",IF(INDEX($P$2:$S$1001,MATCH(ROWS($I$2:I269),$I$2:$I$1001,0),MATCH(COLUMNS($P$1006:Q1006),$P$1006:$S$1006,0)), HYPERLINK("#",""), HYPERLINK(CONCATENATE("#metadata!", ADDRESS(INDEX($K$2:$K$1001,MATCH(ROWS($I$2:I269),$I$2:$I$1001,0),0), INDEX($P$1004:$S$1004,1,MATCH(COLUMNS($P$1006:Q1006),$P$1006:$S$1006,0)))),"Fix")))</f>
        <v>0</v>
      </c>
      <c r="D269" s="3">
        <f>IF(OR(INDEX($J$2:$J$1001,MATCH(ROWS($I$2:I269),$I$2:$I$1001,0),1)&gt;=100000,INDEX($P$1005:$S$1005,1,MATCH(COLUMNS($P$1006:R1006),$P$1006:$S$1006,0))&gt;=100000), " ",IF(INDEX($P$2:$S$1001,MATCH(ROWS($I$2:I269),$I$2:$I$1001,0),MATCH(COLUMNS($P$1006:R1006),$P$1006:$S$1006,0)), HYPERLINK("#",""), HYPERLINK(CONCATENATE("#metadata!", ADDRESS(INDEX($K$2:$K$1001,MATCH(ROWS($I$2:I269),$I$2:$I$1001,0),0), INDEX($P$1004:$S$1004,1,MATCH(COLUMNS($P$1006:R1006),$P$1006:$S$1006,0)))),"Fix")))</f>
        <v>0</v>
      </c>
      <c r="E269" s="3">
        <f>IF(OR(INDEX($J$2:$J$1001,MATCH(ROWS($I$2:I269),$I$2:$I$1001,0),1)&gt;=100000,INDEX($P$1005:$S$1005,1,MATCH(COLUMNS($P$1006:S1006),$P$1006:$S$1006,0))&gt;=100000), " ",IF(INDEX($P$2:$S$1001,MATCH(ROWS($I$2:I269),$I$2:$I$1001,0),MATCH(COLUMNS($P$1006:S1006),$P$1006:$S$1006,0)), HYPERLINK("#",""), HYPERLINK(CONCATENATE("#metadata!", ADDRESS(INDEX($K$2:$K$1001,MATCH(ROWS($I$2:I269),$I$2:$I$1001,0),0), INDEX($P$1004:$S$1004,1,MATCH(COLUMNS($P$1006:S1006),$P$1006:$S$1006,0)))),"Fix")))</f>
        <v>0</v>
      </c>
      <c r="I269">
        <v>0</v>
      </c>
      <c r="J269">
        <v>0</v>
      </c>
      <c r="K269">
        <v>0</v>
      </c>
      <c r="L269">
        <f>IF(M269,TRUE,AND(P269:S269))</f>
        <v>0</v>
      </c>
      <c r="M269">
        <f>COUNTBLANK(metadata!B269:E269)=COLUMNS(metadata!B269:E269)</f>
        <v>0</v>
      </c>
      <c r="N269">
        <v>0</v>
      </c>
      <c r="P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Q269">
        <f>AND(IF(metadata!C269="",FALSE,TRUE),exact(metadata!C269,"other"))</f>
        <v>0</v>
      </c>
      <c r="R269">
        <f>AND(IF(metadata!D269="",FALSE,TRUE),exact(metadata!D269,"metagenome"))</f>
        <v>0</v>
      </c>
      <c r="S269">
        <f>AND(IF(metadata!E269="",FALSE,TRUE),exact(metadata!E269,"256318"))</f>
        <v>0</v>
      </c>
    </row>
    <row r="270" spans="1:19">
      <c r="A270" s="4">
        <f>IF(B270=" "," ",HYPERLINK(CONCATENATE("#metadata!",ADDRESS(INDEX($K$2:$K$1001,MATCH(ROWS($I$2:I270),$I$2:$I$1001,0),0),1)),INDEX($N$2:$N$1001,MATCH(ROWS($I$2:I270),$I$2:$I$1001,0),0)))</f>
        <v>0</v>
      </c>
      <c r="B270" s="3">
        <f>IF(OR(INDEX($J$2:$J$1001,MATCH(ROWS($I$2:I270),$I$2:$I$1001,0),1)&gt;=100000,INDEX($P$1005:$S$1005,1,MATCH(COLUMNS($P$1006:P1006),$P$1006:$S$1006,0))&gt;=100000), " ",IF(INDEX($P$2:$S$1001,MATCH(ROWS($I$2:I270),$I$2:$I$1001,0),MATCH(COLUMNS($P$1006:P1006),$P$1006:$S$1006,0)), HYPERLINK("#",""), HYPERLINK(CONCATENATE("#metadata!", ADDRESS(INDEX($K$2:$K$1001,MATCH(ROWS($I$2:I270),$I$2:$I$1001,0),0), INDEX($P$1004:$S$1004,1,MATCH(COLUMNS($P$1006:P1006),$P$1006:$S$1006,0)))),"Fix")))</f>
        <v>0</v>
      </c>
      <c r="C270" s="3">
        <f>IF(OR(INDEX($J$2:$J$1001,MATCH(ROWS($I$2:I270),$I$2:$I$1001,0),1)&gt;=100000,INDEX($P$1005:$S$1005,1,MATCH(COLUMNS($P$1006:Q1006),$P$1006:$S$1006,0))&gt;=100000), " ",IF(INDEX($P$2:$S$1001,MATCH(ROWS($I$2:I270),$I$2:$I$1001,0),MATCH(COLUMNS($P$1006:Q1006),$P$1006:$S$1006,0)), HYPERLINK("#",""), HYPERLINK(CONCATENATE("#metadata!", ADDRESS(INDEX($K$2:$K$1001,MATCH(ROWS($I$2:I270),$I$2:$I$1001,0),0), INDEX($P$1004:$S$1004,1,MATCH(COLUMNS($P$1006:Q1006),$P$1006:$S$1006,0)))),"Fix")))</f>
        <v>0</v>
      </c>
      <c r="D270" s="3">
        <f>IF(OR(INDEX($J$2:$J$1001,MATCH(ROWS($I$2:I270),$I$2:$I$1001,0),1)&gt;=100000,INDEX($P$1005:$S$1005,1,MATCH(COLUMNS($P$1006:R1006),$P$1006:$S$1006,0))&gt;=100000), " ",IF(INDEX($P$2:$S$1001,MATCH(ROWS($I$2:I270),$I$2:$I$1001,0),MATCH(COLUMNS($P$1006:R1006),$P$1006:$S$1006,0)), HYPERLINK("#",""), HYPERLINK(CONCATENATE("#metadata!", ADDRESS(INDEX($K$2:$K$1001,MATCH(ROWS($I$2:I270),$I$2:$I$1001,0),0), INDEX($P$1004:$S$1004,1,MATCH(COLUMNS($P$1006:R1006),$P$1006:$S$1006,0)))),"Fix")))</f>
        <v>0</v>
      </c>
      <c r="E270" s="3">
        <f>IF(OR(INDEX($J$2:$J$1001,MATCH(ROWS($I$2:I270),$I$2:$I$1001,0),1)&gt;=100000,INDEX($P$1005:$S$1005,1,MATCH(COLUMNS($P$1006:S1006),$P$1006:$S$1006,0))&gt;=100000), " ",IF(INDEX($P$2:$S$1001,MATCH(ROWS($I$2:I270),$I$2:$I$1001,0),MATCH(COLUMNS($P$1006:S1006),$P$1006:$S$1006,0)), HYPERLINK("#",""), HYPERLINK(CONCATENATE("#metadata!", ADDRESS(INDEX($K$2:$K$1001,MATCH(ROWS($I$2:I270),$I$2:$I$1001,0),0), INDEX($P$1004:$S$1004,1,MATCH(COLUMNS($P$1006:S1006),$P$1006:$S$1006,0)))),"Fix")))</f>
        <v>0</v>
      </c>
      <c r="I270">
        <v>0</v>
      </c>
      <c r="J270">
        <v>0</v>
      </c>
      <c r="K270">
        <v>0</v>
      </c>
      <c r="L270">
        <f>IF(M270,TRUE,AND(P270:S270))</f>
        <v>0</v>
      </c>
      <c r="M270">
        <f>COUNTBLANK(metadata!B270:E270)=COLUMNS(metadata!B270:E270)</f>
        <v>0</v>
      </c>
      <c r="N270">
        <v>0</v>
      </c>
      <c r="P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Q270">
        <f>AND(IF(metadata!C270="",FALSE,TRUE),exact(metadata!C270,"other"))</f>
        <v>0</v>
      </c>
      <c r="R270">
        <f>AND(IF(metadata!D270="",FALSE,TRUE),exact(metadata!D270,"metagenome"))</f>
        <v>0</v>
      </c>
      <c r="S270">
        <f>AND(IF(metadata!E270="",FALSE,TRUE),exact(metadata!E270,"256318"))</f>
        <v>0</v>
      </c>
    </row>
    <row r="271" spans="1:19">
      <c r="A271" s="4">
        <f>IF(B271=" "," ",HYPERLINK(CONCATENATE("#metadata!",ADDRESS(INDEX($K$2:$K$1001,MATCH(ROWS($I$2:I271),$I$2:$I$1001,0),0),1)),INDEX($N$2:$N$1001,MATCH(ROWS($I$2:I271),$I$2:$I$1001,0),0)))</f>
        <v>0</v>
      </c>
      <c r="B271" s="3">
        <f>IF(OR(INDEX($J$2:$J$1001,MATCH(ROWS($I$2:I271),$I$2:$I$1001,0),1)&gt;=100000,INDEX($P$1005:$S$1005,1,MATCH(COLUMNS($P$1006:P1006),$P$1006:$S$1006,0))&gt;=100000), " ",IF(INDEX($P$2:$S$1001,MATCH(ROWS($I$2:I271),$I$2:$I$1001,0),MATCH(COLUMNS($P$1006:P1006),$P$1006:$S$1006,0)), HYPERLINK("#",""), HYPERLINK(CONCATENATE("#metadata!", ADDRESS(INDEX($K$2:$K$1001,MATCH(ROWS($I$2:I271),$I$2:$I$1001,0),0), INDEX($P$1004:$S$1004,1,MATCH(COLUMNS($P$1006:P1006),$P$1006:$S$1006,0)))),"Fix")))</f>
        <v>0</v>
      </c>
      <c r="C271" s="3">
        <f>IF(OR(INDEX($J$2:$J$1001,MATCH(ROWS($I$2:I271),$I$2:$I$1001,0),1)&gt;=100000,INDEX($P$1005:$S$1005,1,MATCH(COLUMNS($P$1006:Q1006),$P$1006:$S$1006,0))&gt;=100000), " ",IF(INDEX($P$2:$S$1001,MATCH(ROWS($I$2:I271),$I$2:$I$1001,0),MATCH(COLUMNS($P$1006:Q1006),$P$1006:$S$1006,0)), HYPERLINK("#",""), HYPERLINK(CONCATENATE("#metadata!", ADDRESS(INDEX($K$2:$K$1001,MATCH(ROWS($I$2:I271),$I$2:$I$1001,0),0), INDEX($P$1004:$S$1004,1,MATCH(COLUMNS($P$1006:Q1006),$P$1006:$S$1006,0)))),"Fix")))</f>
        <v>0</v>
      </c>
      <c r="D271" s="3">
        <f>IF(OR(INDEX($J$2:$J$1001,MATCH(ROWS($I$2:I271),$I$2:$I$1001,0),1)&gt;=100000,INDEX($P$1005:$S$1005,1,MATCH(COLUMNS($P$1006:R1006),$P$1006:$S$1006,0))&gt;=100000), " ",IF(INDEX($P$2:$S$1001,MATCH(ROWS($I$2:I271),$I$2:$I$1001,0),MATCH(COLUMNS($P$1006:R1006),$P$1006:$S$1006,0)), HYPERLINK("#",""), HYPERLINK(CONCATENATE("#metadata!", ADDRESS(INDEX($K$2:$K$1001,MATCH(ROWS($I$2:I271),$I$2:$I$1001,0),0), INDEX($P$1004:$S$1004,1,MATCH(COLUMNS($P$1006:R1006),$P$1006:$S$1006,0)))),"Fix")))</f>
        <v>0</v>
      </c>
      <c r="E271" s="3">
        <f>IF(OR(INDEX($J$2:$J$1001,MATCH(ROWS($I$2:I271),$I$2:$I$1001,0),1)&gt;=100000,INDEX($P$1005:$S$1005,1,MATCH(COLUMNS($P$1006:S1006),$P$1006:$S$1006,0))&gt;=100000), " ",IF(INDEX($P$2:$S$1001,MATCH(ROWS($I$2:I271),$I$2:$I$1001,0),MATCH(COLUMNS($P$1006:S1006),$P$1006:$S$1006,0)), HYPERLINK("#",""), HYPERLINK(CONCATENATE("#metadata!", ADDRESS(INDEX($K$2:$K$1001,MATCH(ROWS($I$2:I271),$I$2:$I$1001,0),0), INDEX($P$1004:$S$1004,1,MATCH(COLUMNS($P$1006:S1006),$P$1006:$S$1006,0)))),"Fix")))</f>
        <v>0</v>
      </c>
      <c r="I271">
        <v>0</v>
      </c>
      <c r="J271">
        <v>0</v>
      </c>
      <c r="K271">
        <v>0</v>
      </c>
      <c r="L271">
        <f>IF(M271,TRUE,AND(P271:S271))</f>
        <v>0</v>
      </c>
      <c r="M271">
        <f>COUNTBLANK(metadata!B271:E271)=COLUMNS(metadata!B271:E271)</f>
        <v>0</v>
      </c>
      <c r="N271">
        <v>0</v>
      </c>
      <c r="P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Q271">
        <f>AND(IF(metadata!C271="",FALSE,TRUE),exact(metadata!C271,"other"))</f>
        <v>0</v>
      </c>
      <c r="R271">
        <f>AND(IF(metadata!D271="",FALSE,TRUE),exact(metadata!D271,"metagenome"))</f>
        <v>0</v>
      </c>
      <c r="S271">
        <f>AND(IF(metadata!E271="",FALSE,TRUE),exact(metadata!E271,"256318"))</f>
        <v>0</v>
      </c>
    </row>
    <row r="272" spans="1:19">
      <c r="A272" s="4">
        <f>IF(B272=" "," ",HYPERLINK(CONCATENATE("#metadata!",ADDRESS(INDEX($K$2:$K$1001,MATCH(ROWS($I$2:I272),$I$2:$I$1001,0),0),1)),INDEX($N$2:$N$1001,MATCH(ROWS($I$2:I272),$I$2:$I$1001,0),0)))</f>
        <v>0</v>
      </c>
      <c r="B272" s="3">
        <f>IF(OR(INDEX($J$2:$J$1001,MATCH(ROWS($I$2:I272),$I$2:$I$1001,0),1)&gt;=100000,INDEX($P$1005:$S$1005,1,MATCH(COLUMNS($P$1006:P1006),$P$1006:$S$1006,0))&gt;=100000), " ",IF(INDEX($P$2:$S$1001,MATCH(ROWS($I$2:I272),$I$2:$I$1001,0),MATCH(COLUMNS($P$1006:P1006),$P$1006:$S$1006,0)), HYPERLINK("#",""), HYPERLINK(CONCATENATE("#metadata!", ADDRESS(INDEX($K$2:$K$1001,MATCH(ROWS($I$2:I272),$I$2:$I$1001,0),0), INDEX($P$1004:$S$1004,1,MATCH(COLUMNS($P$1006:P1006),$P$1006:$S$1006,0)))),"Fix")))</f>
        <v>0</v>
      </c>
      <c r="C272" s="3">
        <f>IF(OR(INDEX($J$2:$J$1001,MATCH(ROWS($I$2:I272),$I$2:$I$1001,0),1)&gt;=100000,INDEX($P$1005:$S$1005,1,MATCH(COLUMNS($P$1006:Q1006),$P$1006:$S$1006,0))&gt;=100000), " ",IF(INDEX($P$2:$S$1001,MATCH(ROWS($I$2:I272),$I$2:$I$1001,0),MATCH(COLUMNS($P$1006:Q1006),$P$1006:$S$1006,0)), HYPERLINK("#",""), HYPERLINK(CONCATENATE("#metadata!", ADDRESS(INDEX($K$2:$K$1001,MATCH(ROWS($I$2:I272),$I$2:$I$1001,0),0), INDEX($P$1004:$S$1004,1,MATCH(COLUMNS($P$1006:Q1006),$P$1006:$S$1006,0)))),"Fix")))</f>
        <v>0</v>
      </c>
      <c r="D272" s="3">
        <f>IF(OR(INDEX($J$2:$J$1001,MATCH(ROWS($I$2:I272),$I$2:$I$1001,0),1)&gt;=100000,INDEX($P$1005:$S$1005,1,MATCH(COLUMNS($P$1006:R1006),$P$1006:$S$1006,0))&gt;=100000), " ",IF(INDEX($P$2:$S$1001,MATCH(ROWS($I$2:I272),$I$2:$I$1001,0),MATCH(COLUMNS($P$1006:R1006),$P$1006:$S$1006,0)), HYPERLINK("#",""), HYPERLINK(CONCATENATE("#metadata!", ADDRESS(INDEX($K$2:$K$1001,MATCH(ROWS($I$2:I272),$I$2:$I$1001,0),0), INDEX($P$1004:$S$1004,1,MATCH(COLUMNS($P$1006:R1006),$P$1006:$S$1006,0)))),"Fix")))</f>
        <v>0</v>
      </c>
      <c r="E272" s="3">
        <f>IF(OR(INDEX($J$2:$J$1001,MATCH(ROWS($I$2:I272),$I$2:$I$1001,0),1)&gt;=100000,INDEX($P$1005:$S$1005,1,MATCH(COLUMNS($P$1006:S1006),$P$1006:$S$1006,0))&gt;=100000), " ",IF(INDEX($P$2:$S$1001,MATCH(ROWS($I$2:I272),$I$2:$I$1001,0),MATCH(COLUMNS($P$1006:S1006),$P$1006:$S$1006,0)), HYPERLINK("#",""), HYPERLINK(CONCATENATE("#metadata!", ADDRESS(INDEX($K$2:$K$1001,MATCH(ROWS($I$2:I272),$I$2:$I$1001,0),0), INDEX($P$1004:$S$1004,1,MATCH(COLUMNS($P$1006:S1006),$P$1006:$S$1006,0)))),"Fix")))</f>
        <v>0</v>
      </c>
      <c r="I272">
        <v>0</v>
      </c>
      <c r="J272">
        <v>0</v>
      </c>
      <c r="K272">
        <v>0</v>
      </c>
      <c r="L272">
        <f>IF(M272,TRUE,AND(P272:S272))</f>
        <v>0</v>
      </c>
      <c r="M272">
        <f>COUNTBLANK(metadata!B272:E272)=COLUMNS(metadata!B272:E272)</f>
        <v>0</v>
      </c>
      <c r="N272">
        <v>0</v>
      </c>
      <c r="P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Q272">
        <f>AND(IF(metadata!C272="",FALSE,TRUE),exact(metadata!C272,"other"))</f>
        <v>0</v>
      </c>
      <c r="R272">
        <f>AND(IF(metadata!D272="",FALSE,TRUE),exact(metadata!D272,"metagenome"))</f>
        <v>0</v>
      </c>
      <c r="S272">
        <f>AND(IF(metadata!E272="",FALSE,TRUE),exact(metadata!E272,"256318"))</f>
        <v>0</v>
      </c>
    </row>
    <row r="273" spans="1:19">
      <c r="A273" s="4">
        <f>IF(B273=" "," ",HYPERLINK(CONCATENATE("#metadata!",ADDRESS(INDEX($K$2:$K$1001,MATCH(ROWS($I$2:I273),$I$2:$I$1001,0),0),1)),INDEX($N$2:$N$1001,MATCH(ROWS($I$2:I273),$I$2:$I$1001,0),0)))</f>
        <v>0</v>
      </c>
      <c r="B273" s="3">
        <f>IF(OR(INDEX($J$2:$J$1001,MATCH(ROWS($I$2:I273),$I$2:$I$1001,0),1)&gt;=100000,INDEX($P$1005:$S$1005,1,MATCH(COLUMNS($P$1006:P1006),$P$1006:$S$1006,0))&gt;=100000), " ",IF(INDEX($P$2:$S$1001,MATCH(ROWS($I$2:I273),$I$2:$I$1001,0),MATCH(COLUMNS($P$1006:P1006),$P$1006:$S$1006,0)), HYPERLINK("#",""), HYPERLINK(CONCATENATE("#metadata!", ADDRESS(INDEX($K$2:$K$1001,MATCH(ROWS($I$2:I273),$I$2:$I$1001,0),0), INDEX($P$1004:$S$1004,1,MATCH(COLUMNS($P$1006:P1006),$P$1006:$S$1006,0)))),"Fix")))</f>
        <v>0</v>
      </c>
      <c r="C273" s="3">
        <f>IF(OR(INDEX($J$2:$J$1001,MATCH(ROWS($I$2:I273),$I$2:$I$1001,0),1)&gt;=100000,INDEX($P$1005:$S$1005,1,MATCH(COLUMNS($P$1006:Q1006),$P$1006:$S$1006,0))&gt;=100000), " ",IF(INDEX($P$2:$S$1001,MATCH(ROWS($I$2:I273),$I$2:$I$1001,0),MATCH(COLUMNS($P$1006:Q1006),$P$1006:$S$1006,0)), HYPERLINK("#",""), HYPERLINK(CONCATENATE("#metadata!", ADDRESS(INDEX($K$2:$K$1001,MATCH(ROWS($I$2:I273),$I$2:$I$1001,0),0), INDEX($P$1004:$S$1004,1,MATCH(COLUMNS($P$1006:Q1006),$P$1006:$S$1006,0)))),"Fix")))</f>
        <v>0</v>
      </c>
      <c r="D273" s="3">
        <f>IF(OR(INDEX($J$2:$J$1001,MATCH(ROWS($I$2:I273),$I$2:$I$1001,0),1)&gt;=100000,INDEX($P$1005:$S$1005,1,MATCH(COLUMNS($P$1006:R1006),$P$1006:$S$1006,0))&gt;=100000), " ",IF(INDEX($P$2:$S$1001,MATCH(ROWS($I$2:I273),$I$2:$I$1001,0),MATCH(COLUMNS($P$1006:R1006),$P$1006:$S$1006,0)), HYPERLINK("#",""), HYPERLINK(CONCATENATE("#metadata!", ADDRESS(INDEX($K$2:$K$1001,MATCH(ROWS($I$2:I273),$I$2:$I$1001,0),0), INDEX($P$1004:$S$1004,1,MATCH(COLUMNS($P$1006:R1006),$P$1006:$S$1006,0)))),"Fix")))</f>
        <v>0</v>
      </c>
      <c r="E273" s="3">
        <f>IF(OR(INDEX($J$2:$J$1001,MATCH(ROWS($I$2:I273),$I$2:$I$1001,0),1)&gt;=100000,INDEX($P$1005:$S$1005,1,MATCH(COLUMNS($P$1006:S1006),$P$1006:$S$1006,0))&gt;=100000), " ",IF(INDEX($P$2:$S$1001,MATCH(ROWS($I$2:I273),$I$2:$I$1001,0),MATCH(COLUMNS($P$1006:S1006),$P$1006:$S$1006,0)), HYPERLINK("#",""), HYPERLINK(CONCATENATE("#metadata!", ADDRESS(INDEX($K$2:$K$1001,MATCH(ROWS($I$2:I273),$I$2:$I$1001,0),0), INDEX($P$1004:$S$1004,1,MATCH(COLUMNS($P$1006:S1006),$P$1006:$S$1006,0)))),"Fix")))</f>
        <v>0</v>
      </c>
      <c r="I273">
        <v>0</v>
      </c>
      <c r="J273">
        <v>0</v>
      </c>
      <c r="K273">
        <v>0</v>
      </c>
      <c r="L273">
        <f>IF(M273,TRUE,AND(P273:S273))</f>
        <v>0</v>
      </c>
      <c r="M273">
        <f>COUNTBLANK(metadata!B273:E273)=COLUMNS(metadata!B273:E273)</f>
        <v>0</v>
      </c>
      <c r="N273">
        <v>0</v>
      </c>
      <c r="P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Q273">
        <f>AND(IF(metadata!C273="",FALSE,TRUE),exact(metadata!C273,"other"))</f>
        <v>0</v>
      </c>
      <c r="R273">
        <f>AND(IF(metadata!D273="",FALSE,TRUE),exact(metadata!D273,"metagenome"))</f>
        <v>0</v>
      </c>
      <c r="S273">
        <f>AND(IF(metadata!E273="",FALSE,TRUE),exact(metadata!E273,"256318"))</f>
        <v>0</v>
      </c>
    </row>
    <row r="274" spans="1:19">
      <c r="A274" s="4">
        <f>IF(B274=" "," ",HYPERLINK(CONCATENATE("#metadata!",ADDRESS(INDEX($K$2:$K$1001,MATCH(ROWS($I$2:I274),$I$2:$I$1001,0),0),1)),INDEX($N$2:$N$1001,MATCH(ROWS($I$2:I274),$I$2:$I$1001,0),0)))</f>
        <v>0</v>
      </c>
      <c r="B274" s="3">
        <f>IF(OR(INDEX($J$2:$J$1001,MATCH(ROWS($I$2:I274),$I$2:$I$1001,0),1)&gt;=100000,INDEX($P$1005:$S$1005,1,MATCH(COLUMNS($P$1006:P1006),$P$1006:$S$1006,0))&gt;=100000), " ",IF(INDEX($P$2:$S$1001,MATCH(ROWS($I$2:I274),$I$2:$I$1001,0),MATCH(COLUMNS($P$1006:P1006),$P$1006:$S$1006,0)), HYPERLINK("#",""), HYPERLINK(CONCATENATE("#metadata!", ADDRESS(INDEX($K$2:$K$1001,MATCH(ROWS($I$2:I274),$I$2:$I$1001,0),0), INDEX($P$1004:$S$1004,1,MATCH(COLUMNS($P$1006:P1006),$P$1006:$S$1006,0)))),"Fix")))</f>
        <v>0</v>
      </c>
      <c r="C274" s="3">
        <f>IF(OR(INDEX($J$2:$J$1001,MATCH(ROWS($I$2:I274),$I$2:$I$1001,0),1)&gt;=100000,INDEX($P$1005:$S$1005,1,MATCH(COLUMNS($P$1006:Q1006),$P$1006:$S$1006,0))&gt;=100000), " ",IF(INDEX($P$2:$S$1001,MATCH(ROWS($I$2:I274),$I$2:$I$1001,0),MATCH(COLUMNS($P$1006:Q1006),$P$1006:$S$1006,0)), HYPERLINK("#",""), HYPERLINK(CONCATENATE("#metadata!", ADDRESS(INDEX($K$2:$K$1001,MATCH(ROWS($I$2:I274),$I$2:$I$1001,0),0), INDEX($P$1004:$S$1004,1,MATCH(COLUMNS($P$1006:Q1006),$P$1006:$S$1006,0)))),"Fix")))</f>
        <v>0</v>
      </c>
      <c r="D274" s="3">
        <f>IF(OR(INDEX($J$2:$J$1001,MATCH(ROWS($I$2:I274),$I$2:$I$1001,0),1)&gt;=100000,INDEX($P$1005:$S$1005,1,MATCH(COLUMNS($P$1006:R1006),$P$1006:$S$1006,0))&gt;=100000), " ",IF(INDEX($P$2:$S$1001,MATCH(ROWS($I$2:I274),$I$2:$I$1001,0),MATCH(COLUMNS($P$1006:R1006),$P$1006:$S$1006,0)), HYPERLINK("#",""), HYPERLINK(CONCATENATE("#metadata!", ADDRESS(INDEX($K$2:$K$1001,MATCH(ROWS($I$2:I274),$I$2:$I$1001,0),0), INDEX($P$1004:$S$1004,1,MATCH(COLUMNS($P$1006:R1006),$P$1006:$S$1006,0)))),"Fix")))</f>
        <v>0</v>
      </c>
      <c r="E274" s="3">
        <f>IF(OR(INDEX($J$2:$J$1001,MATCH(ROWS($I$2:I274),$I$2:$I$1001,0),1)&gt;=100000,INDEX($P$1005:$S$1005,1,MATCH(COLUMNS($P$1006:S1006),$P$1006:$S$1006,0))&gt;=100000), " ",IF(INDEX($P$2:$S$1001,MATCH(ROWS($I$2:I274),$I$2:$I$1001,0),MATCH(COLUMNS($P$1006:S1006),$P$1006:$S$1006,0)), HYPERLINK("#",""), HYPERLINK(CONCATENATE("#metadata!", ADDRESS(INDEX($K$2:$K$1001,MATCH(ROWS($I$2:I274),$I$2:$I$1001,0),0), INDEX($P$1004:$S$1004,1,MATCH(COLUMNS($P$1006:S1006),$P$1006:$S$1006,0)))),"Fix")))</f>
        <v>0</v>
      </c>
      <c r="I274">
        <v>0</v>
      </c>
      <c r="J274">
        <v>0</v>
      </c>
      <c r="K274">
        <v>0</v>
      </c>
      <c r="L274">
        <f>IF(M274,TRUE,AND(P274:S274))</f>
        <v>0</v>
      </c>
      <c r="M274">
        <f>COUNTBLANK(metadata!B274:E274)=COLUMNS(metadata!B274:E274)</f>
        <v>0</v>
      </c>
      <c r="N274">
        <v>0</v>
      </c>
      <c r="P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Q274">
        <f>AND(IF(metadata!C274="",FALSE,TRUE),exact(metadata!C274,"other"))</f>
        <v>0</v>
      </c>
      <c r="R274">
        <f>AND(IF(metadata!D274="",FALSE,TRUE),exact(metadata!D274,"metagenome"))</f>
        <v>0</v>
      </c>
      <c r="S274">
        <f>AND(IF(metadata!E274="",FALSE,TRUE),exact(metadata!E274,"256318"))</f>
        <v>0</v>
      </c>
    </row>
    <row r="275" spans="1:19">
      <c r="A275" s="4">
        <f>IF(B275=" "," ",HYPERLINK(CONCATENATE("#metadata!",ADDRESS(INDEX($K$2:$K$1001,MATCH(ROWS($I$2:I275),$I$2:$I$1001,0),0),1)),INDEX($N$2:$N$1001,MATCH(ROWS($I$2:I275),$I$2:$I$1001,0),0)))</f>
        <v>0</v>
      </c>
      <c r="B275" s="3">
        <f>IF(OR(INDEX($J$2:$J$1001,MATCH(ROWS($I$2:I275),$I$2:$I$1001,0),1)&gt;=100000,INDEX($P$1005:$S$1005,1,MATCH(COLUMNS($P$1006:P1006),$P$1006:$S$1006,0))&gt;=100000), " ",IF(INDEX($P$2:$S$1001,MATCH(ROWS($I$2:I275),$I$2:$I$1001,0),MATCH(COLUMNS($P$1006:P1006),$P$1006:$S$1006,0)), HYPERLINK("#",""), HYPERLINK(CONCATENATE("#metadata!", ADDRESS(INDEX($K$2:$K$1001,MATCH(ROWS($I$2:I275),$I$2:$I$1001,0),0), INDEX($P$1004:$S$1004,1,MATCH(COLUMNS($P$1006:P1006),$P$1006:$S$1006,0)))),"Fix")))</f>
        <v>0</v>
      </c>
      <c r="C275" s="3">
        <f>IF(OR(INDEX($J$2:$J$1001,MATCH(ROWS($I$2:I275),$I$2:$I$1001,0),1)&gt;=100000,INDEX($P$1005:$S$1005,1,MATCH(COLUMNS($P$1006:Q1006),$P$1006:$S$1006,0))&gt;=100000), " ",IF(INDEX($P$2:$S$1001,MATCH(ROWS($I$2:I275),$I$2:$I$1001,0),MATCH(COLUMNS($P$1006:Q1006),$P$1006:$S$1006,0)), HYPERLINK("#",""), HYPERLINK(CONCATENATE("#metadata!", ADDRESS(INDEX($K$2:$K$1001,MATCH(ROWS($I$2:I275),$I$2:$I$1001,0),0), INDEX($P$1004:$S$1004,1,MATCH(COLUMNS($P$1006:Q1006),$P$1006:$S$1006,0)))),"Fix")))</f>
        <v>0</v>
      </c>
      <c r="D275" s="3">
        <f>IF(OR(INDEX($J$2:$J$1001,MATCH(ROWS($I$2:I275),$I$2:$I$1001,0),1)&gt;=100000,INDEX($P$1005:$S$1005,1,MATCH(COLUMNS($P$1006:R1006),$P$1006:$S$1006,0))&gt;=100000), " ",IF(INDEX($P$2:$S$1001,MATCH(ROWS($I$2:I275),$I$2:$I$1001,0),MATCH(COLUMNS($P$1006:R1006),$P$1006:$S$1006,0)), HYPERLINK("#",""), HYPERLINK(CONCATENATE("#metadata!", ADDRESS(INDEX($K$2:$K$1001,MATCH(ROWS($I$2:I275),$I$2:$I$1001,0),0), INDEX($P$1004:$S$1004,1,MATCH(COLUMNS($P$1006:R1006),$P$1006:$S$1006,0)))),"Fix")))</f>
        <v>0</v>
      </c>
      <c r="E275" s="3">
        <f>IF(OR(INDEX($J$2:$J$1001,MATCH(ROWS($I$2:I275),$I$2:$I$1001,0),1)&gt;=100000,INDEX($P$1005:$S$1005,1,MATCH(COLUMNS($P$1006:S1006),$P$1006:$S$1006,0))&gt;=100000), " ",IF(INDEX($P$2:$S$1001,MATCH(ROWS($I$2:I275),$I$2:$I$1001,0),MATCH(COLUMNS($P$1006:S1006),$P$1006:$S$1006,0)), HYPERLINK("#",""), HYPERLINK(CONCATENATE("#metadata!", ADDRESS(INDEX($K$2:$K$1001,MATCH(ROWS($I$2:I275),$I$2:$I$1001,0),0), INDEX($P$1004:$S$1004,1,MATCH(COLUMNS($P$1006:S1006),$P$1006:$S$1006,0)))),"Fix")))</f>
        <v>0</v>
      </c>
      <c r="I275">
        <v>0</v>
      </c>
      <c r="J275">
        <v>0</v>
      </c>
      <c r="K275">
        <v>0</v>
      </c>
      <c r="L275">
        <f>IF(M275,TRUE,AND(P275:S275))</f>
        <v>0</v>
      </c>
      <c r="M275">
        <f>COUNTBLANK(metadata!B275:E275)=COLUMNS(metadata!B275:E275)</f>
        <v>0</v>
      </c>
      <c r="N275">
        <v>0</v>
      </c>
      <c r="P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Q275">
        <f>AND(IF(metadata!C275="",FALSE,TRUE),exact(metadata!C275,"other"))</f>
        <v>0</v>
      </c>
      <c r="R275">
        <f>AND(IF(metadata!D275="",FALSE,TRUE),exact(metadata!D275,"metagenome"))</f>
        <v>0</v>
      </c>
      <c r="S275">
        <f>AND(IF(metadata!E275="",FALSE,TRUE),exact(metadata!E275,"256318"))</f>
        <v>0</v>
      </c>
    </row>
    <row r="276" spans="1:19">
      <c r="A276" s="4">
        <f>IF(B276=" "," ",HYPERLINK(CONCATENATE("#metadata!",ADDRESS(INDEX($K$2:$K$1001,MATCH(ROWS($I$2:I276),$I$2:$I$1001,0),0),1)),INDEX($N$2:$N$1001,MATCH(ROWS($I$2:I276),$I$2:$I$1001,0),0)))</f>
        <v>0</v>
      </c>
      <c r="B276" s="3">
        <f>IF(OR(INDEX($J$2:$J$1001,MATCH(ROWS($I$2:I276),$I$2:$I$1001,0),1)&gt;=100000,INDEX($P$1005:$S$1005,1,MATCH(COLUMNS($P$1006:P1006),$P$1006:$S$1006,0))&gt;=100000), " ",IF(INDEX($P$2:$S$1001,MATCH(ROWS($I$2:I276),$I$2:$I$1001,0),MATCH(COLUMNS($P$1006:P1006),$P$1006:$S$1006,0)), HYPERLINK("#",""), HYPERLINK(CONCATENATE("#metadata!", ADDRESS(INDEX($K$2:$K$1001,MATCH(ROWS($I$2:I276),$I$2:$I$1001,0),0), INDEX($P$1004:$S$1004,1,MATCH(COLUMNS($P$1006:P1006),$P$1006:$S$1006,0)))),"Fix")))</f>
        <v>0</v>
      </c>
      <c r="C276" s="3">
        <f>IF(OR(INDEX($J$2:$J$1001,MATCH(ROWS($I$2:I276),$I$2:$I$1001,0),1)&gt;=100000,INDEX($P$1005:$S$1005,1,MATCH(COLUMNS($P$1006:Q1006),$P$1006:$S$1006,0))&gt;=100000), " ",IF(INDEX($P$2:$S$1001,MATCH(ROWS($I$2:I276),$I$2:$I$1001,0),MATCH(COLUMNS($P$1006:Q1006),$P$1006:$S$1006,0)), HYPERLINK("#",""), HYPERLINK(CONCATENATE("#metadata!", ADDRESS(INDEX($K$2:$K$1001,MATCH(ROWS($I$2:I276),$I$2:$I$1001,0),0), INDEX($P$1004:$S$1004,1,MATCH(COLUMNS($P$1006:Q1006),$P$1006:$S$1006,0)))),"Fix")))</f>
        <v>0</v>
      </c>
      <c r="D276" s="3">
        <f>IF(OR(INDEX($J$2:$J$1001,MATCH(ROWS($I$2:I276),$I$2:$I$1001,0),1)&gt;=100000,INDEX($P$1005:$S$1005,1,MATCH(COLUMNS($P$1006:R1006),$P$1006:$S$1006,0))&gt;=100000), " ",IF(INDEX($P$2:$S$1001,MATCH(ROWS($I$2:I276),$I$2:$I$1001,0),MATCH(COLUMNS($P$1006:R1006),$P$1006:$S$1006,0)), HYPERLINK("#",""), HYPERLINK(CONCATENATE("#metadata!", ADDRESS(INDEX($K$2:$K$1001,MATCH(ROWS($I$2:I276),$I$2:$I$1001,0),0), INDEX($P$1004:$S$1004,1,MATCH(COLUMNS($P$1006:R1006),$P$1006:$S$1006,0)))),"Fix")))</f>
        <v>0</v>
      </c>
      <c r="E276" s="3">
        <f>IF(OR(INDEX($J$2:$J$1001,MATCH(ROWS($I$2:I276),$I$2:$I$1001,0),1)&gt;=100000,INDEX($P$1005:$S$1005,1,MATCH(COLUMNS($P$1006:S1006),$P$1006:$S$1006,0))&gt;=100000), " ",IF(INDEX($P$2:$S$1001,MATCH(ROWS($I$2:I276),$I$2:$I$1001,0),MATCH(COLUMNS($P$1006:S1006),$P$1006:$S$1006,0)), HYPERLINK("#",""), HYPERLINK(CONCATENATE("#metadata!", ADDRESS(INDEX($K$2:$K$1001,MATCH(ROWS($I$2:I276),$I$2:$I$1001,0),0), INDEX($P$1004:$S$1004,1,MATCH(COLUMNS($P$1006:S1006),$P$1006:$S$1006,0)))),"Fix")))</f>
        <v>0</v>
      </c>
      <c r="I276">
        <v>0</v>
      </c>
      <c r="J276">
        <v>0</v>
      </c>
      <c r="K276">
        <v>0</v>
      </c>
      <c r="L276">
        <f>IF(M276,TRUE,AND(P276:S276))</f>
        <v>0</v>
      </c>
      <c r="M276">
        <f>COUNTBLANK(metadata!B276:E276)=COLUMNS(metadata!B276:E276)</f>
        <v>0</v>
      </c>
      <c r="N276">
        <v>0</v>
      </c>
      <c r="P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Q276">
        <f>AND(IF(metadata!C276="",FALSE,TRUE),exact(metadata!C276,"other"))</f>
        <v>0</v>
      </c>
      <c r="R276">
        <f>AND(IF(metadata!D276="",FALSE,TRUE),exact(metadata!D276,"metagenome"))</f>
        <v>0</v>
      </c>
      <c r="S276">
        <f>AND(IF(metadata!E276="",FALSE,TRUE),exact(metadata!E276,"256318"))</f>
        <v>0</v>
      </c>
    </row>
    <row r="277" spans="1:19">
      <c r="A277" s="4">
        <f>IF(B277=" "," ",HYPERLINK(CONCATENATE("#metadata!",ADDRESS(INDEX($K$2:$K$1001,MATCH(ROWS($I$2:I277),$I$2:$I$1001,0),0),1)),INDEX($N$2:$N$1001,MATCH(ROWS($I$2:I277),$I$2:$I$1001,0),0)))</f>
        <v>0</v>
      </c>
      <c r="B277" s="3">
        <f>IF(OR(INDEX($J$2:$J$1001,MATCH(ROWS($I$2:I277),$I$2:$I$1001,0),1)&gt;=100000,INDEX($P$1005:$S$1005,1,MATCH(COLUMNS($P$1006:P1006),$P$1006:$S$1006,0))&gt;=100000), " ",IF(INDEX($P$2:$S$1001,MATCH(ROWS($I$2:I277),$I$2:$I$1001,0),MATCH(COLUMNS($P$1006:P1006),$P$1006:$S$1006,0)), HYPERLINK("#",""), HYPERLINK(CONCATENATE("#metadata!", ADDRESS(INDEX($K$2:$K$1001,MATCH(ROWS($I$2:I277),$I$2:$I$1001,0),0), INDEX($P$1004:$S$1004,1,MATCH(COLUMNS($P$1006:P1006),$P$1006:$S$1006,0)))),"Fix")))</f>
        <v>0</v>
      </c>
      <c r="C277" s="3">
        <f>IF(OR(INDEX($J$2:$J$1001,MATCH(ROWS($I$2:I277),$I$2:$I$1001,0),1)&gt;=100000,INDEX($P$1005:$S$1005,1,MATCH(COLUMNS($P$1006:Q1006),$P$1006:$S$1006,0))&gt;=100000), " ",IF(INDEX($P$2:$S$1001,MATCH(ROWS($I$2:I277),$I$2:$I$1001,0),MATCH(COLUMNS($P$1006:Q1006),$P$1006:$S$1006,0)), HYPERLINK("#",""), HYPERLINK(CONCATENATE("#metadata!", ADDRESS(INDEX($K$2:$K$1001,MATCH(ROWS($I$2:I277),$I$2:$I$1001,0),0), INDEX($P$1004:$S$1004,1,MATCH(COLUMNS($P$1006:Q1006),$P$1006:$S$1006,0)))),"Fix")))</f>
        <v>0</v>
      </c>
      <c r="D277" s="3">
        <f>IF(OR(INDEX($J$2:$J$1001,MATCH(ROWS($I$2:I277),$I$2:$I$1001,0),1)&gt;=100000,INDEX($P$1005:$S$1005,1,MATCH(COLUMNS($P$1006:R1006),$P$1006:$S$1006,0))&gt;=100000), " ",IF(INDEX($P$2:$S$1001,MATCH(ROWS($I$2:I277),$I$2:$I$1001,0),MATCH(COLUMNS($P$1006:R1006),$P$1006:$S$1006,0)), HYPERLINK("#",""), HYPERLINK(CONCATENATE("#metadata!", ADDRESS(INDEX($K$2:$K$1001,MATCH(ROWS($I$2:I277),$I$2:$I$1001,0),0), INDEX($P$1004:$S$1004,1,MATCH(COLUMNS($P$1006:R1006),$P$1006:$S$1006,0)))),"Fix")))</f>
        <v>0</v>
      </c>
      <c r="E277" s="3">
        <f>IF(OR(INDEX($J$2:$J$1001,MATCH(ROWS($I$2:I277),$I$2:$I$1001,0),1)&gt;=100000,INDEX($P$1005:$S$1005,1,MATCH(COLUMNS($P$1006:S1006),$P$1006:$S$1006,0))&gt;=100000), " ",IF(INDEX($P$2:$S$1001,MATCH(ROWS($I$2:I277),$I$2:$I$1001,0),MATCH(COLUMNS($P$1006:S1006),$P$1006:$S$1006,0)), HYPERLINK("#",""), HYPERLINK(CONCATENATE("#metadata!", ADDRESS(INDEX($K$2:$K$1001,MATCH(ROWS($I$2:I277),$I$2:$I$1001,0),0), INDEX($P$1004:$S$1004,1,MATCH(COLUMNS($P$1006:S1006),$P$1006:$S$1006,0)))),"Fix")))</f>
        <v>0</v>
      </c>
      <c r="I277">
        <v>0</v>
      </c>
      <c r="J277">
        <v>0</v>
      </c>
      <c r="K277">
        <v>0</v>
      </c>
      <c r="L277">
        <f>IF(M277,TRUE,AND(P277:S277))</f>
        <v>0</v>
      </c>
      <c r="M277">
        <f>COUNTBLANK(metadata!B277:E277)=COLUMNS(metadata!B277:E277)</f>
        <v>0</v>
      </c>
      <c r="N277">
        <v>0</v>
      </c>
      <c r="P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Q277">
        <f>AND(IF(metadata!C277="",FALSE,TRUE),exact(metadata!C277,"other"))</f>
        <v>0</v>
      </c>
      <c r="R277">
        <f>AND(IF(metadata!D277="",FALSE,TRUE),exact(metadata!D277,"metagenome"))</f>
        <v>0</v>
      </c>
      <c r="S277">
        <f>AND(IF(metadata!E277="",FALSE,TRUE),exact(metadata!E277,"256318"))</f>
        <v>0</v>
      </c>
    </row>
    <row r="278" spans="1:19">
      <c r="A278" s="4">
        <f>IF(B278=" "," ",HYPERLINK(CONCATENATE("#metadata!",ADDRESS(INDEX($K$2:$K$1001,MATCH(ROWS($I$2:I278),$I$2:$I$1001,0),0),1)),INDEX($N$2:$N$1001,MATCH(ROWS($I$2:I278),$I$2:$I$1001,0),0)))</f>
        <v>0</v>
      </c>
      <c r="B278" s="3">
        <f>IF(OR(INDEX($J$2:$J$1001,MATCH(ROWS($I$2:I278),$I$2:$I$1001,0),1)&gt;=100000,INDEX($P$1005:$S$1005,1,MATCH(COLUMNS($P$1006:P1006),$P$1006:$S$1006,0))&gt;=100000), " ",IF(INDEX($P$2:$S$1001,MATCH(ROWS($I$2:I278),$I$2:$I$1001,0),MATCH(COLUMNS($P$1006:P1006),$P$1006:$S$1006,0)), HYPERLINK("#",""), HYPERLINK(CONCATENATE("#metadata!", ADDRESS(INDEX($K$2:$K$1001,MATCH(ROWS($I$2:I278),$I$2:$I$1001,0),0), INDEX($P$1004:$S$1004,1,MATCH(COLUMNS($P$1006:P1006),$P$1006:$S$1006,0)))),"Fix")))</f>
        <v>0</v>
      </c>
      <c r="C278" s="3">
        <f>IF(OR(INDEX($J$2:$J$1001,MATCH(ROWS($I$2:I278),$I$2:$I$1001,0),1)&gt;=100000,INDEX($P$1005:$S$1005,1,MATCH(COLUMNS($P$1006:Q1006),$P$1006:$S$1006,0))&gt;=100000), " ",IF(INDEX($P$2:$S$1001,MATCH(ROWS($I$2:I278),$I$2:$I$1001,0),MATCH(COLUMNS($P$1006:Q1006),$P$1006:$S$1006,0)), HYPERLINK("#",""), HYPERLINK(CONCATENATE("#metadata!", ADDRESS(INDEX($K$2:$K$1001,MATCH(ROWS($I$2:I278),$I$2:$I$1001,0),0), INDEX($P$1004:$S$1004,1,MATCH(COLUMNS($P$1006:Q1006),$P$1006:$S$1006,0)))),"Fix")))</f>
        <v>0</v>
      </c>
      <c r="D278" s="3">
        <f>IF(OR(INDEX($J$2:$J$1001,MATCH(ROWS($I$2:I278),$I$2:$I$1001,0),1)&gt;=100000,INDEX($P$1005:$S$1005,1,MATCH(COLUMNS($P$1006:R1006),$P$1006:$S$1006,0))&gt;=100000), " ",IF(INDEX($P$2:$S$1001,MATCH(ROWS($I$2:I278),$I$2:$I$1001,0),MATCH(COLUMNS($P$1006:R1006),$P$1006:$S$1006,0)), HYPERLINK("#",""), HYPERLINK(CONCATENATE("#metadata!", ADDRESS(INDEX($K$2:$K$1001,MATCH(ROWS($I$2:I278),$I$2:$I$1001,0),0), INDEX($P$1004:$S$1004,1,MATCH(COLUMNS($P$1006:R1006),$P$1006:$S$1006,0)))),"Fix")))</f>
        <v>0</v>
      </c>
      <c r="E278" s="3">
        <f>IF(OR(INDEX($J$2:$J$1001,MATCH(ROWS($I$2:I278),$I$2:$I$1001,0),1)&gt;=100000,INDEX($P$1005:$S$1005,1,MATCH(COLUMNS($P$1006:S1006),$P$1006:$S$1006,0))&gt;=100000), " ",IF(INDEX($P$2:$S$1001,MATCH(ROWS($I$2:I278),$I$2:$I$1001,0),MATCH(COLUMNS($P$1006:S1006),$P$1006:$S$1006,0)), HYPERLINK("#",""), HYPERLINK(CONCATENATE("#metadata!", ADDRESS(INDEX($K$2:$K$1001,MATCH(ROWS($I$2:I278),$I$2:$I$1001,0),0), INDEX($P$1004:$S$1004,1,MATCH(COLUMNS($P$1006:S1006),$P$1006:$S$1006,0)))),"Fix")))</f>
        <v>0</v>
      </c>
      <c r="I278">
        <v>0</v>
      </c>
      <c r="J278">
        <v>0</v>
      </c>
      <c r="K278">
        <v>0</v>
      </c>
      <c r="L278">
        <f>IF(M278,TRUE,AND(P278:S278))</f>
        <v>0</v>
      </c>
      <c r="M278">
        <f>COUNTBLANK(metadata!B278:E278)=COLUMNS(metadata!B278:E278)</f>
        <v>0</v>
      </c>
      <c r="N278">
        <v>0</v>
      </c>
      <c r="P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Q278">
        <f>AND(IF(metadata!C278="",FALSE,TRUE),exact(metadata!C278,"other"))</f>
        <v>0</v>
      </c>
      <c r="R278">
        <f>AND(IF(metadata!D278="",FALSE,TRUE),exact(metadata!D278,"metagenome"))</f>
        <v>0</v>
      </c>
      <c r="S278">
        <f>AND(IF(metadata!E278="",FALSE,TRUE),exact(metadata!E278,"256318"))</f>
        <v>0</v>
      </c>
    </row>
    <row r="279" spans="1:19">
      <c r="A279" s="4">
        <f>IF(B279=" "," ",HYPERLINK(CONCATENATE("#metadata!",ADDRESS(INDEX($K$2:$K$1001,MATCH(ROWS($I$2:I279),$I$2:$I$1001,0),0),1)),INDEX($N$2:$N$1001,MATCH(ROWS($I$2:I279),$I$2:$I$1001,0),0)))</f>
        <v>0</v>
      </c>
      <c r="B279" s="3">
        <f>IF(OR(INDEX($J$2:$J$1001,MATCH(ROWS($I$2:I279),$I$2:$I$1001,0),1)&gt;=100000,INDEX($P$1005:$S$1005,1,MATCH(COLUMNS($P$1006:P1006),$P$1006:$S$1006,0))&gt;=100000), " ",IF(INDEX($P$2:$S$1001,MATCH(ROWS($I$2:I279),$I$2:$I$1001,0),MATCH(COLUMNS($P$1006:P1006),$P$1006:$S$1006,0)), HYPERLINK("#",""), HYPERLINK(CONCATENATE("#metadata!", ADDRESS(INDEX($K$2:$K$1001,MATCH(ROWS($I$2:I279),$I$2:$I$1001,0),0), INDEX($P$1004:$S$1004,1,MATCH(COLUMNS($P$1006:P1006),$P$1006:$S$1006,0)))),"Fix")))</f>
        <v>0</v>
      </c>
      <c r="C279" s="3">
        <f>IF(OR(INDEX($J$2:$J$1001,MATCH(ROWS($I$2:I279),$I$2:$I$1001,0),1)&gt;=100000,INDEX($P$1005:$S$1005,1,MATCH(COLUMNS($P$1006:Q1006),$P$1006:$S$1006,0))&gt;=100000), " ",IF(INDEX($P$2:$S$1001,MATCH(ROWS($I$2:I279),$I$2:$I$1001,0),MATCH(COLUMNS($P$1006:Q1006),$P$1006:$S$1006,0)), HYPERLINK("#",""), HYPERLINK(CONCATENATE("#metadata!", ADDRESS(INDEX($K$2:$K$1001,MATCH(ROWS($I$2:I279),$I$2:$I$1001,0),0), INDEX($P$1004:$S$1004,1,MATCH(COLUMNS($P$1006:Q1006),$P$1006:$S$1006,0)))),"Fix")))</f>
        <v>0</v>
      </c>
      <c r="D279" s="3">
        <f>IF(OR(INDEX($J$2:$J$1001,MATCH(ROWS($I$2:I279),$I$2:$I$1001,0),1)&gt;=100000,INDEX($P$1005:$S$1005,1,MATCH(COLUMNS($P$1006:R1006),$P$1006:$S$1006,0))&gt;=100000), " ",IF(INDEX($P$2:$S$1001,MATCH(ROWS($I$2:I279),$I$2:$I$1001,0),MATCH(COLUMNS($P$1006:R1006),$P$1006:$S$1006,0)), HYPERLINK("#",""), HYPERLINK(CONCATENATE("#metadata!", ADDRESS(INDEX($K$2:$K$1001,MATCH(ROWS($I$2:I279),$I$2:$I$1001,0),0), INDEX($P$1004:$S$1004,1,MATCH(COLUMNS($P$1006:R1006),$P$1006:$S$1006,0)))),"Fix")))</f>
        <v>0</v>
      </c>
      <c r="E279" s="3">
        <f>IF(OR(INDEX($J$2:$J$1001,MATCH(ROWS($I$2:I279),$I$2:$I$1001,0),1)&gt;=100000,INDEX($P$1005:$S$1005,1,MATCH(COLUMNS($P$1006:S1006),$P$1006:$S$1006,0))&gt;=100000), " ",IF(INDEX($P$2:$S$1001,MATCH(ROWS($I$2:I279),$I$2:$I$1001,0),MATCH(COLUMNS($P$1006:S1006),$P$1006:$S$1006,0)), HYPERLINK("#",""), HYPERLINK(CONCATENATE("#metadata!", ADDRESS(INDEX($K$2:$K$1001,MATCH(ROWS($I$2:I279),$I$2:$I$1001,0),0), INDEX($P$1004:$S$1004,1,MATCH(COLUMNS($P$1006:S1006),$P$1006:$S$1006,0)))),"Fix")))</f>
        <v>0</v>
      </c>
      <c r="I279">
        <v>0</v>
      </c>
      <c r="J279">
        <v>0</v>
      </c>
      <c r="K279">
        <v>0</v>
      </c>
      <c r="L279">
        <f>IF(M279,TRUE,AND(P279:S279))</f>
        <v>0</v>
      </c>
      <c r="M279">
        <f>COUNTBLANK(metadata!B279:E279)=COLUMNS(metadata!B279:E279)</f>
        <v>0</v>
      </c>
      <c r="N279">
        <v>0</v>
      </c>
      <c r="P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Q279">
        <f>AND(IF(metadata!C279="",FALSE,TRUE),exact(metadata!C279,"other"))</f>
        <v>0</v>
      </c>
      <c r="R279">
        <f>AND(IF(metadata!D279="",FALSE,TRUE),exact(metadata!D279,"metagenome"))</f>
        <v>0</v>
      </c>
      <c r="S279">
        <f>AND(IF(metadata!E279="",FALSE,TRUE),exact(metadata!E279,"256318"))</f>
        <v>0</v>
      </c>
    </row>
    <row r="280" spans="1:19">
      <c r="A280" s="4">
        <f>IF(B280=" "," ",HYPERLINK(CONCATENATE("#metadata!",ADDRESS(INDEX($K$2:$K$1001,MATCH(ROWS($I$2:I280),$I$2:$I$1001,0),0),1)),INDEX($N$2:$N$1001,MATCH(ROWS($I$2:I280),$I$2:$I$1001,0),0)))</f>
        <v>0</v>
      </c>
      <c r="B280" s="3">
        <f>IF(OR(INDEX($J$2:$J$1001,MATCH(ROWS($I$2:I280),$I$2:$I$1001,0),1)&gt;=100000,INDEX($P$1005:$S$1005,1,MATCH(COLUMNS($P$1006:P1006),$P$1006:$S$1006,0))&gt;=100000), " ",IF(INDEX($P$2:$S$1001,MATCH(ROWS($I$2:I280),$I$2:$I$1001,0),MATCH(COLUMNS($P$1006:P1006),$P$1006:$S$1006,0)), HYPERLINK("#",""), HYPERLINK(CONCATENATE("#metadata!", ADDRESS(INDEX($K$2:$K$1001,MATCH(ROWS($I$2:I280),$I$2:$I$1001,0),0), INDEX($P$1004:$S$1004,1,MATCH(COLUMNS($P$1006:P1006),$P$1006:$S$1006,0)))),"Fix")))</f>
        <v>0</v>
      </c>
      <c r="C280" s="3">
        <f>IF(OR(INDEX($J$2:$J$1001,MATCH(ROWS($I$2:I280),$I$2:$I$1001,0),1)&gt;=100000,INDEX($P$1005:$S$1005,1,MATCH(COLUMNS($P$1006:Q1006),$P$1006:$S$1006,0))&gt;=100000), " ",IF(INDEX($P$2:$S$1001,MATCH(ROWS($I$2:I280),$I$2:$I$1001,0),MATCH(COLUMNS($P$1006:Q1006),$P$1006:$S$1006,0)), HYPERLINK("#",""), HYPERLINK(CONCATENATE("#metadata!", ADDRESS(INDEX($K$2:$K$1001,MATCH(ROWS($I$2:I280),$I$2:$I$1001,0),0), INDEX($P$1004:$S$1004,1,MATCH(COLUMNS($P$1006:Q1006),$P$1006:$S$1006,0)))),"Fix")))</f>
        <v>0</v>
      </c>
      <c r="D280" s="3">
        <f>IF(OR(INDEX($J$2:$J$1001,MATCH(ROWS($I$2:I280),$I$2:$I$1001,0),1)&gt;=100000,INDEX($P$1005:$S$1005,1,MATCH(COLUMNS($P$1006:R1006),$P$1006:$S$1006,0))&gt;=100000), " ",IF(INDEX($P$2:$S$1001,MATCH(ROWS($I$2:I280),$I$2:$I$1001,0),MATCH(COLUMNS($P$1006:R1006),$P$1006:$S$1006,0)), HYPERLINK("#",""), HYPERLINK(CONCATENATE("#metadata!", ADDRESS(INDEX($K$2:$K$1001,MATCH(ROWS($I$2:I280),$I$2:$I$1001,0),0), INDEX($P$1004:$S$1004,1,MATCH(COLUMNS($P$1006:R1006),$P$1006:$S$1006,0)))),"Fix")))</f>
        <v>0</v>
      </c>
      <c r="E280" s="3">
        <f>IF(OR(INDEX($J$2:$J$1001,MATCH(ROWS($I$2:I280),$I$2:$I$1001,0),1)&gt;=100000,INDEX($P$1005:$S$1005,1,MATCH(COLUMNS($P$1006:S1006),$P$1006:$S$1006,0))&gt;=100000), " ",IF(INDEX($P$2:$S$1001,MATCH(ROWS($I$2:I280),$I$2:$I$1001,0),MATCH(COLUMNS($P$1006:S1006),$P$1006:$S$1006,0)), HYPERLINK("#",""), HYPERLINK(CONCATENATE("#metadata!", ADDRESS(INDEX($K$2:$K$1001,MATCH(ROWS($I$2:I280),$I$2:$I$1001,0),0), INDEX($P$1004:$S$1004,1,MATCH(COLUMNS($P$1006:S1006),$P$1006:$S$1006,0)))),"Fix")))</f>
        <v>0</v>
      </c>
      <c r="I280">
        <v>0</v>
      </c>
      <c r="J280">
        <v>0</v>
      </c>
      <c r="K280">
        <v>0</v>
      </c>
      <c r="L280">
        <f>IF(M280,TRUE,AND(P280:S280))</f>
        <v>0</v>
      </c>
      <c r="M280">
        <f>COUNTBLANK(metadata!B280:E280)=COLUMNS(metadata!B280:E280)</f>
        <v>0</v>
      </c>
      <c r="N280">
        <v>0</v>
      </c>
      <c r="P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Q280">
        <f>AND(IF(metadata!C280="",FALSE,TRUE),exact(metadata!C280,"other"))</f>
        <v>0</v>
      </c>
      <c r="R280">
        <f>AND(IF(metadata!D280="",FALSE,TRUE),exact(metadata!D280,"metagenome"))</f>
        <v>0</v>
      </c>
      <c r="S280">
        <f>AND(IF(metadata!E280="",FALSE,TRUE),exact(metadata!E280,"256318"))</f>
        <v>0</v>
      </c>
    </row>
    <row r="281" spans="1:19">
      <c r="A281" s="4">
        <f>IF(B281=" "," ",HYPERLINK(CONCATENATE("#metadata!",ADDRESS(INDEX($K$2:$K$1001,MATCH(ROWS($I$2:I281),$I$2:$I$1001,0),0),1)),INDEX($N$2:$N$1001,MATCH(ROWS($I$2:I281),$I$2:$I$1001,0),0)))</f>
        <v>0</v>
      </c>
      <c r="B281" s="3">
        <f>IF(OR(INDEX($J$2:$J$1001,MATCH(ROWS($I$2:I281),$I$2:$I$1001,0),1)&gt;=100000,INDEX($P$1005:$S$1005,1,MATCH(COLUMNS($P$1006:P1006),$P$1006:$S$1006,0))&gt;=100000), " ",IF(INDEX($P$2:$S$1001,MATCH(ROWS($I$2:I281),$I$2:$I$1001,0),MATCH(COLUMNS($P$1006:P1006),$P$1006:$S$1006,0)), HYPERLINK("#",""), HYPERLINK(CONCATENATE("#metadata!", ADDRESS(INDEX($K$2:$K$1001,MATCH(ROWS($I$2:I281),$I$2:$I$1001,0),0), INDEX($P$1004:$S$1004,1,MATCH(COLUMNS($P$1006:P1006),$P$1006:$S$1006,0)))),"Fix")))</f>
        <v>0</v>
      </c>
      <c r="C281" s="3">
        <f>IF(OR(INDEX($J$2:$J$1001,MATCH(ROWS($I$2:I281),$I$2:$I$1001,0),1)&gt;=100000,INDEX($P$1005:$S$1005,1,MATCH(COLUMNS($P$1006:Q1006),$P$1006:$S$1006,0))&gt;=100000), " ",IF(INDEX($P$2:$S$1001,MATCH(ROWS($I$2:I281),$I$2:$I$1001,0),MATCH(COLUMNS($P$1006:Q1006),$P$1006:$S$1006,0)), HYPERLINK("#",""), HYPERLINK(CONCATENATE("#metadata!", ADDRESS(INDEX($K$2:$K$1001,MATCH(ROWS($I$2:I281),$I$2:$I$1001,0),0), INDEX($P$1004:$S$1004,1,MATCH(COLUMNS($P$1006:Q1006),$P$1006:$S$1006,0)))),"Fix")))</f>
        <v>0</v>
      </c>
      <c r="D281" s="3">
        <f>IF(OR(INDEX($J$2:$J$1001,MATCH(ROWS($I$2:I281),$I$2:$I$1001,0),1)&gt;=100000,INDEX($P$1005:$S$1005,1,MATCH(COLUMNS($P$1006:R1006),$P$1006:$S$1006,0))&gt;=100000), " ",IF(INDEX($P$2:$S$1001,MATCH(ROWS($I$2:I281),$I$2:$I$1001,0),MATCH(COLUMNS($P$1006:R1006),$P$1006:$S$1006,0)), HYPERLINK("#",""), HYPERLINK(CONCATENATE("#metadata!", ADDRESS(INDEX($K$2:$K$1001,MATCH(ROWS($I$2:I281),$I$2:$I$1001,0),0), INDEX($P$1004:$S$1004,1,MATCH(COLUMNS($P$1006:R1006),$P$1006:$S$1006,0)))),"Fix")))</f>
        <v>0</v>
      </c>
      <c r="E281" s="3">
        <f>IF(OR(INDEX($J$2:$J$1001,MATCH(ROWS($I$2:I281),$I$2:$I$1001,0),1)&gt;=100000,INDEX($P$1005:$S$1005,1,MATCH(COLUMNS($P$1006:S1006),$P$1006:$S$1006,0))&gt;=100000), " ",IF(INDEX($P$2:$S$1001,MATCH(ROWS($I$2:I281),$I$2:$I$1001,0),MATCH(COLUMNS($P$1006:S1006),$P$1006:$S$1006,0)), HYPERLINK("#",""), HYPERLINK(CONCATENATE("#metadata!", ADDRESS(INDEX($K$2:$K$1001,MATCH(ROWS($I$2:I281),$I$2:$I$1001,0),0), INDEX($P$1004:$S$1004,1,MATCH(COLUMNS($P$1006:S1006),$P$1006:$S$1006,0)))),"Fix")))</f>
        <v>0</v>
      </c>
      <c r="I281">
        <v>0</v>
      </c>
      <c r="J281">
        <v>0</v>
      </c>
      <c r="K281">
        <v>0</v>
      </c>
      <c r="L281">
        <f>IF(M281,TRUE,AND(P281:S281))</f>
        <v>0</v>
      </c>
      <c r="M281">
        <f>COUNTBLANK(metadata!B281:E281)=COLUMNS(metadata!B281:E281)</f>
        <v>0</v>
      </c>
      <c r="N281">
        <v>0</v>
      </c>
      <c r="P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Q281">
        <f>AND(IF(metadata!C281="",FALSE,TRUE),exact(metadata!C281,"other"))</f>
        <v>0</v>
      </c>
      <c r="R281">
        <f>AND(IF(metadata!D281="",FALSE,TRUE),exact(metadata!D281,"metagenome"))</f>
        <v>0</v>
      </c>
      <c r="S281">
        <f>AND(IF(metadata!E281="",FALSE,TRUE),exact(metadata!E281,"256318"))</f>
        <v>0</v>
      </c>
    </row>
    <row r="282" spans="1:19">
      <c r="A282" s="4">
        <f>IF(B282=" "," ",HYPERLINK(CONCATENATE("#metadata!",ADDRESS(INDEX($K$2:$K$1001,MATCH(ROWS($I$2:I282),$I$2:$I$1001,0),0),1)),INDEX($N$2:$N$1001,MATCH(ROWS($I$2:I282),$I$2:$I$1001,0),0)))</f>
        <v>0</v>
      </c>
      <c r="B282" s="3">
        <f>IF(OR(INDEX($J$2:$J$1001,MATCH(ROWS($I$2:I282),$I$2:$I$1001,0),1)&gt;=100000,INDEX($P$1005:$S$1005,1,MATCH(COLUMNS($P$1006:P1006),$P$1006:$S$1006,0))&gt;=100000), " ",IF(INDEX($P$2:$S$1001,MATCH(ROWS($I$2:I282),$I$2:$I$1001,0),MATCH(COLUMNS($P$1006:P1006),$P$1006:$S$1006,0)), HYPERLINK("#",""), HYPERLINK(CONCATENATE("#metadata!", ADDRESS(INDEX($K$2:$K$1001,MATCH(ROWS($I$2:I282),$I$2:$I$1001,0),0), INDEX($P$1004:$S$1004,1,MATCH(COLUMNS($P$1006:P1006),$P$1006:$S$1006,0)))),"Fix")))</f>
        <v>0</v>
      </c>
      <c r="C282" s="3">
        <f>IF(OR(INDEX($J$2:$J$1001,MATCH(ROWS($I$2:I282),$I$2:$I$1001,0),1)&gt;=100000,INDEX($P$1005:$S$1005,1,MATCH(COLUMNS($P$1006:Q1006),$P$1006:$S$1006,0))&gt;=100000), " ",IF(INDEX($P$2:$S$1001,MATCH(ROWS($I$2:I282),$I$2:$I$1001,0),MATCH(COLUMNS($P$1006:Q1006),$P$1006:$S$1006,0)), HYPERLINK("#",""), HYPERLINK(CONCATENATE("#metadata!", ADDRESS(INDEX($K$2:$K$1001,MATCH(ROWS($I$2:I282),$I$2:$I$1001,0),0), INDEX($P$1004:$S$1004,1,MATCH(COLUMNS($P$1006:Q1006),$P$1006:$S$1006,0)))),"Fix")))</f>
        <v>0</v>
      </c>
      <c r="D282" s="3">
        <f>IF(OR(INDEX($J$2:$J$1001,MATCH(ROWS($I$2:I282),$I$2:$I$1001,0),1)&gt;=100000,INDEX($P$1005:$S$1005,1,MATCH(COLUMNS($P$1006:R1006),$P$1006:$S$1006,0))&gt;=100000), " ",IF(INDEX($P$2:$S$1001,MATCH(ROWS($I$2:I282),$I$2:$I$1001,0),MATCH(COLUMNS($P$1006:R1006),$P$1006:$S$1006,0)), HYPERLINK("#",""), HYPERLINK(CONCATENATE("#metadata!", ADDRESS(INDEX($K$2:$K$1001,MATCH(ROWS($I$2:I282),$I$2:$I$1001,0),0), INDEX($P$1004:$S$1004,1,MATCH(COLUMNS($P$1006:R1006),$P$1006:$S$1006,0)))),"Fix")))</f>
        <v>0</v>
      </c>
      <c r="E282" s="3">
        <f>IF(OR(INDEX($J$2:$J$1001,MATCH(ROWS($I$2:I282),$I$2:$I$1001,0),1)&gt;=100000,INDEX($P$1005:$S$1005,1,MATCH(COLUMNS($P$1006:S1006),$P$1006:$S$1006,0))&gt;=100000), " ",IF(INDEX($P$2:$S$1001,MATCH(ROWS($I$2:I282),$I$2:$I$1001,0),MATCH(COLUMNS($P$1006:S1006),$P$1006:$S$1006,0)), HYPERLINK("#",""), HYPERLINK(CONCATENATE("#metadata!", ADDRESS(INDEX($K$2:$K$1001,MATCH(ROWS($I$2:I282),$I$2:$I$1001,0),0), INDEX($P$1004:$S$1004,1,MATCH(COLUMNS($P$1006:S1006),$P$1006:$S$1006,0)))),"Fix")))</f>
        <v>0</v>
      </c>
      <c r="I282">
        <v>0</v>
      </c>
      <c r="J282">
        <v>0</v>
      </c>
      <c r="K282">
        <v>0</v>
      </c>
      <c r="L282">
        <f>IF(M282,TRUE,AND(P282:S282))</f>
        <v>0</v>
      </c>
      <c r="M282">
        <f>COUNTBLANK(metadata!B282:E282)=COLUMNS(metadata!B282:E282)</f>
        <v>0</v>
      </c>
      <c r="N282">
        <v>0</v>
      </c>
      <c r="P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Q282">
        <f>AND(IF(metadata!C282="",FALSE,TRUE),exact(metadata!C282,"other"))</f>
        <v>0</v>
      </c>
      <c r="R282">
        <f>AND(IF(metadata!D282="",FALSE,TRUE),exact(metadata!D282,"metagenome"))</f>
        <v>0</v>
      </c>
      <c r="S282">
        <f>AND(IF(metadata!E282="",FALSE,TRUE),exact(metadata!E282,"256318"))</f>
        <v>0</v>
      </c>
    </row>
    <row r="283" spans="1:19">
      <c r="A283" s="4">
        <f>IF(B283=" "," ",HYPERLINK(CONCATENATE("#metadata!",ADDRESS(INDEX($K$2:$K$1001,MATCH(ROWS($I$2:I283),$I$2:$I$1001,0),0),1)),INDEX($N$2:$N$1001,MATCH(ROWS($I$2:I283),$I$2:$I$1001,0),0)))</f>
        <v>0</v>
      </c>
      <c r="B283" s="3">
        <f>IF(OR(INDEX($J$2:$J$1001,MATCH(ROWS($I$2:I283),$I$2:$I$1001,0),1)&gt;=100000,INDEX($P$1005:$S$1005,1,MATCH(COLUMNS($P$1006:P1006),$P$1006:$S$1006,0))&gt;=100000), " ",IF(INDEX($P$2:$S$1001,MATCH(ROWS($I$2:I283),$I$2:$I$1001,0),MATCH(COLUMNS($P$1006:P1006),$P$1006:$S$1006,0)), HYPERLINK("#",""), HYPERLINK(CONCATENATE("#metadata!", ADDRESS(INDEX($K$2:$K$1001,MATCH(ROWS($I$2:I283),$I$2:$I$1001,0),0), INDEX($P$1004:$S$1004,1,MATCH(COLUMNS($P$1006:P1006),$P$1006:$S$1006,0)))),"Fix")))</f>
        <v>0</v>
      </c>
      <c r="C283" s="3">
        <f>IF(OR(INDEX($J$2:$J$1001,MATCH(ROWS($I$2:I283),$I$2:$I$1001,0),1)&gt;=100000,INDEX($P$1005:$S$1005,1,MATCH(COLUMNS($P$1006:Q1006),$P$1006:$S$1006,0))&gt;=100000), " ",IF(INDEX($P$2:$S$1001,MATCH(ROWS($I$2:I283),$I$2:$I$1001,0),MATCH(COLUMNS($P$1006:Q1006),$P$1006:$S$1006,0)), HYPERLINK("#",""), HYPERLINK(CONCATENATE("#metadata!", ADDRESS(INDEX($K$2:$K$1001,MATCH(ROWS($I$2:I283),$I$2:$I$1001,0),0), INDEX($P$1004:$S$1004,1,MATCH(COLUMNS($P$1006:Q1006),$P$1006:$S$1006,0)))),"Fix")))</f>
        <v>0</v>
      </c>
      <c r="D283" s="3">
        <f>IF(OR(INDEX($J$2:$J$1001,MATCH(ROWS($I$2:I283),$I$2:$I$1001,0),1)&gt;=100000,INDEX($P$1005:$S$1005,1,MATCH(COLUMNS($P$1006:R1006),$P$1006:$S$1006,0))&gt;=100000), " ",IF(INDEX($P$2:$S$1001,MATCH(ROWS($I$2:I283),$I$2:$I$1001,0),MATCH(COLUMNS($P$1006:R1006),$P$1006:$S$1006,0)), HYPERLINK("#",""), HYPERLINK(CONCATENATE("#metadata!", ADDRESS(INDEX($K$2:$K$1001,MATCH(ROWS($I$2:I283),$I$2:$I$1001,0),0), INDEX($P$1004:$S$1004,1,MATCH(COLUMNS($P$1006:R1006),$P$1006:$S$1006,0)))),"Fix")))</f>
        <v>0</v>
      </c>
      <c r="E283" s="3">
        <f>IF(OR(INDEX($J$2:$J$1001,MATCH(ROWS($I$2:I283),$I$2:$I$1001,0),1)&gt;=100000,INDEX($P$1005:$S$1005,1,MATCH(COLUMNS($P$1006:S1006),$P$1006:$S$1006,0))&gt;=100000), " ",IF(INDEX($P$2:$S$1001,MATCH(ROWS($I$2:I283),$I$2:$I$1001,0),MATCH(COLUMNS($P$1006:S1006),$P$1006:$S$1006,0)), HYPERLINK("#",""), HYPERLINK(CONCATENATE("#metadata!", ADDRESS(INDEX($K$2:$K$1001,MATCH(ROWS($I$2:I283),$I$2:$I$1001,0),0), INDEX($P$1004:$S$1004,1,MATCH(COLUMNS($P$1006:S1006),$P$1006:$S$1006,0)))),"Fix")))</f>
        <v>0</v>
      </c>
      <c r="I283">
        <v>0</v>
      </c>
      <c r="J283">
        <v>0</v>
      </c>
      <c r="K283">
        <v>0</v>
      </c>
      <c r="L283">
        <f>IF(M283,TRUE,AND(P283:S283))</f>
        <v>0</v>
      </c>
      <c r="M283">
        <f>COUNTBLANK(metadata!B283:E283)=COLUMNS(metadata!B283:E283)</f>
        <v>0</v>
      </c>
      <c r="N283">
        <v>0</v>
      </c>
      <c r="P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Q283">
        <f>AND(IF(metadata!C283="",FALSE,TRUE),exact(metadata!C283,"other"))</f>
        <v>0</v>
      </c>
      <c r="R283">
        <f>AND(IF(metadata!D283="",FALSE,TRUE),exact(metadata!D283,"metagenome"))</f>
        <v>0</v>
      </c>
      <c r="S283">
        <f>AND(IF(metadata!E283="",FALSE,TRUE),exact(metadata!E283,"256318"))</f>
        <v>0</v>
      </c>
    </row>
    <row r="284" spans="1:19">
      <c r="A284" s="4">
        <f>IF(B284=" "," ",HYPERLINK(CONCATENATE("#metadata!",ADDRESS(INDEX($K$2:$K$1001,MATCH(ROWS($I$2:I284),$I$2:$I$1001,0),0),1)),INDEX($N$2:$N$1001,MATCH(ROWS($I$2:I284),$I$2:$I$1001,0),0)))</f>
        <v>0</v>
      </c>
      <c r="B284" s="3">
        <f>IF(OR(INDEX($J$2:$J$1001,MATCH(ROWS($I$2:I284),$I$2:$I$1001,0),1)&gt;=100000,INDEX($P$1005:$S$1005,1,MATCH(COLUMNS($P$1006:P1006),$P$1006:$S$1006,0))&gt;=100000), " ",IF(INDEX($P$2:$S$1001,MATCH(ROWS($I$2:I284),$I$2:$I$1001,0),MATCH(COLUMNS($P$1006:P1006),$P$1006:$S$1006,0)), HYPERLINK("#",""), HYPERLINK(CONCATENATE("#metadata!", ADDRESS(INDEX($K$2:$K$1001,MATCH(ROWS($I$2:I284),$I$2:$I$1001,0),0), INDEX($P$1004:$S$1004,1,MATCH(COLUMNS($P$1006:P1006),$P$1006:$S$1006,0)))),"Fix")))</f>
        <v>0</v>
      </c>
      <c r="C284" s="3">
        <f>IF(OR(INDEX($J$2:$J$1001,MATCH(ROWS($I$2:I284),$I$2:$I$1001,0),1)&gt;=100000,INDEX($P$1005:$S$1005,1,MATCH(COLUMNS($P$1006:Q1006),$P$1006:$S$1006,0))&gt;=100000), " ",IF(INDEX($P$2:$S$1001,MATCH(ROWS($I$2:I284),$I$2:$I$1001,0),MATCH(COLUMNS($P$1006:Q1006),$P$1006:$S$1006,0)), HYPERLINK("#",""), HYPERLINK(CONCATENATE("#metadata!", ADDRESS(INDEX($K$2:$K$1001,MATCH(ROWS($I$2:I284),$I$2:$I$1001,0),0), INDEX($P$1004:$S$1004,1,MATCH(COLUMNS($P$1006:Q1006),$P$1006:$S$1006,0)))),"Fix")))</f>
        <v>0</v>
      </c>
      <c r="D284" s="3">
        <f>IF(OR(INDEX($J$2:$J$1001,MATCH(ROWS($I$2:I284),$I$2:$I$1001,0),1)&gt;=100000,INDEX($P$1005:$S$1005,1,MATCH(COLUMNS($P$1006:R1006),$P$1006:$S$1006,0))&gt;=100000), " ",IF(INDEX($P$2:$S$1001,MATCH(ROWS($I$2:I284),$I$2:$I$1001,0),MATCH(COLUMNS($P$1006:R1006),$P$1006:$S$1006,0)), HYPERLINK("#",""), HYPERLINK(CONCATENATE("#metadata!", ADDRESS(INDEX($K$2:$K$1001,MATCH(ROWS($I$2:I284),$I$2:$I$1001,0),0), INDEX($P$1004:$S$1004,1,MATCH(COLUMNS($P$1006:R1006),$P$1006:$S$1006,0)))),"Fix")))</f>
        <v>0</v>
      </c>
      <c r="E284" s="3">
        <f>IF(OR(INDEX($J$2:$J$1001,MATCH(ROWS($I$2:I284),$I$2:$I$1001,0),1)&gt;=100000,INDEX($P$1005:$S$1005,1,MATCH(COLUMNS($P$1006:S1006),$P$1006:$S$1006,0))&gt;=100000), " ",IF(INDEX($P$2:$S$1001,MATCH(ROWS($I$2:I284),$I$2:$I$1001,0),MATCH(COLUMNS($P$1006:S1006),$P$1006:$S$1006,0)), HYPERLINK("#",""), HYPERLINK(CONCATENATE("#metadata!", ADDRESS(INDEX($K$2:$K$1001,MATCH(ROWS($I$2:I284),$I$2:$I$1001,0),0), INDEX($P$1004:$S$1004,1,MATCH(COLUMNS($P$1006:S1006),$P$1006:$S$1006,0)))),"Fix")))</f>
        <v>0</v>
      </c>
      <c r="I284">
        <v>0</v>
      </c>
      <c r="J284">
        <v>0</v>
      </c>
      <c r="K284">
        <v>0</v>
      </c>
      <c r="L284">
        <f>IF(M284,TRUE,AND(P284:S284))</f>
        <v>0</v>
      </c>
      <c r="M284">
        <f>COUNTBLANK(metadata!B284:E284)=COLUMNS(metadata!B284:E284)</f>
        <v>0</v>
      </c>
      <c r="N284">
        <v>0</v>
      </c>
      <c r="P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Q284">
        <f>AND(IF(metadata!C284="",FALSE,TRUE),exact(metadata!C284,"other"))</f>
        <v>0</v>
      </c>
      <c r="R284">
        <f>AND(IF(metadata!D284="",FALSE,TRUE),exact(metadata!D284,"metagenome"))</f>
        <v>0</v>
      </c>
      <c r="S284">
        <f>AND(IF(metadata!E284="",FALSE,TRUE),exact(metadata!E284,"256318"))</f>
        <v>0</v>
      </c>
    </row>
    <row r="285" spans="1:19">
      <c r="A285" s="4">
        <f>IF(B285=" "," ",HYPERLINK(CONCATENATE("#metadata!",ADDRESS(INDEX($K$2:$K$1001,MATCH(ROWS($I$2:I285),$I$2:$I$1001,0),0),1)),INDEX($N$2:$N$1001,MATCH(ROWS($I$2:I285),$I$2:$I$1001,0),0)))</f>
        <v>0</v>
      </c>
      <c r="B285" s="3">
        <f>IF(OR(INDEX($J$2:$J$1001,MATCH(ROWS($I$2:I285),$I$2:$I$1001,0),1)&gt;=100000,INDEX($P$1005:$S$1005,1,MATCH(COLUMNS($P$1006:P1006),$P$1006:$S$1006,0))&gt;=100000), " ",IF(INDEX($P$2:$S$1001,MATCH(ROWS($I$2:I285),$I$2:$I$1001,0),MATCH(COLUMNS($P$1006:P1006),$P$1006:$S$1006,0)), HYPERLINK("#",""), HYPERLINK(CONCATENATE("#metadata!", ADDRESS(INDEX($K$2:$K$1001,MATCH(ROWS($I$2:I285),$I$2:$I$1001,0),0), INDEX($P$1004:$S$1004,1,MATCH(COLUMNS($P$1006:P1006),$P$1006:$S$1006,0)))),"Fix")))</f>
        <v>0</v>
      </c>
      <c r="C285" s="3">
        <f>IF(OR(INDEX($J$2:$J$1001,MATCH(ROWS($I$2:I285),$I$2:$I$1001,0),1)&gt;=100000,INDEX($P$1005:$S$1005,1,MATCH(COLUMNS($P$1006:Q1006),$P$1006:$S$1006,0))&gt;=100000), " ",IF(INDEX($P$2:$S$1001,MATCH(ROWS($I$2:I285),$I$2:$I$1001,0),MATCH(COLUMNS($P$1006:Q1006),$P$1006:$S$1006,0)), HYPERLINK("#",""), HYPERLINK(CONCATENATE("#metadata!", ADDRESS(INDEX($K$2:$K$1001,MATCH(ROWS($I$2:I285),$I$2:$I$1001,0),0), INDEX($P$1004:$S$1004,1,MATCH(COLUMNS($P$1006:Q1006),$P$1006:$S$1006,0)))),"Fix")))</f>
        <v>0</v>
      </c>
      <c r="D285" s="3">
        <f>IF(OR(INDEX($J$2:$J$1001,MATCH(ROWS($I$2:I285),$I$2:$I$1001,0),1)&gt;=100000,INDEX($P$1005:$S$1005,1,MATCH(COLUMNS($P$1006:R1006),$P$1006:$S$1006,0))&gt;=100000), " ",IF(INDEX($P$2:$S$1001,MATCH(ROWS($I$2:I285),$I$2:$I$1001,0),MATCH(COLUMNS($P$1006:R1006),$P$1006:$S$1006,0)), HYPERLINK("#",""), HYPERLINK(CONCATENATE("#metadata!", ADDRESS(INDEX($K$2:$K$1001,MATCH(ROWS($I$2:I285),$I$2:$I$1001,0),0), INDEX($P$1004:$S$1004,1,MATCH(COLUMNS($P$1006:R1006),$P$1006:$S$1006,0)))),"Fix")))</f>
        <v>0</v>
      </c>
      <c r="E285" s="3">
        <f>IF(OR(INDEX($J$2:$J$1001,MATCH(ROWS($I$2:I285),$I$2:$I$1001,0),1)&gt;=100000,INDEX($P$1005:$S$1005,1,MATCH(COLUMNS($P$1006:S1006),$P$1006:$S$1006,0))&gt;=100000), " ",IF(INDEX($P$2:$S$1001,MATCH(ROWS($I$2:I285),$I$2:$I$1001,0),MATCH(COLUMNS($P$1006:S1006),$P$1006:$S$1006,0)), HYPERLINK("#",""), HYPERLINK(CONCATENATE("#metadata!", ADDRESS(INDEX($K$2:$K$1001,MATCH(ROWS($I$2:I285),$I$2:$I$1001,0),0), INDEX($P$1004:$S$1004,1,MATCH(COLUMNS($P$1006:S1006),$P$1006:$S$1006,0)))),"Fix")))</f>
        <v>0</v>
      </c>
      <c r="I285">
        <v>0</v>
      </c>
      <c r="J285">
        <v>0</v>
      </c>
      <c r="K285">
        <v>0</v>
      </c>
      <c r="L285">
        <f>IF(M285,TRUE,AND(P285:S285))</f>
        <v>0</v>
      </c>
      <c r="M285">
        <f>COUNTBLANK(metadata!B285:E285)=COLUMNS(metadata!B285:E285)</f>
        <v>0</v>
      </c>
      <c r="N285">
        <v>0</v>
      </c>
      <c r="P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Q285">
        <f>AND(IF(metadata!C285="",FALSE,TRUE),exact(metadata!C285,"other"))</f>
        <v>0</v>
      </c>
      <c r="R285">
        <f>AND(IF(metadata!D285="",FALSE,TRUE),exact(metadata!D285,"metagenome"))</f>
        <v>0</v>
      </c>
      <c r="S285">
        <f>AND(IF(metadata!E285="",FALSE,TRUE),exact(metadata!E285,"256318"))</f>
        <v>0</v>
      </c>
    </row>
    <row r="286" spans="1:19">
      <c r="A286" s="4">
        <f>IF(B286=" "," ",HYPERLINK(CONCATENATE("#metadata!",ADDRESS(INDEX($K$2:$K$1001,MATCH(ROWS($I$2:I286),$I$2:$I$1001,0),0),1)),INDEX($N$2:$N$1001,MATCH(ROWS($I$2:I286),$I$2:$I$1001,0),0)))</f>
        <v>0</v>
      </c>
      <c r="B286" s="3">
        <f>IF(OR(INDEX($J$2:$J$1001,MATCH(ROWS($I$2:I286),$I$2:$I$1001,0),1)&gt;=100000,INDEX($P$1005:$S$1005,1,MATCH(COLUMNS($P$1006:P1006),$P$1006:$S$1006,0))&gt;=100000), " ",IF(INDEX($P$2:$S$1001,MATCH(ROWS($I$2:I286),$I$2:$I$1001,0),MATCH(COLUMNS($P$1006:P1006),$P$1006:$S$1006,0)), HYPERLINK("#",""), HYPERLINK(CONCATENATE("#metadata!", ADDRESS(INDEX($K$2:$K$1001,MATCH(ROWS($I$2:I286),$I$2:$I$1001,0),0), INDEX($P$1004:$S$1004,1,MATCH(COLUMNS($P$1006:P1006),$P$1006:$S$1006,0)))),"Fix")))</f>
        <v>0</v>
      </c>
      <c r="C286" s="3">
        <f>IF(OR(INDEX($J$2:$J$1001,MATCH(ROWS($I$2:I286),$I$2:$I$1001,0),1)&gt;=100000,INDEX($P$1005:$S$1005,1,MATCH(COLUMNS($P$1006:Q1006),$P$1006:$S$1006,0))&gt;=100000), " ",IF(INDEX($P$2:$S$1001,MATCH(ROWS($I$2:I286),$I$2:$I$1001,0),MATCH(COLUMNS($P$1006:Q1006),$P$1006:$S$1006,0)), HYPERLINK("#",""), HYPERLINK(CONCATENATE("#metadata!", ADDRESS(INDEX($K$2:$K$1001,MATCH(ROWS($I$2:I286),$I$2:$I$1001,0),0), INDEX($P$1004:$S$1004,1,MATCH(COLUMNS($P$1006:Q1006),$P$1006:$S$1006,0)))),"Fix")))</f>
        <v>0</v>
      </c>
      <c r="D286" s="3">
        <f>IF(OR(INDEX($J$2:$J$1001,MATCH(ROWS($I$2:I286),$I$2:$I$1001,0),1)&gt;=100000,INDEX($P$1005:$S$1005,1,MATCH(COLUMNS($P$1006:R1006),$P$1006:$S$1006,0))&gt;=100000), " ",IF(INDEX($P$2:$S$1001,MATCH(ROWS($I$2:I286),$I$2:$I$1001,0),MATCH(COLUMNS($P$1006:R1006),$P$1006:$S$1006,0)), HYPERLINK("#",""), HYPERLINK(CONCATENATE("#metadata!", ADDRESS(INDEX($K$2:$K$1001,MATCH(ROWS($I$2:I286),$I$2:$I$1001,0),0), INDEX($P$1004:$S$1004,1,MATCH(COLUMNS($P$1006:R1006),$P$1006:$S$1006,0)))),"Fix")))</f>
        <v>0</v>
      </c>
      <c r="E286" s="3">
        <f>IF(OR(INDEX($J$2:$J$1001,MATCH(ROWS($I$2:I286),$I$2:$I$1001,0),1)&gt;=100000,INDEX($P$1005:$S$1005,1,MATCH(COLUMNS($P$1006:S1006),$P$1006:$S$1006,0))&gt;=100000), " ",IF(INDEX($P$2:$S$1001,MATCH(ROWS($I$2:I286),$I$2:$I$1001,0),MATCH(COLUMNS($P$1006:S1006),$P$1006:$S$1006,0)), HYPERLINK("#",""), HYPERLINK(CONCATENATE("#metadata!", ADDRESS(INDEX($K$2:$K$1001,MATCH(ROWS($I$2:I286),$I$2:$I$1001,0),0), INDEX($P$1004:$S$1004,1,MATCH(COLUMNS($P$1006:S1006),$P$1006:$S$1006,0)))),"Fix")))</f>
        <v>0</v>
      </c>
      <c r="I286">
        <v>0</v>
      </c>
      <c r="J286">
        <v>0</v>
      </c>
      <c r="K286">
        <v>0</v>
      </c>
      <c r="L286">
        <f>IF(M286,TRUE,AND(P286:S286))</f>
        <v>0</v>
      </c>
      <c r="M286">
        <f>COUNTBLANK(metadata!B286:E286)=COLUMNS(metadata!B286:E286)</f>
        <v>0</v>
      </c>
      <c r="N286">
        <v>0</v>
      </c>
      <c r="P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Q286">
        <f>AND(IF(metadata!C286="",FALSE,TRUE),exact(metadata!C286,"other"))</f>
        <v>0</v>
      </c>
      <c r="R286">
        <f>AND(IF(metadata!D286="",FALSE,TRUE),exact(metadata!D286,"metagenome"))</f>
        <v>0</v>
      </c>
      <c r="S286">
        <f>AND(IF(metadata!E286="",FALSE,TRUE),exact(metadata!E286,"256318"))</f>
        <v>0</v>
      </c>
    </row>
    <row r="287" spans="1:19">
      <c r="A287" s="4">
        <f>IF(B287=" "," ",HYPERLINK(CONCATENATE("#metadata!",ADDRESS(INDEX($K$2:$K$1001,MATCH(ROWS($I$2:I287),$I$2:$I$1001,0),0),1)),INDEX($N$2:$N$1001,MATCH(ROWS($I$2:I287),$I$2:$I$1001,0),0)))</f>
        <v>0</v>
      </c>
      <c r="B287" s="3">
        <f>IF(OR(INDEX($J$2:$J$1001,MATCH(ROWS($I$2:I287),$I$2:$I$1001,0),1)&gt;=100000,INDEX($P$1005:$S$1005,1,MATCH(COLUMNS($P$1006:P1006),$P$1006:$S$1006,0))&gt;=100000), " ",IF(INDEX($P$2:$S$1001,MATCH(ROWS($I$2:I287),$I$2:$I$1001,0),MATCH(COLUMNS($P$1006:P1006),$P$1006:$S$1006,0)), HYPERLINK("#",""), HYPERLINK(CONCATENATE("#metadata!", ADDRESS(INDEX($K$2:$K$1001,MATCH(ROWS($I$2:I287),$I$2:$I$1001,0),0), INDEX($P$1004:$S$1004,1,MATCH(COLUMNS($P$1006:P1006),$P$1006:$S$1006,0)))),"Fix")))</f>
        <v>0</v>
      </c>
      <c r="C287" s="3">
        <f>IF(OR(INDEX($J$2:$J$1001,MATCH(ROWS($I$2:I287),$I$2:$I$1001,0),1)&gt;=100000,INDEX($P$1005:$S$1005,1,MATCH(COLUMNS($P$1006:Q1006),$P$1006:$S$1006,0))&gt;=100000), " ",IF(INDEX($P$2:$S$1001,MATCH(ROWS($I$2:I287),$I$2:$I$1001,0),MATCH(COLUMNS($P$1006:Q1006),$P$1006:$S$1006,0)), HYPERLINK("#",""), HYPERLINK(CONCATENATE("#metadata!", ADDRESS(INDEX($K$2:$K$1001,MATCH(ROWS($I$2:I287),$I$2:$I$1001,0),0), INDEX($P$1004:$S$1004,1,MATCH(COLUMNS($P$1006:Q1006),$P$1006:$S$1006,0)))),"Fix")))</f>
        <v>0</v>
      </c>
      <c r="D287" s="3">
        <f>IF(OR(INDEX($J$2:$J$1001,MATCH(ROWS($I$2:I287),$I$2:$I$1001,0),1)&gt;=100000,INDEX($P$1005:$S$1005,1,MATCH(COLUMNS($P$1006:R1006),$P$1006:$S$1006,0))&gt;=100000), " ",IF(INDEX($P$2:$S$1001,MATCH(ROWS($I$2:I287),$I$2:$I$1001,0),MATCH(COLUMNS($P$1006:R1006),$P$1006:$S$1006,0)), HYPERLINK("#",""), HYPERLINK(CONCATENATE("#metadata!", ADDRESS(INDEX($K$2:$K$1001,MATCH(ROWS($I$2:I287),$I$2:$I$1001,0),0), INDEX($P$1004:$S$1004,1,MATCH(COLUMNS($P$1006:R1006),$P$1006:$S$1006,0)))),"Fix")))</f>
        <v>0</v>
      </c>
      <c r="E287" s="3">
        <f>IF(OR(INDEX($J$2:$J$1001,MATCH(ROWS($I$2:I287),$I$2:$I$1001,0),1)&gt;=100000,INDEX($P$1005:$S$1005,1,MATCH(COLUMNS($P$1006:S1006),$P$1006:$S$1006,0))&gt;=100000), " ",IF(INDEX($P$2:$S$1001,MATCH(ROWS($I$2:I287),$I$2:$I$1001,0),MATCH(COLUMNS($P$1006:S1006),$P$1006:$S$1006,0)), HYPERLINK("#",""), HYPERLINK(CONCATENATE("#metadata!", ADDRESS(INDEX($K$2:$K$1001,MATCH(ROWS($I$2:I287),$I$2:$I$1001,0),0), INDEX($P$1004:$S$1004,1,MATCH(COLUMNS($P$1006:S1006),$P$1006:$S$1006,0)))),"Fix")))</f>
        <v>0</v>
      </c>
      <c r="I287">
        <v>0</v>
      </c>
      <c r="J287">
        <v>0</v>
      </c>
      <c r="K287">
        <v>0</v>
      </c>
      <c r="L287">
        <f>IF(M287,TRUE,AND(P287:S287))</f>
        <v>0</v>
      </c>
      <c r="M287">
        <f>COUNTBLANK(metadata!B287:E287)=COLUMNS(metadata!B287:E287)</f>
        <v>0</v>
      </c>
      <c r="N287">
        <v>0</v>
      </c>
      <c r="P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Q287">
        <f>AND(IF(metadata!C287="",FALSE,TRUE),exact(metadata!C287,"other"))</f>
        <v>0</v>
      </c>
      <c r="R287">
        <f>AND(IF(metadata!D287="",FALSE,TRUE),exact(metadata!D287,"metagenome"))</f>
        <v>0</v>
      </c>
      <c r="S287">
        <f>AND(IF(metadata!E287="",FALSE,TRUE),exact(metadata!E287,"256318"))</f>
        <v>0</v>
      </c>
    </row>
    <row r="288" spans="1:19">
      <c r="A288" s="4">
        <f>IF(B288=" "," ",HYPERLINK(CONCATENATE("#metadata!",ADDRESS(INDEX($K$2:$K$1001,MATCH(ROWS($I$2:I288),$I$2:$I$1001,0),0),1)),INDEX($N$2:$N$1001,MATCH(ROWS($I$2:I288),$I$2:$I$1001,0),0)))</f>
        <v>0</v>
      </c>
      <c r="B288" s="3">
        <f>IF(OR(INDEX($J$2:$J$1001,MATCH(ROWS($I$2:I288),$I$2:$I$1001,0),1)&gt;=100000,INDEX($P$1005:$S$1005,1,MATCH(COLUMNS($P$1006:P1006),$P$1006:$S$1006,0))&gt;=100000), " ",IF(INDEX($P$2:$S$1001,MATCH(ROWS($I$2:I288),$I$2:$I$1001,0),MATCH(COLUMNS($P$1006:P1006),$P$1006:$S$1006,0)), HYPERLINK("#",""), HYPERLINK(CONCATENATE("#metadata!", ADDRESS(INDEX($K$2:$K$1001,MATCH(ROWS($I$2:I288),$I$2:$I$1001,0),0), INDEX($P$1004:$S$1004,1,MATCH(COLUMNS($P$1006:P1006),$P$1006:$S$1006,0)))),"Fix")))</f>
        <v>0</v>
      </c>
      <c r="C288" s="3">
        <f>IF(OR(INDEX($J$2:$J$1001,MATCH(ROWS($I$2:I288),$I$2:$I$1001,0),1)&gt;=100000,INDEX($P$1005:$S$1005,1,MATCH(COLUMNS($P$1006:Q1006),$P$1006:$S$1006,0))&gt;=100000), " ",IF(INDEX($P$2:$S$1001,MATCH(ROWS($I$2:I288),$I$2:$I$1001,0),MATCH(COLUMNS($P$1006:Q1006),$P$1006:$S$1006,0)), HYPERLINK("#",""), HYPERLINK(CONCATENATE("#metadata!", ADDRESS(INDEX($K$2:$K$1001,MATCH(ROWS($I$2:I288),$I$2:$I$1001,0),0), INDEX($P$1004:$S$1004,1,MATCH(COLUMNS($P$1006:Q1006),$P$1006:$S$1006,0)))),"Fix")))</f>
        <v>0</v>
      </c>
      <c r="D288" s="3">
        <f>IF(OR(INDEX($J$2:$J$1001,MATCH(ROWS($I$2:I288),$I$2:$I$1001,0),1)&gt;=100000,INDEX($P$1005:$S$1005,1,MATCH(COLUMNS($P$1006:R1006),$P$1006:$S$1006,0))&gt;=100000), " ",IF(INDEX($P$2:$S$1001,MATCH(ROWS($I$2:I288),$I$2:$I$1001,0),MATCH(COLUMNS($P$1006:R1006),$P$1006:$S$1006,0)), HYPERLINK("#",""), HYPERLINK(CONCATENATE("#metadata!", ADDRESS(INDEX($K$2:$K$1001,MATCH(ROWS($I$2:I288),$I$2:$I$1001,0),0), INDEX($P$1004:$S$1004,1,MATCH(COLUMNS($P$1006:R1006),$P$1006:$S$1006,0)))),"Fix")))</f>
        <v>0</v>
      </c>
      <c r="E288" s="3">
        <f>IF(OR(INDEX($J$2:$J$1001,MATCH(ROWS($I$2:I288),$I$2:$I$1001,0),1)&gt;=100000,INDEX($P$1005:$S$1005,1,MATCH(COLUMNS($P$1006:S1006),$P$1006:$S$1006,0))&gt;=100000), " ",IF(INDEX($P$2:$S$1001,MATCH(ROWS($I$2:I288),$I$2:$I$1001,0),MATCH(COLUMNS($P$1006:S1006),$P$1006:$S$1006,0)), HYPERLINK("#",""), HYPERLINK(CONCATENATE("#metadata!", ADDRESS(INDEX($K$2:$K$1001,MATCH(ROWS($I$2:I288),$I$2:$I$1001,0),0), INDEX($P$1004:$S$1004,1,MATCH(COLUMNS($P$1006:S1006),$P$1006:$S$1006,0)))),"Fix")))</f>
        <v>0</v>
      </c>
      <c r="I288">
        <v>0</v>
      </c>
      <c r="J288">
        <v>0</v>
      </c>
      <c r="K288">
        <v>0</v>
      </c>
      <c r="L288">
        <f>IF(M288,TRUE,AND(P288:S288))</f>
        <v>0</v>
      </c>
      <c r="M288">
        <f>COUNTBLANK(metadata!B288:E288)=COLUMNS(metadata!B288:E288)</f>
        <v>0</v>
      </c>
      <c r="N288">
        <v>0</v>
      </c>
      <c r="P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Q288">
        <f>AND(IF(metadata!C288="",FALSE,TRUE),exact(metadata!C288,"other"))</f>
        <v>0</v>
      </c>
      <c r="R288">
        <f>AND(IF(metadata!D288="",FALSE,TRUE),exact(metadata!D288,"metagenome"))</f>
        <v>0</v>
      </c>
      <c r="S288">
        <f>AND(IF(metadata!E288="",FALSE,TRUE),exact(metadata!E288,"256318"))</f>
        <v>0</v>
      </c>
    </row>
    <row r="289" spans="1:19">
      <c r="A289" s="4">
        <f>IF(B289=" "," ",HYPERLINK(CONCATENATE("#metadata!",ADDRESS(INDEX($K$2:$K$1001,MATCH(ROWS($I$2:I289),$I$2:$I$1001,0),0),1)),INDEX($N$2:$N$1001,MATCH(ROWS($I$2:I289),$I$2:$I$1001,0),0)))</f>
        <v>0</v>
      </c>
      <c r="B289" s="3">
        <f>IF(OR(INDEX($J$2:$J$1001,MATCH(ROWS($I$2:I289),$I$2:$I$1001,0),1)&gt;=100000,INDEX($P$1005:$S$1005,1,MATCH(COLUMNS($P$1006:P1006),$P$1006:$S$1006,0))&gt;=100000), " ",IF(INDEX($P$2:$S$1001,MATCH(ROWS($I$2:I289),$I$2:$I$1001,0),MATCH(COLUMNS($P$1006:P1006),$P$1006:$S$1006,0)), HYPERLINK("#",""), HYPERLINK(CONCATENATE("#metadata!", ADDRESS(INDEX($K$2:$K$1001,MATCH(ROWS($I$2:I289),$I$2:$I$1001,0),0), INDEX($P$1004:$S$1004,1,MATCH(COLUMNS($P$1006:P1006),$P$1006:$S$1006,0)))),"Fix")))</f>
        <v>0</v>
      </c>
      <c r="C289" s="3">
        <f>IF(OR(INDEX($J$2:$J$1001,MATCH(ROWS($I$2:I289),$I$2:$I$1001,0),1)&gt;=100000,INDEX($P$1005:$S$1005,1,MATCH(COLUMNS($P$1006:Q1006),$P$1006:$S$1006,0))&gt;=100000), " ",IF(INDEX($P$2:$S$1001,MATCH(ROWS($I$2:I289),$I$2:$I$1001,0),MATCH(COLUMNS($P$1006:Q1006),$P$1006:$S$1006,0)), HYPERLINK("#",""), HYPERLINK(CONCATENATE("#metadata!", ADDRESS(INDEX($K$2:$K$1001,MATCH(ROWS($I$2:I289),$I$2:$I$1001,0),0), INDEX($P$1004:$S$1004,1,MATCH(COLUMNS($P$1006:Q1006),$P$1006:$S$1006,0)))),"Fix")))</f>
        <v>0</v>
      </c>
      <c r="D289" s="3">
        <f>IF(OR(INDEX($J$2:$J$1001,MATCH(ROWS($I$2:I289),$I$2:$I$1001,0),1)&gt;=100000,INDEX($P$1005:$S$1005,1,MATCH(COLUMNS($P$1006:R1006),$P$1006:$S$1006,0))&gt;=100000), " ",IF(INDEX($P$2:$S$1001,MATCH(ROWS($I$2:I289),$I$2:$I$1001,0),MATCH(COLUMNS($P$1006:R1006),$P$1006:$S$1006,0)), HYPERLINK("#",""), HYPERLINK(CONCATENATE("#metadata!", ADDRESS(INDEX($K$2:$K$1001,MATCH(ROWS($I$2:I289),$I$2:$I$1001,0),0), INDEX($P$1004:$S$1004,1,MATCH(COLUMNS($P$1006:R1006),$P$1006:$S$1006,0)))),"Fix")))</f>
        <v>0</v>
      </c>
      <c r="E289" s="3">
        <f>IF(OR(INDEX($J$2:$J$1001,MATCH(ROWS($I$2:I289),$I$2:$I$1001,0),1)&gt;=100000,INDEX($P$1005:$S$1005,1,MATCH(COLUMNS($P$1006:S1006),$P$1006:$S$1006,0))&gt;=100000), " ",IF(INDEX($P$2:$S$1001,MATCH(ROWS($I$2:I289),$I$2:$I$1001,0),MATCH(COLUMNS($P$1006:S1006),$P$1006:$S$1006,0)), HYPERLINK("#",""), HYPERLINK(CONCATENATE("#metadata!", ADDRESS(INDEX($K$2:$K$1001,MATCH(ROWS($I$2:I289),$I$2:$I$1001,0),0), INDEX($P$1004:$S$1004,1,MATCH(COLUMNS($P$1006:S1006),$P$1006:$S$1006,0)))),"Fix")))</f>
        <v>0</v>
      </c>
      <c r="I289">
        <v>0</v>
      </c>
      <c r="J289">
        <v>0</v>
      </c>
      <c r="K289">
        <v>0</v>
      </c>
      <c r="L289">
        <f>IF(M289,TRUE,AND(P289:S289))</f>
        <v>0</v>
      </c>
      <c r="M289">
        <f>COUNTBLANK(metadata!B289:E289)=COLUMNS(metadata!B289:E289)</f>
        <v>0</v>
      </c>
      <c r="N289">
        <v>0</v>
      </c>
      <c r="P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Q289">
        <f>AND(IF(metadata!C289="",FALSE,TRUE),exact(metadata!C289,"other"))</f>
        <v>0</v>
      </c>
      <c r="R289">
        <f>AND(IF(metadata!D289="",FALSE,TRUE),exact(metadata!D289,"metagenome"))</f>
        <v>0</v>
      </c>
      <c r="S289">
        <f>AND(IF(metadata!E289="",FALSE,TRUE),exact(metadata!E289,"256318"))</f>
        <v>0</v>
      </c>
    </row>
    <row r="290" spans="1:19">
      <c r="A290" s="4">
        <f>IF(B290=" "," ",HYPERLINK(CONCATENATE("#metadata!",ADDRESS(INDEX($K$2:$K$1001,MATCH(ROWS($I$2:I290),$I$2:$I$1001,0),0),1)),INDEX($N$2:$N$1001,MATCH(ROWS($I$2:I290),$I$2:$I$1001,0),0)))</f>
        <v>0</v>
      </c>
      <c r="B290" s="3">
        <f>IF(OR(INDEX($J$2:$J$1001,MATCH(ROWS($I$2:I290),$I$2:$I$1001,0),1)&gt;=100000,INDEX($P$1005:$S$1005,1,MATCH(COLUMNS($P$1006:P1006),$P$1006:$S$1006,0))&gt;=100000), " ",IF(INDEX($P$2:$S$1001,MATCH(ROWS($I$2:I290),$I$2:$I$1001,0),MATCH(COLUMNS($P$1006:P1006),$P$1006:$S$1006,0)), HYPERLINK("#",""), HYPERLINK(CONCATENATE("#metadata!", ADDRESS(INDEX($K$2:$K$1001,MATCH(ROWS($I$2:I290),$I$2:$I$1001,0),0), INDEX($P$1004:$S$1004,1,MATCH(COLUMNS($P$1006:P1006),$P$1006:$S$1006,0)))),"Fix")))</f>
        <v>0</v>
      </c>
      <c r="C290" s="3">
        <f>IF(OR(INDEX($J$2:$J$1001,MATCH(ROWS($I$2:I290),$I$2:$I$1001,0),1)&gt;=100000,INDEX($P$1005:$S$1005,1,MATCH(COLUMNS($P$1006:Q1006),$P$1006:$S$1006,0))&gt;=100000), " ",IF(INDEX($P$2:$S$1001,MATCH(ROWS($I$2:I290),$I$2:$I$1001,0),MATCH(COLUMNS($P$1006:Q1006),$P$1006:$S$1006,0)), HYPERLINK("#",""), HYPERLINK(CONCATENATE("#metadata!", ADDRESS(INDEX($K$2:$K$1001,MATCH(ROWS($I$2:I290),$I$2:$I$1001,0),0), INDEX($P$1004:$S$1004,1,MATCH(COLUMNS($P$1006:Q1006),$P$1006:$S$1006,0)))),"Fix")))</f>
        <v>0</v>
      </c>
      <c r="D290" s="3">
        <f>IF(OR(INDEX($J$2:$J$1001,MATCH(ROWS($I$2:I290),$I$2:$I$1001,0),1)&gt;=100000,INDEX($P$1005:$S$1005,1,MATCH(COLUMNS($P$1006:R1006),$P$1006:$S$1006,0))&gt;=100000), " ",IF(INDEX($P$2:$S$1001,MATCH(ROWS($I$2:I290),$I$2:$I$1001,0),MATCH(COLUMNS($P$1006:R1006),$P$1006:$S$1006,0)), HYPERLINK("#",""), HYPERLINK(CONCATENATE("#metadata!", ADDRESS(INDEX($K$2:$K$1001,MATCH(ROWS($I$2:I290),$I$2:$I$1001,0),0), INDEX($P$1004:$S$1004,1,MATCH(COLUMNS($P$1006:R1006),$P$1006:$S$1006,0)))),"Fix")))</f>
        <v>0</v>
      </c>
      <c r="E290" s="3">
        <f>IF(OR(INDEX($J$2:$J$1001,MATCH(ROWS($I$2:I290),$I$2:$I$1001,0),1)&gt;=100000,INDEX($P$1005:$S$1005,1,MATCH(COLUMNS($P$1006:S1006),$P$1006:$S$1006,0))&gt;=100000), " ",IF(INDEX($P$2:$S$1001,MATCH(ROWS($I$2:I290),$I$2:$I$1001,0),MATCH(COLUMNS($P$1006:S1006),$P$1006:$S$1006,0)), HYPERLINK("#",""), HYPERLINK(CONCATENATE("#metadata!", ADDRESS(INDEX($K$2:$K$1001,MATCH(ROWS($I$2:I290),$I$2:$I$1001,0),0), INDEX($P$1004:$S$1004,1,MATCH(COLUMNS($P$1006:S1006),$P$1006:$S$1006,0)))),"Fix")))</f>
        <v>0</v>
      </c>
      <c r="I290">
        <v>0</v>
      </c>
      <c r="J290">
        <v>0</v>
      </c>
      <c r="K290">
        <v>0</v>
      </c>
      <c r="L290">
        <f>IF(M290,TRUE,AND(P290:S290))</f>
        <v>0</v>
      </c>
      <c r="M290">
        <f>COUNTBLANK(metadata!B290:E290)=COLUMNS(metadata!B290:E290)</f>
        <v>0</v>
      </c>
      <c r="N290">
        <v>0</v>
      </c>
      <c r="P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Q290">
        <f>AND(IF(metadata!C290="",FALSE,TRUE),exact(metadata!C290,"other"))</f>
        <v>0</v>
      </c>
      <c r="R290">
        <f>AND(IF(metadata!D290="",FALSE,TRUE),exact(metadata!D290,"metagenome"))</f>
        <v>0</v>
      </c>
      <c r="S290">
        <f>AND(IF(metadata!E290="",FALSE,TRUE),exact(metadata!E290,"256318"))</f>
        <v>0</v>
      </c>
    </row>
    <row r="291" spans="1:19">
      <c r="A291" s="4">
        <f>IF(B291=" "," ",HYPERLINK(CONCATENATE("#metadata!",ADDRESS(INDEX($K$2:$K$1001,MATCH(ROWS($I$2:I291),$I$2:$I$1001,0),0),1)),INDEX($N$2:$N$1001,MATCH(ROWS($I$2:I291),$I$2:$I$1001,0),0)))</f>
        <v>0</v>
      </c>
      <c r="B291" s="3">
        <f>IF(OR(INDEX($J$2:$J$1001,MATCH(ROWS($I$2:I291),$I$2:$I$1001,0),1)&gt;=100000,INDEX($P$1005:$S$1005,1,MATCH(COLUMNS($P$1006:P1006),$P$1006:$S$1006,0))&gt;=100000), " ",IF(INDEX($P$2:$S$1001,MATCH(ROWS($I$2:I291),$I$2:$I$1001,0),MATCH(COLUMNS($P$1006:P1006),$P$1006:$S$1006,0)), HYPERLINK("#",""), HYPERLINK(CONCATENATE("#metadata!", ADDRESS(INDEX($K$2:$K$1001,MATCH(ROWS($I$2:I291),$I$2:$I$1001,0),0), INDEX($P$1004:$S$1004,1,MATCH(COLUMNS($P$1006:P1006),$P$1006:$S$1006,0)))),"Fix")))</f>
        <v>0</v>
      </c>
      <c r="C291" s="3">
        <f>IF(OR(INDEX($J$2:$J$1001,MATCH(ROWS($I$2:I291),$I$2:$I$1001,0),1)&gt;=100000,INDEX($P$1005:$S$1005,1,MATCH(COLUMNS($P$1006:Q1006),$P$1006:$S$1006,0))&gt;=100000), " ",IF(INDEX($P$2:$S$1001,MATCH(ROWS($I$2:I291),$I$2:$I$1001,0),MATCH(COLUMNS($P$1006:Q1006),$P$1006:$S$1006,0)), HYPERLINK("#",""), HYPERLINK(CONCATENATE("#metadata!", ADDRESS(INDEX($K$2:$K$1001,MATCH(ROWS($I$2:I291),$I$2:$I$1001,0),0), INDEX($P$1004:$S$1004,1,MATCH(COLUMNS($P$1006:Q1006),$P$1006:$S$1006,0)))),"Fix")))</f>
        <v>0</v>
      </c>
      <c r="D291" s="3">
        <f>IF(OR(INDEX($J$2:$J$1001,MATCH(ROWS($I$2:I291),$I$2:$I$1001,0),1)&gt;=100000,INDEX($P$1005:$S$1005,1,MATCH(COLUMNS($P$1006:R1006),$P$1006:$S$1006,0))&gt;=100000), " ",IF(INDEX($P$2:$S$1001,MATCH(ROWS($I$2:I291),$I$2:$I$1001,0),MATCH(COLUMNS($P$1006:R1006),$P$1006:$S$1006,0)), HYPERLINK("#",""), HYPERLINK(CONCATENATE("#metadata!", ADDRESS(INDEX($K$2:$K$1001,MATCH(ROWS($I$2:I291),$I$2:$I$1001,0),0), INDEX($P$1004:$S$1004,1,MATCH(COLUMNS($P$1006:R1006),$P$1006:$S$1006,0)))),"Fix")))</f>
        <v>0</v>
      </c>
      <c r="E291" s="3">
        <f>IF(OR(INDEX($J$2:$J$1001,MATCH(ROWS($I$2:I291),$I$2:$I$1001,0),1)&gt;=100000,INDEX($P$1005:$S$1005,1,MATCH(COLUMNS($P$1006:S1006),$P$1006:$S$1006,0))&gt;=100000), " ",IF(INDEX($P$2:$S$1001,MATCH(ROWS($I$2:I291),$I$2:$I$1001,0),MATCH(COLUMNS($P$1006:S1006),$P$1006:$S$1006,0)), HYPERLINK("#",""), HYPERLINK(CONCATENATE("#metadata!", ADDRESS(INDEX($K$2:$K$1001,MATCH(ROWS($I$2:I291),$I$2:$I$1001,0),0), INDEX($P$1004:$S$1004,1,MATCH(COLUMNS($P$1006:S1006),$P$1006:$S$1006,0)))),"Fix")))</f>
        <v>0</v>
      </c>
      <c r="I291">
        <v>0</v>
      </c>
      <c r="J291">
        <v>0</v>
      </c>
      <c r="K291">
        <v>0</v>
      </c>
      <c r="L291">
        <f>IF(M291,TRUE,AND(P291:S291))</f>
        <v>0</v>
      </c>
      <c r="M291">
        <f>COUNTBLANK(metadata!B291:E291)=COLUMNS(metadata!B291:E291)</f>
        <v>0</v>
      </c>
      <c r="N291">
        <v>0</v>
      </c>
      <c r="P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Q291">
        <f>AND(IF(metadata!C291="",FALSE,TRUE),exact(metadata!C291,"other"))</f>
        <v>0</v>
      </c>
      <c r="R291">
        <f>AND(IF(metadata!D291="",FALSE,TRUE),exact(metadata!D291,"metagenome"))</f>
        <v>0</v>
      </c>
      <c r="S291">
        <f>AND(IF(metadata!E291="",FALSE,TRUE),exact(metadata!E291,"256318"))</f>
        <v>0</v>
      </c>
    </row>
    <row r="292" spans="1:19">
      <c r="A292" s="4">
        <f>IF(B292=" "," ",HYPERLINK(CONCATENATE("#metadata!",ADDRESS(INDEX($K$2:$K$1001,MATCH(ROWS($I$2:I292),$I$2:$I$1001,0),0),1)),INDEX($N$2:$N$1001,MATCH(ROWS($I$2:I292),$I$2:$I$1001,0),0)))</f>
        <v>0</v>
      </c>
      <c r="B292" s="3">
        <f>IF(OR(INDEX($J$2:$J$1001,MATCH(ROWS($I$2:I292),$I$2:$I$1001,0),1)&gt;=100000,INDEX($P$1005:$S$1005,1,MATCH(COLUMNS($P$1006:P1006),$P$1006:$S$1006,0))&gt;=100000), " ",IF(INDEX($P$2:$S$1001,MATCH(ROWS($I$2:I292),$I$2:$I$1001,0),MATCH(COLUMNS($P$1006:P1006),$P$1006:$S$1006,0)), HYPERLINK("#",""), HYPERLINK(CONCATENATE("#metadata!", ADDRESS(INDEX($K$2:$K$1001,MATCH(ROWS($I$2:I292),$I$2:$I$1001,0),0), INDEX($P$1004:$S$1004,1,MATCH(COLUMNS($P$1006:P1006),$P$1006:$S$1006,0)))),"Fix")))</f>
        <v>0</v>
      </c>
      <c r="C292" s="3">
        <f>IF(OR(INDEX($J$2:$J$1001,MATCH(ROWS($I$2:I292),$I$2:$I$1001,0),1)&gt;=100000,INDEX($P$1005:$S$1005,1,MATCH(COLUMNS($P$1006:Q1006),$P$1006:$S$1006,0))&gt;=100000), " ",IF(INDEX($P$2:$S$1001,MATCH(ROWS($I$2:I292),$I$2:$I$1001,0),MATCH(COLUMNS($P$1006:Q1006),$P$1006:$S$1006,0)), HYPERLINK("#",""), HYPERLINK(CONCATENATE("#metadata!", ADDRESS(INDEX($K$2:$K$1001,MATCH(ROWS($I$2:I292),$I$2:$I$1001,0),0), INDEX($P$1004:$S$1004,1,MATCH(COLUMNS($P$1006:Q1006),$P$1006:$S$1006,0)))),"Fix")))</f>
        <v>0</v>
      </c>
      <c r="D292" s="3">
        <f>IF(OR(INDEX($J$2:$J$1001,MATCH(ROWS($I$2:I292),$I$2:$I$1001,0),1)&gt;=100000,INDEX($P$1005:$S$1005,1,MATCH(COLUMNS($P$1006:R1006),$P$1006:$S$1006,0))&gt;=100000), " ",IF(INDEX($P$2:$S$1001,MATCH(ROWS($I$2:I292),$I$2:$I$1001,0),MATCH(COLUMNS($P$1006:R1006),$P$1006:$S$1006,0)), HYPERLINK("#",""), HYPERLINK(CONCATENATE("#metadata!", ADDRESS(INDEX($K$2:$K$1001,MATCH(ROWS($I$2:I292),$I$2:$I$1001,0),0), INDEX($P$1004:$S$1004,1,MATCH(COLUMNS($P$1006:R1006),$P$1006:$S$1006,0)))),"Fix")))</f>
        <v>0</v>
      </c>
      <c r="E292" s="3">
        <f>IF(OR(INDEX($J$2:$J$1001,MATCH(ROWS($I$2:I292),$I$2:$I$1001,0),1)&gt;=100000,INDEX($P$1005:$S$1005,1,MATCH(COLUMNS($P$1006:S1006),$P$1006:$S$1006,0))&gt;=100000), " ",IF(INDEX($P$2:$S$1001,MATCH(ROWS($I$2:I292),$I$2:$I$1001,0),MATCH(COLUMNS($P$1006:S1006),$P$1006:$S$1006,0)), HYPERLINK("#",""), HYPERLINK(CONCATENATE("#metadata!", ADDRESS(INDEX($K$2:$K$1001,MATCH(ROWS($I$2:I292),$I$2:$I$1001,0),0), INDEX($P$1004:$S$1004,1,MATCH(COLUMNS($P$1006:S1006),$P$1006:$S$1006,0)))),"Fix")))</f>
        <v>0</v>
      </c>
      <c r="I292">
        <v>0</v>
      </c>
      <c r="J292">
        <v>0</v>
      </c>
      <c r="K292">
        <v>0</v>
      </c>
      <c r="L292">
        <f>IF(M292,TRUE,AND(P292:S292))</f>
        <v>0</v>
      </c>
      <c r="M292">
        <f>COUNTBLANK(metadata!B292:E292)=COLUMNS(metadata!B292:E292)</f>
        <v>0</v>
      </c>
      <c r="N292">
        <v>0</v>
      </c>
      <c r="P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Q292">
        <f>AND(IF(metadata!C292="",FALSE,TRUE),exact(metadata!C292,"other"))</f>
        <v>0</v>
      </c>
      <c r="R292">
        <f>AND(IF(metadata!D292="",FALSE,TRUE),exact(metadata!D292,"metagenome"))</f>
        <v>0</v>
      </c>
      <c r="S292">
        <f>AND(IF(metadata!E292="",FALSE,TRUE),exact(metadata!E292,"256318"))</f>
        <v>0</v>
      </c>
    </row>
    <row r="293" spans="1:19">
      <c r="A293" s="4">
        <f>IF(B293=" "," ",HYPERLINK(CONCATENATE("#metadata!",ADDRESS(INDEX($K$2:$K$1001,MATCH(ROWS($I$2:I293),$I$2:$I$1001,0),0),1)),INDEX($N$2:$N$1001,MATCH(ROWS($I$2:I293),$I$2:$I$1001,0),0)))</f>
        <v>0</v>
      </c>
      <c r="B293" s="3">
        <f>IF(OR(INDEX($J$2:$J$1001,MATCH(ROWS($I$2:I293),$I$2:$I$1001,0),1)&gt;=100000,INDEX($P$1005:$S$1005,1,MATCH(COLUMNS($P$1006:P1006),$P$1006:$S$1006,0))&gt;=100000), " ",IF(INDEX($P$2:$S$1001,MATCH(ROWS($I$2:I293),$I$2:$I$1001,0),MATCH(COLUMNS($P$1006:P1006),$P$1006:$S$1006,0)), HYPERLINK("#",""), HYPERLINK(CONCATENATE("#metadata!", ADDRESS(INDEX($K$2:$K$1001,MATCH(ROWS($I$2:I293),$I$2:$I$1001,0),0), INDEX($P$1004:$S$1004,1,MATCH(COLUMNS($P$1006:P1006),$P$1006:$S$1006,0)))),"Fix")))</f>
        <v>0</v>
      </c>
      <c r="C293" s="3">
        <f>IF(OR(INDEX($J$2:$J$1001,MATCH(ROWS($I$2:I293),$I$2:$I$1001,0),1)&gt;=100000,INDEX($P$1005:$S$1005,1,MATCH(COLUMNS($P$1006:Q1006),$P$1006:$S$1006,0))&gt;=100000), " ",IF(INDEX($P$2:$S$1001,MATCH(ROWS($I$2:I293),$I$2:$I$1001,0),MATCH(COLUMNS($P$1006:Q1006),$P$1006:$S$1006,0)), HYPERLINK("#",""), HYPERLINK(CONCATENATE("#metadata!", ADDRESS(INDEX($K$2:$K$1001,MATCH(ROWS($I$2:I293),$I$2:$I$1001,0),0), INDEX($P$1004:$S$1004,1,MATCH(COLUMNS($P$1006:Q1006),$P$1006:$S$1006,0)))),"Fix")))</f>
        <v>0</v>
      </c>
      <c r="D293" s="3">
        <f>IF(OR(INDEX($J$2:$J$1001,MATCH(ROWS($I$2:I293),$I$2:$I$1001,0),1)&gt;=100000,INDEX($P$1005:$S$1005,1,MATCH(COLUMNS($P$1006:R1006),$P$1006:$S$1006,0))&gt;=100000), " ",IF(INDEX($P$2:$S$1001,MATCH(ROWS($I$2:I293),$I$2:$I$1001,0),MATCH(COLUMNS($P$1006:R1006),$P$1006:$S$1006,0)), HYPERLINK("#",""), HYPERLINK(CONCATENATE("#metadata!", ADDRESS(INDEX($K$2:$K$1001,MATCH(ROWS($I$2:I293),$I$2:$I$1001,0),0), INDEX($P$1004:$S$1004,1,MATCH(COLUMNS($P$1006:R1006),$P$1006:$S$1006,0)))),"Fix")))</f>
        <v>0</v>
      </c>
      <c r="E293" s="3">
        <f>IF(OR(INDEX($J$2:$J$1001,MATCH(ROWS($I$2:I293),$I$2:$I$1001,0),1)&gt;=100000,INDEX($P$1005:$S$1005,1,MATCH(COLUMNS($P$1006:S1006),$P$1006:$S$1006,0))&gt;=100000), " ",IF(INDEX($P$2:$S$1001,MATCH(ROWS($I$2:I293),$I$2:$I$1001,0),MATCH(COLUMNS($P$1006:S1006),$P$1006:$S$1006,0)), HYPERLINK("#",""), HYPERLINK(CONCATENATE("#metadata!", ADDRESS(INDEX($K$2:$K$1001,MATCH(ROWS($I$2:I293),$I$2:$I$1001,0),0), INDEX($P$1004:$S$1004,1,MATCH(COLUMNS($P$1006:S1006),$P$1006:$S$1006,0)))),"Fix")))</f>
        <v>0</v>
      </c>
      <c r="I293">
        <v>0</v>
      </c>
      <c r="J293">
        <v>0</v>
      </c>
      <c r="K293">
        <v>0</v>
      </c>
      <c r="L293">
        <f>IF(M293,TRUE,AND(P293:S293))</f>
        <v>0</v>
      </c>
      <c r="M293">
        <f>COUNTBLANK(metadata!B293:E293)=COLUMNS(metadata!B293:E293)</f>
        <v>0</v>
      </c>
      <c r="N293">
        <v>0</v>
      </c>
      <c r="P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Q293">
        <f>AND(IF(metadata!C293="",FALSE,TRUE),exact(metadata!C293,"other"))</f>
        <v>0</v>
      </c>
      <c r="R293">
        <f>AND(IF(metadata!D293="",FALSE,TRUE),exact(metadata!D293,"metagenome"))</f>
        <v>0</v>
      </c>
      <c r="S293">
        <f>AND(IF(metadata!E293="",FALSE,TRUE),exact(metadata!E293,"256318"))</f>
        <v>0</v>
      </c>
    </row>
    <row r="294" spans="1:19">
      <c r="A294" s="4">
        <f>IF(B294=" "," ",HYPERLINK(CONCATENATE("#metadata!",ADDRESS(INDEX($K$2:$K$1001,MATCH(ROWS($I$2:I294),$I$2:$I$1001,0),0),1)),INDEX($N$2:$N$1001,MATCH(ROWS($I$2:I294),$I$2:$I$1001,0),0)))</f>
        <v>0</v>
      </c>
      <c r="B294" s="3">
        <f>IF(OR(INDEX($J$2:$J$1001,MATCH(ROWS($I$2:I294),$I$2:$I$1001,0),1)&gt;=100000,INDEX($P$1005:$S$1005,1,MATCH(COLUMNS($P$1006:P1006),$P$1006:$S$1006,0))&gt;=100000), " ",IF(INDEX($P$2:$S$1001,MATCH(ROWS($I$2:I294),$I$2:$I$1001,0),MATCH(COLUMNS($P$1006:P1006),$P$1006:$S$1006,0)), HYPERLINK("#",""), HYPERLINK(CONCATENATE("#metadata!", ADDRESS(INDEX($K$2:$K$1001,MATCH(ROWS($I$2:I294),$I$2:$I$1001,0),0), INDEX($P$1004:$S$1004,1,MATCH(COLUMNS($P$1006:P1006),$P$1006:$S$1006,0)))),"Fix")))</f>
        <v>0</v>
      </c>
      <c r="C294" s="3">
        <f>IF(OR(INDEX($J$2:$J$1001,MATCH(ROWS($I$2:I294),$I$2:$I$1001,0),1)&gt;=100000,INDEX($P$1005:$S$1005,1,MATCH(COLUMNS($P$1006:Q1006),$P$1006:$S$1006,0))&gt;=100000), " ",IF(INDEX($P$2:$S$1001,MATCH(ROWS($I$2:I294),$I$2:$I$1001,0),MATCH(COLUMNS($P$1006:Q1006),$P$1006:$S$1006,0)), HYPERLINK("#",""), HYPERLINK(CONCATENATE("#metadata!", ADDRESS(INDEX($K$2:$K$1001,MATCH(ROWS($I$2:I294),$I$2:$I$1001,0),0), INDEX($P$1004:$S$1004,1,MATCH(COLUMNS($P$1006:Q1006),$P$1006:$S$1006,0)))),"Fix")))</f>
        <v>0</v>
      </c>
      <c r="D294" s="3">
        <f>IF(OR(INDEX($J$2:$J$1001,MATCH(ROWS($I$2:I294),$I$2:$I$1001,0),1)&gt;=100000,INDEX($P$1005:$S$1005,1,MATCH(COLUMNS($P$1006:R1006),$P$1006:$S$1006,0))&gt;=100000), " ",IF(INDEX($P$2:$S$1001,MATCH(ROWS($I$2:I294),$I$2:$I$1001,0),MATCH(COLUMNS($P$1006:R1006),$P$1006:$S$1006,0)), HYPERLINK("#",""), HYPERLINK(CONCATENATE("#metadata!", ADDRESS(INDEX($K$2:$K$1001,MATCH(ROWS($I$2:I294),$I$2:$I$1001,0),0), INDEX($P$1004:$S$1004,1,MATCH(COLUMNS($P$1006:R1006),$P$1006:$S$1006,0)))),"Fix")))</f>
        <v>0</v>
      </c>
      <c r="E294" s="3">
        <f>IF(OR(INDEX($J$2:$J$1001,MATCH(ROWS($I$2:I294),$I$2:$I$1001,0),1)&gt;=100000,INDEX($P$1005:$S$1005,1,MATCH(COLUMNS($P$1006:S1006),$P$1006:$S$1006,0))&gt;=100000), " ",IF(INDEX($P$2:$S$1001,MATCH(ROWS($I$2:I294),$I$2:$I$1001,0),MATCH(COLUMNS($P$1006:S1006),$P$1006:$S$1006,0)), HYPERLINK("#",""), HYPERLINK(CONCATENATE("#metadata!", ADDRESS(INDEX($K$2:$K$1001,MATCH(ROWS($I$2:I294),$I$2:$I$1001,0),0), INDEX($P$1004:$S$1004,1,MATCH(COLUMNS($P$1006:S1006),$P$1006:$S$1006,0)))),"Fix")))</f>
        <v>0</v>
      </c>
      <c r="I294">
        <v>0</v>
      </c>
      <c r="J294">
        <v>0</v>
      </c>
      <c r="K294">
        <v>0</v>
      </c>
      <c r="L294">
        <f>IF(M294,TRUE,AND(P294:S294))</f>
        <v>0</v>
      </c>
      <c r="M294">
        <f>COUNTBLANK(metadata!B294:E294)=COLUMNS(metadata!B294:E294)</f>
        <v>0</v>
      </c>
      <c r="N294">
        <v>0</v>
      </c>
      <c r="P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Q294">
        <f>AND(IF(metadata!C294="",FALSE,TRUE),exact(metadata!C294,"other"))</f>
        <v>0</v>
      </c>
      <c r="R294">
        <f>AND(IF(metadata!D294="",FALSE,TRUE),exact(metadata!D294,"metagenome"))</f>
        <v>0</v>
      </c>
      <c r="S294">
        <f>AND(IF(metadata!E294="",FALSE,TRUE),exact(metadata!E294,"256318"))</f>
        <v>0</v>
      </c>
    </row>
    <row r="295" spans="1:19">
      <c r="A295" s="4">
        <f>IF(B295=" "," ",HYPERLINK(CONCATENATE("#metadata!",ADDRESS(INDEX($K$2:$K$1001,MATCH(ROWS($I$2:I295),$I$2:$I$1001,0),0),1)),INDEX($N$2:$N$1001,MATCH(ROWS($I$2:I295),$I$2:$I$1001,0),0)))</f>
        <v>0</v>
      </c>
      <c r="B295" s="3">
        <f>IF(OR(INDEX($J$2:$J$1001,MATCH(ROWS($I$2:I295),$I$2:$I$1001,0),1)&gt;=100000,INDEX($P$1005:$S$1005,1,MATCH(COLUMNS($P$1006:P1006),$P$1006:$S$1006,0))&gt;=100000), " ",IF(INDEX($P$2:$S$1001,MATCH(ROWS($I$2:I295),$I$2:$I$1001,0),MATCH(COLUMNS($P$1006:P1006),$P$1006:$S$1006,0)), HYPERLINK("#",""), HYPERLINK(CONCATENATE("#metadata!", ADDRESS(INDEX($K$2:$K$1001,MATCH(ROWS($I$2:I295),$I$2:$I$1001,0),0), INDEX($P$1004:$S$1004,1,MATCH(COLUMNS($P$1006:P1006),$P$1006:$S$1006,0)))),"Fix")))</f>
        <v>0</v>
      </c>
      <c r="C295" s="3">
        <f>IF(OR(INDEX($J$2:$J$1001,MATCH(ROWS($I$2:I295),$I$2:$I$1001,0),1)&gt;=100000,INDEX($P$1005:$S$1005,1,MATCH(COLUMNS($P$1006:Q1006),$P$1006:$S$1006,0))&gt;=100000), " ",IF(INDEX($P$2:$S$1001,MATCH(ROWS($I$2:I295),$I$2:$I$1001,0),MATCH(COLUMNS($P$1006:Q1006),$P$1006:$S$1006,0)), HYPERLINK("#",""), HYPERLINK(CONCATENATE("#metadata!", ADDRESS(INDEX($K$2:$K$1001,MATCH(ROWS($I$2:I295),$I$2:$I$1001,0),0), INDEX($P$1004:$S$1004,1,MATCH(COLUMNS($P$1006:Q1006),$P$1006:$S$1006,0)))),"Fix")))</f>
        <v>0</v>
      </c>
      <c r="D295" s="3">
        <f>IF(OR(INDEX($J$2:$J$1001,MATCH(ROWS($I$2:I295),$I$2:$I$1001,0),1)&gt;=100000,INDEX($P$1005:$S$1005,1,MATCH(COLUMNS($P$1006:R1006),$P$1006:$S$1006,0))&gt;=100000), " ",IF(INDEX($P$2:$S$1001,MATCH(ROWS($I$2:I295),$I$2:$I$1001,0),MATCH(COLUMNS($P$1006:R1006),$P$1006:$S$1006,0)), HYPERLINK("#",""), HYPERLINK(CONCATENATE("#metadata!", ADDRESS(INDEX($K$2:$K$1001,MATCH(ROWS($I$2:I295),$I$2:$I$1001,0),0), INDEX($P$1004:$S$1004,1,MATCH(COLUMNS($P$1006:R1006),$P$1006:$S$1006,0)))),"Fix")))</f>
        <v>0</v>
      </c>
      <c r="E295" s="3">
        <f>IF(OR(INDEX($J$2:$J$1001,MATCH(ROWS($I$2:I295),$I$2:$I$1001,0),1)&gt;=100000,INDEX($P$1005:$S$1005,1,MATCH(COLUMNS($P$1006:S1006),$P$1006:$S$1006,0))&gt;=100000), " ",IF(INDEX($P$2:$S$1001,MATCH(ROWS($I$2:I295),$I$2:$I$1001,0),MATCH(COLUMNS($P$1006:S1006),$P$1006:$S$1006,0)), HYPERLINK("#",""), HYPERLINK(CONCATENATE("#metadata!", ADDRESS(INDEX($K$2:$K$1001,MATCH(ROWS($I$2:I295),$I$2:$I$1001,0),0), INDEX($P$1004:$S$1004,1,MATCH(COLUMNS($P$1006:S1006),$P$1006:$S$1006,0)))),"Fix")))</f>
        <v>0</v>
      </c>
      <c r="I295">
        <v>0</v>
      </c>
      <c r="J295">
        <v>0</v>
      </c>
      <c r="K295">
        <v>0</v>
      </c>
      <c r="L295">
        <f>IF(M295,TRUE,AND(P295:S295))</f>
        <v>0</v>
      </c>
      <c r="M295">
        <f>COUNTBLANK(metadata!B295:E295)=COLUMNS(metadata!B295:E295)</f>
        <v>0</v>
      </c>
      <c r="N295">
        <v>0</v>
      </c>
      <c r="P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Q295">
        <f>AND(IF(metadata!C295="",FALSE,TRUE),exact(metadata!C295,"other"))</f>
        <v>0</v>
      </c>
      <c r="R295">
        <f>AND(IF(metadata!D295="",FALSE,TRUE),exact(metadata!D295,"metagenome"))</f>
        <v>0</v>
      </c>
      <c r="S295">
        <f>AND(IF(metadata!E295="",FALSE,TRUE),exact(metadata!E295,"256318"))</f>
        <v>0</v>
      </c>
    </row>
    <row r="296" spans="1:19">
      <c r="A296" s="4">
        <f>IF(B296=" "," ",HYPERLINK(CONCATENATE("#metadata!",ADDRESS(INDEX($K$2:$K$1001,MATCH(ROWS($I$2:I296),$I$2:$I$1001,0),0),1)),INDEX($N$2:$N$1001,MATCH(ROWS($I$2:I296),$I$2:$I$1001,0),0)))</f>
        <v>0</v>
      </c>
      <c r="B296" s="3">
        <f>IF(OR(INDEX($J$2:$J$1001,MATCH(ROWS($I$2:I296),$I$2:$I$1001,0),1)&gt;=100000,INDEX($P$1005:$S$1005,1,MATCH(COLUMNS($P$1006:P1006),$P$1006:$S$1006,0))&gt;=100000), " ",IF(INDEX($P$2:$S$1001,MATCH(ROWS($I$2:I296),$I$2:$I$1001,0),MATCH(COLUMNS($P$1006:P1006),$P$1006:$S$1006,0)), HYPERLINK("#",""), HYPERLINK(CONCATENATE("#metadata!", ADDRESS(INDEX($K$2:$K$1001,MATCH(ROWS($I$2:I296),$I$2:$I$1001,0),0), INDEX($P$1004:$S$1004,1,MATCH(COLUMNS($P$1006:P1006),$P$1006:$S$1006,0)))),"Fix")))</f>
        <v>0</v>
      </c>
      <c r="C296" s="3">
        <f>IF(OR(INDEX($J$2:$J$1001,MATCH(ROWS($I$2:I296),$I$2:$I$1001,0),1)&gt;=100000,INDEX($P$1005:$S$1005,1,MATCH(COLUMNS($P$1006:Q1006),$P$1006:$S$1006,0))&gt;=100000), " ",IF(INDEX($P$2:$S$1001,MATCH(ROWS($I$2:I296),$I$2:$I$1001,0),MATCH(COLUMNS($P$1006:Q1006),$P$1006:$S$1006,0)), HYPERLINK("#",""), HYPERLINK(CONCATENATE("#metadata!", ADDRESS(INDEX($K$2:$K$1001,MATCH(ROWS($I$2:I296),$I$2:$I$1001,0),0), INDEX($P$1004:$S$1004,1,MATCH(COLUMNS($P$1006:Q1006),$P$1006:$S$1006,0)))),"Fix")))</f>
        <v>0</v>
      </c>
      <c r="D296" s="3">
        <f>IF(OR(INDEX($J$2:$J$1001,MATCH(ROWS($I$2:I296),$I$2:$I$1001,0),1)&gt;=100000,INDEX($P$1005:$S$1005,1,MATCH(COLUMNS($P$1006:R1006),$P$1006:$S$1006,0))&gt;=100000), " ",IF(INDEX($P$2:$S$1001,MATCH(ROWS($I$2:I296),$I$2:$I$1001,0),MATCH(COLUMNS($P$1006:R1006),$P$1006:$S$1006,0)), HYPERLINK("#",""), HYPERLINK(CONCATENATE("#metadata!", ADDRESS(INDEX($K$2:$K$1001,MATCH(ROWS($I$2:I296),$I$2:$I$1001,0),0), INDEX($P$1004:$S$1004,1,MATCH(COLUMNS($P$1006:R1006),$P$1006:$S$1006,0)))),"Fix")))</f>
        <v>0</v>
      </c>
      <c r="E296" s="3">
        <f>IF(OR(INDEX($J$2:$J$1001,MATCH(ROWS($I$2:I296),$I$2:$I$1001,0),1)&gt;=100000,INDEX($P$1005:$S$1005,1,MATCH(COLUMNS($P$1006:S1006),$P$1006:$S$1006,0))&gt;=100000), " ",IF(INDEX($P$2:$S$1001,MATCH(ROWS($I$2:I296),$I$2:$I$1001,0),MATCH(COLUMNS($P$1006:S1006),$P$1006:$S$1006,0)), HYPERLINK("#",""), HYPERLINK(CONCATENATE("#metadata!", ADDRESS(INDEX($K$2:$K$1001,MATCH(ROWS($I$2:I296),$I$2:$I$1001,0),0), INDEX($P$1004:$S$1004,1,MATCH(COLUMNS($P$1006:S1006),$P$1006:$S$1006,0)))),"Fix")))</f>
        <v>0</v>
      </c>
      <c r="I296">
        <v>0</v>
      </c>
      <c r="J296">
        <v>0</v>
      </c>
      <c r="K296">
        <v>0</v>
      </c>
      <c r="L296">
        <f>IF(M296,TRUE,AND(P296:S296))</f>
        <v>0</v>
      </c>
      <c r="M296">
        <f>COUNTBLANK(metadata!B296:E296)=COLUMNS(metadata!B296:E296)</f>
        <v>0</v>
      </c>
      <c r="N296">
        <v>0</v>
      </c>
      <c r="P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Q296">
        <f>AND(IF(metadata!C296="",FALSE,TRUE),exact(metadata!C296,"other"))</f>
        <v>0</v>
      </c>
      <c r="R296">
        <f>AND(IF(metadata!D296="",FALSE,TRUE),exact(metadata!D296,"metagenome"))</f>
        <v>0</v>
      </c>
      <c r="S296">
        <f>AND(IF(metadata!E296="",FALSE,TRUE),exact(metadata!E296,"256318"))</f>
        <v>0</v>
      </c>
    </row>
    <row r="297" spans="1:19">
      <c r="A297" s="4">
        <f>IF(B297=" "," ",HYPERLINK(CONCATENATE("#metadata!",ADDRESS(INDEX($K$2:$K$1001,MATCH(ROWS($I$2:I297),$I$2:$I$1001,0),0),1)),INDEX($N$2:$N$1001,MATCH(ROWS($I$2:I297),$I$2:$I$1001,0),0)))</f>
        <v>0</v>
      </c>
      <c r="B297" s="3">
        <f>IF(OR(INDEX($J$2:$J$1001,MATCH(ROWS($I$2:I297),$I$2:$I$1001,0),1)&gt;=100000,INDEX($P$1005:$S$1005,1,MATCH(COLUMNS($P$1006:P1006),$P$1006:$S$1006,0))&gt;=100000), " ",IF(INDEX($P$2:$S$1001,MATCH(ROWS($I$2:I297),$I$2:$I$1001,0),MATCH(COLUMNS($P$1006:P1006),$P$1006:$S$1006,0)), HYPERLINK("#",""), HYPERLINK(CONCATENATE("#metadata!", ADDRESS(INDEX($K$2:$K$1001,MATCH(ROWS($I$2:I297),$I$2:$I$1001,0),0), INDEX($P$1004:$S$1004,1,MATCH(COLUMNS($P$1006:P1006),$P$1006:$S$1006,0)))),"Fix")))</f>
        <v>0</v>
      </c>
      <c r="C297" s="3">
        <f>IF(OR(INDEX($J$2:$J$1001,MATCH(ROWS($I$2:I297),$I$2:$I$1001,0),1)&gt;=100000,INDEX($P$1005:$S$1005,1,MATCH(COLUMNS($P$1006:Q1006),$P$1006:$S$1006,0))&gt;=100000), " ",IF(INDEX($P$2:$S$1001,MATCH(ROWS($I$2:I297),$I$2:$I$1001,0),MATCH(COLUMNS($P$1006:Q1006),$P$1006:$S$1006,0)), HYPERLINK("#",""), HYPERLINK(CONCATENATE("#metadata!", ADDRESS(INDEX($K$2:$K$1001,MATCH(ROWS($I$2:I297),$I$2:$I$1001,0),0), INDEX($P$1004:$S$1004,1,MATCH(COLUMNS($P$1006:Q1006),$P$1006:$S$1006,0)))),"Fix")))</f>
        <v>0</v>
      </c>
      <c r="D297" s="3">
        <f>IF(OR(INDEX($J$2:$J$1001,MATCH(ROWS($I$2:I297),$I$2:$I$1001,0),1)&gt;=100000,INDEX($P$1005:$S$1005,1,MATCH(COLUMNS($P$1006:R1006),$P$1006:$S$1006,0))&gt;=100000), " ",IF(INDEX($P$2:$S$1001,MATCH(ROWS($I$2:I297),$I$2:$I$1001,0),MATCH(COLUMNS($P$1006:R1006),$P$1006:$S$1006,0)), HYPERLINK("#",""), HYPERLINK(CONCATENATE("#metadata!", ADDRESS(INDEX($K$2:$K$1001,MATCH(ROWS($I$2:I297),$I$2:$I$1001,0),0), INDEX($P$1004:$S$1004,1,MATCH(COLUMNS($P$1006:R1006),$P$1006:$S$1006,0)))),"Fix")))</f>
        <v>0</v>
      </c>
      <c r="E297" s="3">
        <f>IF(OR(INDEX($J$2:$J$1001,MATCH(ROWS($I$2:I297),$I$2:$I$1001,0),1)&gt;=100000,INDEX($P$1005:$S$1005,1,MATCH(COLUMNS($P$1006:S1006),$P$1006:$S$1006,0))&gt;=100000), " ",IF(INDEX($P$2:$S$1001,MATCH(ROWS($I$2:I297),$I$2:$I$1001,0),MATCH(COLUMNS($P$1006:S1006),$P$1006:$S$1006,0)), HYPERLINK("#",""), HYPERLINK(CONCATENATE("#metadata!", ADDRESS(INDEX($K$2:$K$1001,MATCH(ROWS($I$2:I297),$I$2:$I$1001,0),0), INDEX($P$1004:$S$1004,1,MATCH(COLUMNS($P$1006:S1006),$P$1006:$S$1006,0)))),"Fix")))</f>
        <v>0</v>
      </c>
      <c r="I297">
        <v>0</v>
      </c>
      <c r="J297">
        <v>0</v>
      </c>
      <c r="K297">
        <v>0</v>
      </c>
      <c r="L297">
        <f>IF(M297,TRUE,AND(P297:S297))</f>
        <v>0</v>
      </c>
      <c r="M297">
        <f>COUNTBLANK(metadata!B297:E297)=COLUMNS(metadata!B297:E297)</f>
        <v>0</v>
      </c>
      <c r="N297">
        <v>0</v>
      </c>
      <c r="P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Q297">
        <f>AND(IF(metadata!C297="",FALSE,TRUE),exact(metadata!C297,"other"))</f>
        <v>0</v>
      </c>
      <c r="R297">
        <f>AND(IF(metadata!D297="",FALSE,TRUE),exact(metadata!D297,"metagenome"))</f>
        <v>0</v>
      </c>
      <c r="S297">
        <f>AND(IF(metadata!E297="",FALSE,TRUE),exact(metadata!E297,"256318"))</f>
        <v>0</v>
      </c>
    </row>
    <row r="298" spans="1:19">
      <c r="A298" s="4">
        <f>IF(B298=" "," ",HYPERLINK(CONCATENATE("#metadata!",ADDRESS(INDEX($K$2:$K$1001,MATCH(ROWS($I$2:I298),$I$2:$I$1001,0),0),1)),INDEX($N$2:$N$1001,MATCH(ROWS($I$2:I298),$I$2:$I$1001,0),0)))</f>
        <v>0</v>
      </c>
      <c r="B298" s="3">
        <f>IF(OR(INDEX($J$2:$J$1001,MATCH(ROWS($I$2:I298),$I$2:$I$1001,0),1)&gt;=100000,INDEX($P$1005:$S$1005,1,MATCH(COLUMNS($P$1006:P1006),$P$1006:$S$1006,0))&gt;=100000), " ",IF(INDEX($P$2:$S$1001,MATCH(ROWS($I$2:I298),$I$2:$I$1001,0),MATCH(COLUMNS($P$1006:P1006),$P$1006:$S$1006,0)), HYPERLINK("#",""), HYPERLINK(CONCATENATE("#metadata!", ADDRESS(INDEX($K$2:$K$1001,MATCH(ROWS($I$2:I298),$I$2:$I$1001,0),0), INDEX($P$1004:$S$1004,1,MATCH(COLUMNS($P$1006:P1006),$P$1006:$S$1006,0)))),"Fix")))</f>
        <v>0</v>
      </c>
      <c r="C298" s="3">
        <f>IF(OR(INDEX($J$2:$J$1001,MATCH(ROWS($I$2:I298),$I$2:$I$1001,0),1)&gt;=100000,INDEX($P$1005:$S$1005,1,MATCH(COLUMNS($P$1006:Q1006),$P$1006:$S$1006,0))&gt;=100000), " ",IF(INDEX($P$2:$S$1001,MATCH(ROWS($I$2:I298),$I$2:$I$1001,0),MATCH(COLUMNS($P$1006:Q1006),$P$1006:$S$1006,0)), HYPERLINK("#",""), HYPERLINK(CONCATENATE("#metadata!", ADDRESS(INDEX($K$2:$K$1001,MATCH(ROWS($I$2:I298),$I$2:$I$1001,0),0), INDEX($P$1004:$S$1004,1,MATCH(COLUMNS($P$1006:Q1006),$P$1006:$S$1006,0)))),"Fix")))</f>
        <v>0</v>
      </c>
      <c r="D298" s="3">
        <f>IF(OR(INDEX($J$2:$J$1001,MATCH(ROWS($I$2:I298),$I$2:$I$1001,0),1)&gt;=100000,INDEX($P$1005:$S$1005,1,MATCH(COLUMNS($P$1006:R1006),$P$1006:$S$1006,0))&gt;=100000), " ",IF(INDEX($P$2:$S$1001,MATCH(ROWS($I$2:I298),$I$2:$I$1001,0),MATCH(COLUMNS($P$1006:R1006),$P$1006:$S$1006,0)), HYPERLINK("#",""), HYPERLINK(CONCATENATE("#metadata!", ADDRESS(INDEX($K$2:$K$1001,MATCH(ROWS($I$2:I298),$I$2:$I$1001,0),0), INDEX($P$1004:$S$1004,1,MATCH(COLUMNS($P$1006:R1006),$P$1006:$S$1006,0)))),"Fix")))</f>
        <v>0</v>
      </c>
      <c r="E298" s="3">
        <f>IF(OR(INDEX($J$2:$J$1001,MATCH(ROWS($I$2:I298),$I$2:$I$1001,0),1)&gt;=100000,INDEX($P$1005:$S$1005,1,MATCH(COLUMNS($P$1006:S1006),$P$1006:$S$1006,0))&gt;=100000), " ",IF(INDEX($P$2:$S$1001,MATCH(ROWS($I$2:I298),$I$2:$I$1001,0),MATCH(COLUMNS($P$1006:S1006),$P$1006:$S$1006,0)), HYPERLINK("#",""), HYPERLINK(CONCATENATE("#metadata!", ADDRESS(INDEX($K$2:$K$1001,MATCH(ROWS($I$2:I298),$I$2:$I$1001,0),0), INDEX($P$1004:$S$1004,1,MATCH(COLUMNS($P$1006:S1006),$P$1006:$S$1006,0)))),"Fix")))</f>
        <v>0</v>
      </c>
      <c r="I298">
        <v>0</v>
      </c>
      <c r="J298">
        <v>0</v>
      </c>
      <c r="K298">
        <v>0</v>
      </c>
      <c r="L298">
        <f>IF(M298,TRUE,AND(P298:S298))</f>
        <v>0</v>
      </c>
      <c r="M298">
        <f>COUNTBLANK(metadata!B298:E298)=COLUMNS(metadata!B298:E298)</f>
        <v>0</v>
      </c>
      <c r="N298">
        <v>0</v>
      </c>
      <c r="P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Q298">
        <f>AND(IF(metadata!C298="",FALSE,TRUE),exact(metadata!C298,"other"))</f>
        <v>0</v>
      </c>
      <c r="R298">
        <f>AND(IF(metadata!D298="",FALSE,TRUE),exact(metadata!D298,"metagenome"))</f>
        <v>0</v>
      </c>
      <c r="S298">
        <f>AND(IF(metadata!E298="",FALSE,TRUE),exact(metadata!E298,"256318"))</f>
        <v>0</v>
      </c>
    </row>
    <row r="299" spans="1:19">
      <c r="A299" s="4">
        <f>IF(B299=" "," ",HYPERLINK(CONCATENATE("#metadata!",ADDRESS(INDEX($K$2:$K$1001,MATCH(ROWS($I$2:I299),$I$2:$I$1001,0),0),1)),INDEX($N$2:$N$1001,MATCH(ROWS($I$2:I299),$I$2:$I$1001,0),0)))</f>
        <v>0</v>
      </c>
      <c r="B299" s="3">
        <f>IF(OR(INDEX($J$2:$J$1001,MATCH(ROWS($I$2:I299),$I$2:$I$1001,0),1)&gt;=100000,INDEX($P$1005:$S$1005,1,MATCH(COLUMNS($P$1006:P1006),$P$1006:$S$1006,0))&gt;=100000), " ",IF(INDEX($P$2:$S$1001,MATCH(ROWS($I$2:I299),$I$2:$I$1001,0),MATCH(COLUMNS($P$1006:P1006),$P$1006:$S$1006,0)), HYPERLINK("#",""), HYPERLINK(CONCATENATE("#metadata!", ADDRESS(INDEX($K$2:$K$1001,MATCH(ROWS($I$2:I299),$I$2:$I$1001,0),0), INDEX($P$1004:$S$1004,1,MATCH(COLUMNS($P$1006:P1006),$P$1006:$S$1006,0)))),"Fix")))</f>
        <v>0</v>
      </c>
      <c r="C299" s="3">
        <f>IF(OR(INDEX($J$2:$J$1001,MATCH(ROWS($I$2:I299),$I$2:$I$1001,0),1)&gt;=100000,INDEX($P$1005:$S$1005,1,MATCH(COLUMNS($P$1006:Q1006),$P$1006:$S$1006,0))&gt;=100000), " ",IF(INDEX($P$2:$S$1001,MATCH(ROWS($I$2:I299),$I$2:$I$1001,0),MATCH(COLUMNS($P$1006:Q1006),$P$1006:$S$1006,0)), HYPERLINK("#",""), HYPERLINK(CONCATENATE("#metadata!", ADDRESS(INDEX($K$2:$K$1001,MATCH(ROWS($I$2:I299),$I$2:$I$1001,0),0), INDEX($P$1004:$S$1004,1,MATCH(COLUMNS($P$1006:Q1006),$P$1006:$S$1006,0)))),"Fix")))</f>
        <v>0</v>
      </c>
      <c r="D299" s="3">
        <f>IF(OR(INDEX($J$2:$J$1001,MATCH(ROWS($I$2:I299),$I$2:$I$1001,0),1)&gt;=100000,INDEX($P$1005:$S$1005,1,MATCH(COLUMNS($P$1006:R1006),$P$1006:$S$1006,0))&gt;=100000), " ",IF(INDEX($P$2:$S$1001,MATCH(ROWS($I$2:I299),$I$2:$I$1001,0),MATCH(COLUMNS($P$1006:R1006),$P$1006:$S$1006,0)), HYPERLINK("#",""), HYPERLINK(CONCATENATE("#metadata!", ADDRESS(INDEX($K$2:$K$1001,MATCH(ROWS($I$2:I299),$I$2:$I$1001,0),0), INDEX($P$1004:$S$1004,1,MATCH(COLUMNS($P$1006:R1006),$P$1006:$S$1006,0)))),"Fix")))</f>
        <v>0</v>
      </c>
      <c r="E299" s="3">
        <f>IF(OR(INDEX($J$2:$J$1001,MATCH(ROWS($I$2:I299),$I$2:$I$1001,0),1)&gt;=100000,INDEX($P$1005:$S$1005,1,MATCH(COLUMNS($P$1006:S1006),$P$1006:$S$1006,0))&gt;=100000), " ",IF(INDEX($P$2:$S$1001,MATCH(ROWS($I$2:I299),$I$2:$I$1001,0),MATCH(COLUMNS($P$1006:S1006),$P$1006:$S$1006,0)), HYPERLINK("#",""), HYPERLINK(CONCATENATE("#metadata!", ADDRESS(INDEX($K$2:$K$1001,MATCH(ROWS($I$2:I299),$I$2:$I$1001,0),0), INDEX($P$1004:$S$1004,1,MATCH(COLUMNS($P$1006:S1006),$P$1006:$S$1006,0)))),"Fix")))</f>
        <v>0</v>
      </c>
      <c r="I299">
        <v>0</v>
      </c>
      <c r="J299">
        <v>0</v>
      </c>
      <c r="K299">
        <v>0</v>
      </c>
      <c r="L299">
        <f>IF(M299,TRUE,AND(P299:S299))</f>
        <v>0</v>
      </c>
      <c r="M299">
        <f>COUNTBLANK(metadata!B299:E299)=COLUMNS(metadata!B299:E299)</f>
        <v>0</v>
      </c>
      <c r="N299">
        <v>0</v>
      </c>
      <c r="P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Q299">
        <f>AND(IF(metadata!C299="",FALSE,TRUE),exact(metadata!C299,"other"))</f>
        <v>0</v>
      </c>
      <c r="R299">
        <f>AND(IF(metadata!D299="",FALSE,TRUE),exact(metadata!D299,"metagenome"))</f>
        <v>0</v>
      </c>
      <c r="S299">
        <f>AND(IF(metadata!E299="",FALSE,TRUE),exact(metadata!E299,"256318"))</f>
        <v>0</v>
      </c>
    </row>
    <row r="300" spans="1:19">
      <c r="A300" s="4">
        <f>IF(B300=" "," ",HYPERLINK(CONCATENATE("#metadata!",ADDRESS(INDEX($K$2:$K$1001,MATCH(ROWS($I$2:I300),$I$2:$I$1001,0),0),1)),INDEX($N$2:$N$1001,MATCH(ROWS($I$2:I300),$I$2:$I$1001,0),0)))</f>
        <v>0</v>
      </c>
      <c r="B300" s="3">
        <f>IF(OR(INDEX($J$2:$J$1001,MATCH(ROWS($I$2:I300),$I$2:$I$1001,0),1)&gt;=100000,INDEX($P$1005:$S$1005,1,MATCH(COLUMNS($P$1006:P1006),$P$1006:$S$1006,0))&gt;=100000), " ",IF(INDEX($P$2:$S$1001,MATCH(ROWS($I$2:I300),$I$2:$I$1001,0),MATCH(COLUMNS($P$1006:P1006),$P$1006:$S$1006,0)), HYPERLINK("#",""), HYPERLINK(CONCATENATE("#metadata!", ADDRESS(INDEX($K$2:$K$1001,MATCH(ROWS($I$2:I300),$I$2:$I$1001,0),0), INDEX($P$1004:$S$1004,1,MATCH(COLUMNS($P$1006:P1006),$P$1006:$S$1006,0)))),"Fix")))</f>
        <v>0</v>
      </c>
      <c r="C300" s="3">
        <f>IF(OR(INDEX($J$2:$J$1001,MATCH(ROWS($I$2:I300),$I$2:$I$1001,0),1)&gt;=100000,INDEX($P$1005:$S$1005,1,MATCH(COLUMNS($P$1006:Q1006),$P$1006:$S$1006,0))&gt;=100000), " ",IF(INDEX($P$2:$S$1001,MATCH(ROWS($I$2:I300),$I$2:$I$1001,0),MATCH(COLUMNS($P$1006:Q1006),$P$1006:$S$1006,0)), HYPERLINK("#",""), HYPERLINK(CONCATENATE("#metadata!", ADDRESS(INDEX($K$2:$K$1001,MATCH(ROWS($I$2:I300),$I$2:$I$1001,0),0), INDEX($P$1004:$S$1004,1,MATCH(COLUMNS($P$1006:Q1006),$P$1006:$S$1006,0)))),"Fix")))</f>
        <v>0</v>
      </c>
      <c r="D300" s="3">
        <f>IF(OR(INDEX($J$2:$J$1001,MATCH(ROWS($I$2:I300),$I$2:$I$1001,0),1)&gt;=100000,INDEX($P$1005:$S$1005,1,MATCH(COLUMNS($P$1006:R1006),$P$1006:$S$1006,0))&gt;=100000), " ",IF(INDEX($P$2:$S$1001,MATCH(ROWS($I$2:I300),$I$2:$I$1001,0),MATCH(COLUMNS($P$1006:R1006),$P$1006:$S$1006,0)), HYPERLINK("#",""), HYPERLINK(CONCATENATE("#metadata!", ADDRESS(INDEX($K$2:$K$1001,MATCH(ROWS($I$2:I300),$I$2:$I$1001,0),0), INDEX($P$1004:$S$1004,1,MATCH(COLUMNS($P$1006:R1006),$P$1006:$S$1006,0)))),"Fix")))</f>
        <v>0</v>
      </c>
      <c r="E300" s="3">
        <f>IF(OR(INDEX($J$2:$J$1001,MATCH(ROWS($I$2:I300),$I$2:$I$1001,0),1)&gt;=100000,INDEX($P$1005:$S$1005,1,MATCH(COLUMNS($P$1006:S1006),$P$1006:$S$1006,0))&gt;=100000), " ",IF(INDEX($P$2:$S$1001,MATCH(ROWS($I$2:I300),$I$2:$I$1001,0),MATCH(COLUMNS($P$1006:S1006),$P$1006:$S$1006,0)), HYPERLINK("#",""), HYPERLINK(CONCATENATE("#metadata!", ADDRESS(INDEX($K$2:$K$1001,MATCH(ROWS($I$2:I300),$I$2:$I$1001,0),0), INDEX($P$1004:$S$1004,1,MATCH(COLUMNS($P$1006:S1006),$P$1006:$S$1006,0)))),"Fix")))</f>
        <v>0</v>
      </c>
      <c r="I300">
        <v>0</v>
      </c>
      <c r="J300">
        <v>0</v>
      </c>
      <c r="K300">
        <v>0</v>
      </c>
      <c r="L300">
        <f>IF(M300,TRUE,AND(P300:S300))</f>
        <v>0</v>
      </c>
      <c r="M300">
        <f>COUNTBLANK(metadata!B300:E300)=COLUMNS(metadata!B300:E300)</f>
        <v>0</v>
      </c>
      <c r="N300">
        <v>0</v>
      </c>
      <c r="P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Q300">
        <f>AND(IF(metadata!C300="",FALSE,TRUE),exact(metadata!C300,"other"))</f>
        <v>0</v>
      </c>
      <c r="R300">
        <f>AND(IF(metadata!D300="",FALSE,TRUE),exact(metadata!D300,"metagenome"))</f>
        <v>0</v>
      </c>
      <c r="S300">
        <f>AND(IF(metadata!E300="",FALSE,TRUE),exact(metadata!E300,"256318"))</f>
        <v>0</v>
      </c>
    </row>
    <row r="301" spans="1:19">
      <c r="A301" s="4">
        <f>IF(B301=" "," ",HYPERLINK(CONCATENATE("#metadata!",ADDRESS(INDEX($K$2:$K$1001,MATCH(ROWS($I$2:I301),$I$2:$I$1001,0),0),1)),INDEX($N$2:$N$1001,MATCH(ROWS($I$2:I301),$I$2:$I$1001,0),0)))</f>
        <v>0</v>
      </c>
      <c r="B301" s="3">
        <f>IF(OR(INDEX($J$2:$J$1001,MATCH(ROWS($I$2:I301),$I$2:$I$1001,0),1)&gt;=100000,INDEX($P$1005:$S$1005,1,MATCH(COLUMNS($P$1006:P1006),$P$1006:$S$1006,0))&gt;=100000), " ",IF(INDEX($P$2:$S$1001,MATCH(ROWS($I$2:I301),$I$2:$I$1001,0),MATCH(COLUMNS($P$1006:P1006),$P$1006:$S$1006,0)), HYPERLINK("#",""), HYPERLINK(CONCATENATE("#metadata!", ADDRESS(INDEX($K$2:$K$1001,MATCH(ROWS($I$2:I301),$I$2:$I$1001,0),0), INDEX($P$1004:$S$1004,1,MATCH(COLUMNS($P$1006:P1006),$P$1006:$S$1006,0)))),"Fix")))</f>
        <v>0</v>
      </c>
      <c r="C301" s="3">
        <f>IF(OR(INDEX($J$2:$J$1001,MATCH(ROWS($I$2:I301),$I$2:$I$1001,0),1)&gt;=100000,INDEX($P$1005:$S$1005,1,MATCH(COLUMNS($P$1006:Q1006),$P$1006:$S$1006,0))&gt;=100000), " ",IF(INDEX($P$2:$S$1001,MATCH(ROWS($I$2:I301),$I$2:$I$1001,0),MATCH(COLUMNS($P$1006:Q1006),$P$1006:$S$1006,0)), HYPERLINK("#",""), HYPERLINK(CONCATENATE("#metadata!", ADDRESS(INDEX($K$2:$K$1001,MATCH(ROWS($I$2:I301),$I$2:$I$1001,0),0), INDEX($P$1004:$S$1004,1,MATCH(COLUMNS($P$1006:Q1006),$P$1006:$S$1006,0)))),"Fix")))</f>
        <v>0</v>
      </c>
      <c r="D301" s="3">
        <f>IF(OR(INDEX($J$2:$J$1001,MATCH(ROWS($I$2:I301),$I$2:$I$1001,0),1)&gt;=100000,INDEX($P$1005:$S$1005,1,MATCH(COLUMNS($P$1006:R1006),$P$1006:$S$1006,0))&gt;=100000), " ",IF(INDEX($P$2:$S$1001,MATCH(ROWS($I$2:I301),$I$2:$I$1001,0),MATCH(COLUMNS($P$1006:R1006),$P$1006:$S$1006,0)), HYPERLINK("#",""), HYPERLINK(CONCATENATE("#metadata!", ADDRESS(INDEX($K$2:$K$1001,MATCH(ROWS($I$2:I301),$I$2:$I$1001,0),0), INDEX($P$1004:$S$1004,1,MATCH(COLUMNS($P$1006:R1006),$P$1006:$S$1006,0)))),"Fix")))</f>
        <v>0</v>
      </c>
      <c r="E301" s="3">
        <f>IF(OR(INDEX($J$2:$J$1001,MATCH(ROWS($I$2:I301),$I$2:$I$1001,0),1)&gt;=100000,INDEX($P$1005:$S$1005,1,MATCH(COLUMNS($P$1006:S1006),$P$1006:$S$1006,0))&gt;=100000), " ",IF(INDEX($P$2:$S$1001,MATCH(ROWS($I$2:I301),$I$2:$I$1001,0),MATCH(COLUMNS($P$1006:S1006),$P$1006:$S$1006,0)), HYPERLINK("#",""), HYPERLINK(CONCATENATE("#metadata!", ADDRESS(INDEX($K$2:$K$1001,MATCH(ROWS($I$2:I301),$I$2:$I$1001,0),0), INDEX($P$1004:$S$1004,1,MATCH(COLUMNS($P$1006:S1006),$P$1006:$S$1006,0)))),"Fix")))</f>
        <v>0</v>
      </c>
      <c r="I301">
        <v>0</v>
      </c>
      <c r="J301">
        <v>0</v>
      </c>
      <c r="K301">
        <v>0</v>
      </c>
      <c r="L301">
        <f>IF(M301,TRUE,AND(P301:S301))</f>
        <v>0</v>
      </c>
      <c r="M301">
        <f>COUNTBLANK(metadata!B301:E301)=COLUMNS(metadata!B301:E301)</f>
        <v>0</v>
      </c>
      <c r="N301">
        <v>0</v>
      </c>
      <c r="P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Q301">
        <f>AND(IF(metadata!C301="",FALSE,TRUE),exact(metadata!C301,"other"))</f>
        <v>0</v>
      </c>
      <c r="R301">
        <f>AND(IF(metadata!D301="",FALSE,TRUE),exact(metadata!D301,"metagenome"))</f>
        <v>0</v>
      </c>
      <c r="S301">
        <f>AND(IF(metadata!E301="",FALSE,TRUE),exact(metadata!E301,"256318"))</f>
        <v>0</v>
      </c>
    </row>
    <row r="302" spans="1:19">
      <c r="A302" s="4">
        <f>IF(B302=" "," ",HYPERLINK(CONCATENATE("#metadata!",ADDRESS(INDEX($K$2:$K$1001,MATCH(ROWS($I$2:I302),$I$2:$I$1001,0),0),1)),INDEX($N$2:$N$1001,MATCH(ROWS($I$2:I302),$I$2:$I$1001,0),0)))</f>
        <v>0</v>
      </c>
      <c r="B302" s="3">
        <f>IF(OR(INDEX($J$2:$J$1001,MATCH(ROWS($I$2:I302),$I$2:$I$1001,0),1)&gt;=100000,INDEX($P$1005:$S$1005,1,MATCH(COLUMNS($P$1006:P1006),$P$1006:$S$1006,0))&gt;=100000), " ",IF(INDEX($P$2:$S$1001,MATCH(ROWS($I$2:I302),$I$2:$I$1001,0),MATCH(COLUMNS($P$1006:P1006),$P$1006:$S$1006,0)), HYPERLINK("#",""), HYPERLINK(CONCATENATE("#metadata!", ADDRESS(INDEX($K$2:$K$1001,MATCH(ROWS($I$2:I302),$I$2:$I$1001,0),0), INDEX($P$1004:$S$1004,1,MATCH(COLUMNS($P$1006:P1006),$P$1006:$S$1006,0)))),"Fix")))</f>
        <v>0</v>
      </c>
      <c r="C302" s="3">
        <f>IF(OR(INDEX($J$2:$J$1001,MATCH(ROWS($I$2:I302),$I$2:$I$1001,0),1)&gt;=100000,INDEX($P$1005:$S$1005,1,MATCH(COLUMNS($P$1006:Q1006),$P$1006:$S$1006,0))&gt;=100000), " ",IF(INDEX($P$2:$S$1001,MATCH(ROWS($I$2:I302),$I$2:$I$1001,0),MATCH(COLUMNS($P$1006:Q1006),$P$1006:$S$1006,0)), HYPERLINK("#",""), HYPERLINK(CONCATENATE("#metadata!", ADDRESS(INDEX($K$2:$K$1001,MATCH(ROWS($I$2:I302),$I$2:$I$1001,0),0), INDEX($P$1004:$S$1004,1,MATCH(COLUMNS($P$1006:Q1006),$P$1006:$S$1006,0)))),"Fix")))</f>
        <v>0</v>
      </c>
      <c r="D302" s="3">
        <f>IF(OR(INDEX($J$2:$J$1001,MATCH(ROWS($I$2:I302),$I$2:$I$1001,0),1)&gt;=100000,INDEX($P$1005:$S$1005,1,MATCH(COLUMNS($P$1006:R1006),$P$1006:$S$1006,0))&gt;=100000), " ",IF(INDEX($P$2:$S$1001,MATCH(ROWS($I$2:I302),$I$2:$I$1001,0),MATCH(COLUMNS($P$1006:R1006),$P$1006:$S$1006,0)), HYPERLINK("#",""), HYPERLINK(CONCATENATE("#metadata!", ADDRESS(INDEX($K$2:$K$1001,MATCH(ROWS($I$2:I302),$I$2:$I$1001,0),0), INDEX($P$1004:$S$1004,1,MATCH(COLUMNS($P$1006:R1006),$P$1006:$S$1006,0)))),"Fix")))</f>
        <v>0</v>
      </c>
      <c r="E302" s="3">
        <f>IF(OR(INDEX($J$2:$J$1001,MATCH(ROWS($I$2:I302),$I$2:$I$1001,0),1)&gt;=100000,INDEX($P$1005:$S$1005,1,MATCH(COLUMNS($P$1006:S1006),$P$1006:$S$1006,0))&gt;=100000), " ",IF(INDEX($P$2:$S$1001,MATCH(ROWS($I$2:I302),$I$2:$I$1001,0),MATCH(COLUMNS($P$1006:S1006),$P$1006:$S$1006,0)), HYPERLINK("#",""), HYPERLINK(CONCATENATE("#metadata!", ADDRESS(INDEX($K$2:$K$1001,MATCH(ROWS($I$2:I302),$I$2:$I$1001,0),0), INDEX($P$1004:$S$1004,1,MATCH(COLUMNS($P$1006:S1006),$P$1006:$S$1006,0)))),"Fix")))</f>
        <v>0</v>
      </c>
      <c r="I302">
        <v>0</v>
      </c>
      <c r="J302">
        <v>0</v>
      </c>
      <c r="K302">
        <v>0</v>
      </c>
      <c r="L302">
        <f>IF(M302,TRUE,AND(P302:S302))</f>
        <v>0</v>
      </c>
      <c r="M302">
        <f>COUNTBLANK(metadata!B302:E302)=COLUMNS(metadata!B302:E302)</f>
        <v>0</v>
      </c>
      <c r="N302">
        <v>0</v>
      </c>
      <c r="P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Q302">
        <f>AND(IF(metadata!C302="",FALSE,TRUE),exact(metadata!C302,"other"))</f>
        <v>0</v>
      </c>
      <c r="R302">
        <f>AND(IF(metadata!D302="",FALSE,TRUE),exact(metadata!D302,"metagenome"))</f>
        <v>0</v>
      </c>
      <c r="S302">
        <f>AND(IF(metadata!E302="",FALSE,TRUE),exact(metadata!E302,"256318"))</f>
        <v>0</v>
      </c>
    </row>
    <row r="303" spans="1:19">
      <c r="A303" s="4">
        <f>IF(B303=" "," ",HYPERLINK(CONCATENATE("#metadata!",ADDRESS(INDEX($K$2:$K$1001,MATCH(ROWS($I$2:I303),$I$2:$I$1001,0),0),1)),INDEX($N$2:$N$1001,MATCH(ROWS($I$2:I303),$I$2:$I$1001,0),0)))</f>
        <v>0</v>
      </c>
      <c r="B303" s="3">
        <f>IF(OR(INDEX($J$2:$J$1001,MATCH(ROWS($I$2:I303),$I$2:$I$1001,0),1)&gt;=100000,INDEX($P$1005:$S$1005,1,MATCH(COLUMNS($P$1006:P1006),$P$1006:$S$1006,0))&gt;=100000), " ",IF(INDEX($P$2:$S$1001,MATCH(ROWS($I$2:I303),$I$2:$I$1001,0),MATCH(COLUMNS($P$1006:P1006),$P$1006:$S$1006,0)), HYPERLINK("#",""), HYPERLINK(CONCATENATE("#metadata!", ADDRESS(INDEX($K$2:$K$1001,MATCH(ROWS($I$2:I303),$I$2:$I$1001,0),0), INDEX($P$1004:$S$1004,1,MATCH(COLUMNS($P$1006:P1006),$P$1006:$S$1006,0)))),"Fix")))</f>
        <v>0</v>
      </c>
      <c r="C303" s="3">
        <f>IF(OR(INDEX($J$2:$J$1001,MATCH(ROWS($I$2:I303),$I$2:$I$1001,0),1)&gt;=100000,INDEX($P$1005:$S$1005,1,MATCH(COLUMNS($P$1006:Q1006),$P$1006:$S$1006,0))&gt;=100000), " ",IF(INDEX($P$2:$S$1001,MATCH(ROWS($I$2:I303),$I$2:$I$1001,0),MATCH(COLUMNS($P$1006:Q1006),$P$1006:$S$1006,0)), HYPERLINK("#",""), HYPERLINK(CONCATENATE("#metadata!", ADDRESS(INDEX($K$2:$K$1001,MATCH(ROWS($I$2:I303),$I$2:$I$1001,0),0), INDEX($P$1004:$S$1004,1,MATCH(COLUMNS($P$1006:Q1006),$P$1006:$S$1006,0)))),"Fix")))</f>
        <v>0</v>
      </c>
      <c r="D303" s="3">
        <f>IF(OR(INDEX($J$2:$J$1001,MATCH(ROWS($I$2:I303),$I$2:$I$1001,0),1)&gt;=100000,INDEX($P$1005:$S$1005,1,MATCH(COLUMNS($P$1006:R1006),$P$1006:$S$1006,0))&gt;=100000), " ",IF(INDEX($P$2:$S$1001,MATCH(ROWS($I$2:I303),$I$2:$I$1001,0),MATCH(COLUMNS($P$1006:R1006),$P$1006:$S$1006,0)), HYPERLINK("#",""), HYPERLINK(CONCATENATE("#metadata!", ADDRESS(INDEX($K$2:$K$1001,MATCH(ROWS($I$2:I303),$I$2:$I$1001,0),0), INDEX($P$1004:$S$1004,1,MATCH(COLUMNS($P$1006:R1006),$P$1006:$S$1006,0)))),"Fix")))</f>
        <v>0</v>
      </c>
      <c r="E303" s="3">
        <f>IF(OR(INDEX($J$2:$J$1001,MATCH(ROWS($I$2:I303),$I$2:$I$1001,0),1)&gt;=100000,INDEX($P$1005:$S$1005,1,MATCH(COLUMNS($P$1006:S1006),$P$1006:$S$1006,0))&gt;=100000), " ",IF(INDEX($P$2:$S$1001,MATCH(ROWS($I$2:I303),$I$2:$I$1001,0),MATCH(COLUMNS($P$1006:S1006),$P$1006:$S$1006,0)), HYPERLINK("#",""), HYPERLINK(CONCATENATE("#metadata!", ADDRESS(INDEX($K$2:$K$1001,MATCH(ROWS($I$2:I303),$I$2:$I$1001,0),0), INDEX($P$1004:$S$1004,1,MATCH(COLUMNS($P$1006:S1006),$P$1006:$S$1006,0)))),"Fix")))</f>
        <v>0</v>
      </c>
      <c r="I303">
        <v>0</v>
      </c>
      <c r="J303">
        <v>0</v>
      </c>
      <c r="K303">
        <v>0</v>
      </c>
      <c r="L303">
        <f>IF(M303,TRUE,AND(P303:S303))</f>
        <v>0</v>
      </c>
      <c r="M303">
        <f>COUNTBLANK(metadata!B303:E303)=COLUMNS(metadata!B303:E303)</f>
        <v>0</v>
      </c>
      <c r="N303">
        <v>0</v>
      </c>
      <c r="P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Q303">
        <f>AND(IF(metadata!C303="",FALSE,TRUE),exact(metadata!C303,"other"))</f>
        <v>0</v>
      </c>
      <c r="R303">
        <f>AND(IF(metadata!D303="",FALSE,TRUE),exact(metadata!D303,"metagenome"))</f>
        <v>0</v>
      </c>
      <c r="S303">
        <f>AND(IF(metadata!E303="",FALSE,TRUE),exact(metadata!E303,"256318"))</f>
        <v>0</v>
      </c>
    </row>
    <row r="304" spans="1:19">
      <c r="A304" s="4">
        <f>IF(B304=" "," ",HYPERLINK(CONCATENATE("#metadata!",ADDRESS(INDEX($K$2:$K$1001,MATCH(ROWS($I$2:I304),$I$2:$I$1001,0),0),1)),INDEX($N$2:$N$1001,MATCH(ROWS($I$2:I304),$I$2:$I$1001,0),0)))</f>
        <v>0</v>
      </c>
      <c r="B304" s="3">
        <f>IF(OR(INDEX($J$2:$J$1001,MATCH(ROWS($I$2:I304),$I$2:$I$1001,0),1)&gt;=100000,INDEX($P$1005:$S$1005,1,MATCH(COLUMNS($P$1006:P1006),$P$1006:$S$1006,0))&gt;=100000), " ",IF(INDEX($P$2:$S$1001,MATCH(ROWS($I$2:I304),$I$2:$I$1001,0),MATCH(COLUMNS($P$1006:P1006),$P$1006:$S$1006,0)), HYPERLINK("#",""), HYPERLINK(CONCATENATE("#metadata!", ADDRESS(INDEX($K$2:$K$1001,MATCH(ROWS($I$2:I304),$I$2:$I$1001,0),0), INDEX($P$1004:$S$1004,1,MATCH(COLUMNS($P$1006:P1006),$P$1006:$S$1006,0)))),"Fix")))</f>
        <v>0</v>
      </c>
      <c r="C304" s="3">
        <f>IF(OR(INDEX($J$2:$J$1001,MATCH(ROWS($I$2:I304),$I$2:$I$1001,0),1)&gt;=100000,INDEX($P$1005:$S$1005,1,MATCH(COLUMNS($P$1006:Q1006),$P$1006:$S$1006,0))&gt;=100000), " ",IF(INDEX($P$2:$S$1001,MATCH(ROWS($I$2:I304),$I$2:$I$1001,0),MATCH(COLUMNS($P$1006:Q1006),$P$1006:$S$1006,0)), HYPERLINK("#",""), HYPERLINK(CONCATENATE("#metadata!", ADDRESS(INDEX($K$2:$K$1001,MATCH(ROWS($I$2:I304),$I$2:$I$1001,0),0), INDEX($P$1004:$S$1004,1,MATCH(COLUMNS($P$1006:Q1006),$P$1006:$S$1006,0)))),"Fix")))</f>
        <v>0</v>
      </c>
      <c r="D304" s="3">
        <f>IF(OR(INDEX($J$2:$J$1001,MATCH(ROWS($I$2:I304),$I$2:$I$1001,0),1)&gt;=100000,INDEX($P$1005:$S$1005,1,MATCH(COLUMNS($P$1006:R1006),$P$1006:$S$1006,0))&gt;=100000), " ",IF(INDEX($P$2:$S$1001,MATCH(ROWS($I$2:I304),$I$2:$I$1001,0),MATCH(COLUMNS($P$1006:R1006),$P$1006:$S$1006,0)), HYPERLINK("#",""), HYPERLINK(CONCATENATE("#metadata!", ADDRESS(INDEX($K$2:$K$1001,MATCH(ROWS($I$2:I304),$I$2:$I$1001,0),0), INDEX($P$1004:$S$1004,1,MATCH(COLUMNS($P$1006:R1006),$P$1006:$S$1006,0)))),"Fix")))</f>
        <v>0</v>
      </c>
      <c r="E304" s="3">
        <f>IF(OR(INDEX($J$2:$J$1001,MATCH(ROWS($I$2:I304),$I$2:$I$1001,0),1)&gt;=100000,INDEX($P$1005:$S$1005,1,MATCH(COLUMNS($P$1006:S1006),$P$1006:$S$1006,0))&gt;=100000), " ",IF(INDEX($P$2:$S$1001,MATCH(ROWS($I$2:I304),$I$2:$I$1001,0),MATCH(COLUMNS($P$1006:S1006),$P$1006:$S$1006,0)), HYPERLINK("#",""), HYPERLINK(CONCATENATE("#metadata!", ADDRESS(INDEX($K$2:$K$1001,MATCH(ROWS($I$2:I304),$I$2:$I$1001,0),0), INDEX($P$1004:$S$1004,1,MATCH(COLUMNS($P$1006:S1006),$P$1006:$S$1006,0)))),"Fix")))</f>
        <v>0</v>
      </c>
      <c r="I304">
        <v>0</v>
      </c>
      <c r="J304">
        <v>0</v>
      </c>
      <c r="K304">
        <v>0</v>
      </c>
      <c r="L304">
        <f>IF(M304,TRUE,AND(P304:S304))</f>
        <v>0</v>
      </c>
      <c r="M304">
        <f>COUNTBLANK(metadata!B304:E304)=COLUMNS(metadata!B304:E304)</f>
        <v>0</v>
      </c>
      <c r="N304">
        <v>0</v>
      </c>
      <c r="P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Q304">
        <f>AND(IF(metadata!C304="",FALSE,TRUE),exact(metadata!C304,"other"))</f>
        <v>0</v>
      </c>
      <c r="R304">
        <f>AND(IF(metadata!D304="",FALSE,TRUE),exact(metadata!D304,"metagenome"))</f>
        <v>0</v>
      </c>
      <c r="S304">
        <f>AND(IF(metadata!E304="",FALSE,TRUE),exact(metadata!E304,"256318"))</f>
        <v>0</v>
      </c>
    </row>
    <row r="305" spans="1:19">
      <c r="A305" s="4">
        <f>IF(B305=" "," ",HYPERLINK(CONCATENATE("#metadata!",ADDRESS(INDEX($K$2:$K$1001,MATCH(ROWS($I$2:I305),$I$2:$I$1001,0),0),1)),INDEX($N$2:$N$1001,MATCH(ROWS($I$2:I305),$I$2:$I$1001,0),0)))</f>
        <v>0</v>
      </c>
      <c r="B305" s="3">
        <f>IF(OR(INDEX($J$2:$J$1001,MATCH(ROWS($I$2:I305),$I$2:$I$1001,0),1)&gt;=100000,INDEX($P$1005:$S$1005,1,MATCH(COLUMNS($P$1006:P1006),$P$1006:$S$1006,0))&gt;=100000), " ",IF(INDEX($P$2:$S$1001,MATCH(ROWS($I$2:I305),$I$2:$I$1001,0),MATCH(COLUMNS($P$1006:P1006),$P$1006:$S$1006,0)), HYPERLINK("#",""), HYPERLINK(CONCATENATE("#metadata!", ADDRESS(INDEX($K$2:$K$1001,MATCH(ROWS($I$2:I305),$I$2:$I$1001,0),0), INDEX($P$1004:$S$1004,1,MATCH(COLUMNS($P$1006:P1006),$P$1006:$S$1006,0)))),"Fix")))</f>
        <v>0</v>
      </c>
      <c r="C305" s="3">
        <f>IF(OR(INDEX($J$2:$J$1001,MATCH(ROWS($I$2:I305),$I$2:$I$1001,0),1)&gt;=100000,INDEX($P$1005:$S$1005,1,MATCH(COLUMNS($P$1006:Q1006),$P$1006:$S$1006,0))&gt;=100000), " ",IF(INDEX($P$2:$S$1001,MATCH(ROWS($I$2:I305),$I$2:$I$1001,0),MATCH(COLUMNS($P$1006:Q1006),$P$1006:$S$1006,0)), HYPERLINK("#",""), HYPERLINK(CONCATENATE("#metadata!", ADDRESS(INDEX($K$2:$K$1001,MATCH(ROWS($I$2:I305),$I$2:$I$1001,0),0), INDEX($P$1004:$S$1004,1,MATCH(COLUMNS($P$1006:Q1006),$P$1006:$S$1006,0)))),"Fix")))</f>
        <v>0</v>
      </c>
      <c r="D305" s="3">
        <f>IF(OR(INDEX($J$2:$J$1001,MATCH(ROWS($I$2:I305),$I$2:$I$1001,0),1)&gt;=100000,INDEX($P$1005:$S$1005,1,MATCH(COLUMNS($P$1006:R1006),$P$1006:$S$1006,0))&gt;=100000), " ",IF(INDEX($P$2:$S$1001,MATCH(ROWS($I$2:I305),$I$2:$I$1001,0),MATCH(COLUMNS($P$1006:R1006),$P$1006:$S$1006,0)), HYPERLINK("#",""), HYPERLINK(CONCATENATE("#metadata!", ADDRESS(INDEX($K$2:$K$1001,MATCH(ROWS($I$2:I305),$I$2:$I$1001,0),0), INDEX($P$1004:$S$1004,1,MATCH(COLUMNS($P$1006:R1006),$P$1006:$S$1006,0)))),"Fix")))</f>
        <v>0</v>
      </c>
      <c r="E305" s="3">
        <f>IF(OR(INDEX($J$2:$J$1001,MATCH(ROWS($I$2:I305),$I$2:$I$1001,0),1)&gt;=100000,INDEX($P$1005:$S$1005,1,MATCH(COLUMNS($P$1006:S1006),$P$1006:$S$1006,0))&gt;=100000), " ",IF(INDEX($P$2:$S$1001,MATCH(ROWS($I$2:I305),$I$2:$I$1001,0),MATCH(COLUMNS($P$1006:S1006),$P$1006:$S$1006,0)), HYPERLINK("#",""), HYPERLINK(CONCATENATE("#metadata!", ADDRESS(INDEX($K$2:$K$1001,MATCH(ROWS($I$2:I305),$I$2:$I$1001,0),0), INDEX($P$1004:$S$1004,1,MATCH(COLUMNS($P$1006:S1006),$P$1006:$S$1006,0)))),"Fix")))</f>
        <v>0</v>
      </c>
      <c r="I305">
        <v>0</v>
      </c>
      <c r="J305">
        <v>0</v>
      </c>
      <c r="K305">
        <v>0</v>
      </c>
      <c r="L305">
        <f>IF(M305,TRUE,AND(P305:S305))</f>
        <v>0</v>
      </c>
      <c r="M305">
        <f>COUNTBLANK(metadata!B305:E305)=COLUMNS(metadata!B305:E305)</f>
        <v>0</v>
      </c>
      <c r="N305">
        <v>0</v>
      </c>
      <c r="P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Q305">
        <f>AND(IF(metadata!C305="",FALSE,TRUE),exact(metadata!C305,"other"))</f>
        <v>0</v>
      </c>
      <c r="R305">
        <f>AND(IF(metadata!D305="",FALSE,TRUE),exact(metadata!D305,"metagenome"))</f>
        <v>0</v>
      </c>
      <c r="S305">
        <f>AND(IF(metadata!E305="",FALSE,TRUE),exact(metadata!E305,"256318"))</f>
        <v>0</v>
      </c>
    </row>
    <row r="306" spans="1:19">
      <c r="A306" s="4">
        <f>IF(B306=" "," ",HYPERLINK(CONCATENATE("#metadata!",ADDRESS(INDEX($K$2:$K$1001,MATCH(ROWS($I$2:I306),$I$2:$I$1001,0),0),1)),INDEX($N$2:$N$1001,MATCH(ROWS($I$2:I306),$I$2:$I$1001,0),0)))</f>
        <v>0</v>
      </c>
      <c r="B306" s="3">
        <f>IF(OR(INDEX($J$2:$J$1001,MATCH(ROWS($I$2:I306),$I$2:$I$1001,0),1)&gt;=100000,INDEX($P$1005:$S$1005,1,MATCH(COLUMNS($P$1006:P1006),$P$1006:$S$1006,0))&gt;=100000), " ",IF(INDEX($P$2:$S$1001,MATCH(ROWS($I$2:I306),$I$2:$I$1001,0),MATCH(COLUMNS($P$1006:P1006),$P$1006:$S$1006,0)), HYPERLINK("#",""), HYPERLINK(CONCATENATE("#metadata!", ADDRESS(INDEX($K$2:$K$1001,MATCH(ROWS($I$2:I306),$I$2:$I$1001,0),0), INDEX($P$1004:$S$1004,1,MATCH(COLUMNS($P$1006:P1006),$P$1006:$S$1006,0)))),"Fix")))</f>
        <v>0</v>
      </c>
      <c r="C306" s="3">
        <f>IF(OR(INDEX($J$2:$J$1001,MATCH(ROWS($I$2:I306),$I$2:$I$1001,0),1)&gt;=100000,INDEX($P$1005:$S$1005,1,MATCH(COLUMNS($P$1006:Q1006),$P$1006:$S$1006,0))&gt;=100000), " ",IF(INDEX($P$2:$S$1001,MATCH(ROWS($I$2:I306),$I$2:$I$1001,0),MATCH(COLUMNS($P$1006:Q1006),$P$1006:$S$1006,0)), HYPERLINK("#",""), HYPERLINK(CONCATENATE("#metadata!", ADDRESS(INDEX($K$2:$K$1001,MATCH(ROWS($I$2:I306),$I$2:$I$1001,0),0), INDEX($P$1004:$S$1004,1,MATCH(COLUMNS($P$1006:Q1006),$P$1006:$S$1006,0)))),"Fix")))</f>
        <v>0</v>
      </c>
      <c r="D306" s="3">
        <f>IF(OR(INDEX($J$2:$J$1001,MATCH(ROWS($I$2:I306),$I$2:$I$1001,0),1)&gt;=100000,INDEX($P$1005:$S$1005,1,MATCH(COLUMNS($P$1006:R1006),$P$1006:$S$1006,0))&gt;=100000), " ",IF(INDEX($P$2:$S$1001,MATCH(ROWS($I$2:I306),$I$2:$I$1001,0),MATCH(COLUMNS($P$1006:R1006),$P$1006:$S$1006,0)), HYPERLINK("#",""), HYPERLINK(CONCATENATE("#metadata!", ADDRESS(INDEX($K$2:$K$1001,MATCH(ROWS($I$2:I306),$I$2:$I$1001,0),0), INDEX($P$1004:$S$1004,1,MATCH(COLUMNS($P$1006:R1006),$P$1006:$S$1006,0)))),"Fix")))</f>
        <v>0</v>
      </c>
      <c r="E306" s="3">
        <f>IF(OR(INDEX($J$2:$J$1001,MATCH(ROWS($I$2:I306),$I$2:$I$1001,0),1)&gt;=100000,INDEX($P$1005:$S$1005,1,MATCH(COLUMNS($P$1006:S1006),$P$1006:$S$1006,0))&gt;=100000), " ",IF(INDEX($P$2:$S$1001,MATCH(ROWS($I$2:I306),$I$2:$I$1001,0),MATCH(COLUMNS($P$1006:S1006),$P$1006:$S$1006,0)), HYPERLINK("#",""), HYPERLINK(CONCATENATE("#metadata!", ADDRESS(INDEX($K$2:$K$1001,MATCH(ROWS($I$2:I306),$I$2:$I$1001,0),0), INDEX($P$1004:$S$1004,1,MATCH(COLUMNS($P$1006:S1006),$P$1006:$S$1006,0)))),"Fix")))</f>
        <v>0</v>
      </c>
      <c r="I306">
        <v>0</v>
      </c>
      <c r="J306">
        <v>0</v>
      </c>
      <c r="K306">
        <v>0</v>
      </c>
      <c r="L306">
        <f>IF(M306,TRUE,AND(P306:S306))</f>
        <v>0</v>
      </c>
      <c r="M306">
        <f>COUNTBLANK(metadata!B306:E306)=COLUMNS(metadata!B306:E306)</f>
        <v>0</v>
      </c>
      <c r="N306">
        <v>0</v>
      </c>
      <c r="P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Q306">
        <f>AND(IF(metadata!C306="",FALSE,TRUE),exact(metadata!C306,"other"))</f>
        <v>0</v>
      </c>
      <c r="R306">
        <f>AND(IF(metadata!D306="",FALSE,TRUE),exact(metadata!D306,"metagenome"))</f>
        <v>0</v>
      </c>
      <c r="S306">
        <f>AND(IF(metadata!E306="",FALSE,TRUE),exact(metadata!E306,"256318"))</f>
        <v>0</v>
      </c>
    </row>
    <row r="307" spans="1:19">
      <c r="A307" s="4">
        <f>IF(B307=" "," ",HYPERLINK(CONCATENATE("#metadata!",ADDRESS(INDEX($K$2:$K$1001,MATCH(ROWS($I$2:I307),$I$2:$I$1001,0),0),1)),INDEX($N$2:$N$1001,MATCH(ROWS($I$2:I307),$I$2:$I$1001,0),0)))</f>
        <v>0</v>
      </c>
      <c r="B307" s="3">
        <f>IF(OR(INDEX($J$2:$J$1001,MATCH(ROWS($I$2:I307),$I$2:$I$1001,0),1)&gt;=100000,INDEX($P$1005:$S$1005,1,MATCH(COLUMNS($P$1006:P1006),$P$1006:$S$1006,0))&gt;=100000), " ",IF(INDEX($P$2:$S$1001,MATCH(ROWS($I$2:I307),$I$2:$I$1001,0),MATCH(COLUMNS($P$1006:P1006),$P$1006:$S$1006,0)), HYPERLINK("#",""), HYPERLINK(CONCATENATE("#metadata!", ADDRESS(INDEX($K$2:$K$1001,MATCH(ROWS($I$2:I307),$I$2:$I$1001,0),0), INDEX($P$1004:$S$1004,1,MATCH(COLUMNS($P$1006:P1006),$P$1006:$S$1006,0)))),"Fix")))</f>
        <v>0</v>
      </c>
      <c r="C307" s="3">
        <f>IF(OR(INDEX($J$2:$J$1001,MATCH(ROWS($I$2:I307),$I$2:$I$1001,0),1)&gt;=100000,INDEX($P$1005:$S$1005,1,MATCH(COLUMNS($P$1006:Q1006),$P$1006:$S$1006,0))&gt;=100000), " ",IF(INDEX($P$2:$S$1001,MATCH(ROWS($I$2:I307),$I$2:$I$1001,0),MATCH(COLUMNS($P$1006:Q1006),$P$1006:$S$1006,0)), HYPERLINK("#",""), HYPERLINK(CONCATENATE("#metadata!", ADDRESS(INDEX($K$2:$K$1001,MATCH(ROWS($I$2:I307),$I$2:$I$1001,0),0), INDEX($P$1004:$S$1004,1,MATCH(COLUMNS($P$1006:Q1006),$P$1006:$S$1006,0)))),"Fix")))</f>
        <v>0</v>
      </c>
      <c r="D307" s="3">
        <f>IF(OR(INDEX($J$2:$J$1001,MATCH(ROWS($I$2:I307),$I$2:$I$1001,0),1)&gt;=100000,INDEX($P$1005:$S$1005,1,MATCH(COLUMNS($P$1006:R1006),$P$1006:$S$1006,0))&gt;=100000), " ",IF(INDEX($P$2:$S$1001,MATCH(ROWS($I$2:I307),$I$2:$I$1001,0),MATCH(COLUMNS($P$1006:R1006),$P$1006:$S$1006,0)), HYPERLINK("#",""), HYPERLINK(CONCATENATE("#metadata!", ADDRESS(INDEX($K$2:$K$1001,MATCH(ROWS($I$2:I307),$I$2:$I$1001,0),0), INDEX($P$1004:$S$1004,1,MATCH(COLUMNS($P$1006:R1006),$P$1006:$S$1006,0)))),"Fix")))</f>
        <v>0</v>
      </c>
      <c r="E307" s="3">
        <f>IF(OR(INDEX($J$2:$J$1001,MATCH(ROWS($I$2:I307),$I$2:$I$1001,0),1)&gt;=100000,INDEX($P$1005:$S$1005,1,MATCH(COLUMNS($P$1006:S1006),$P$1006:$S$1006,0))&gt;=100000), " ",IF(INDEX($P$2:$S$1001,MATCH(ROWS($I$2:I307),$I$2:$I$1001,0),MATCH(COLUMNS($P$1006:S1006),$P$1006:$S$1006,0)), HYPERLINK("#",""), HYPERLINK(CONCATENATE("#metadata!", ADDRESS(INDEX($K$2:$K$1001,MATCH(ROWS($I$2:I307),$I$2:$I$1001,0),0), INDEX($P$1004:$S$1004,1,MATCH(COLUMNS($P$1006:S1006),$P$1006:$S$1006,0)))),"Fix")))</f>
        <v>0</v>
      </c>
      <c r="I307">
        <v>0</v>
      </c>
      <c r="J307">
        <v>0</v>
      </c>
      <c r="K307">
        <v>0</v>
      </c>
      <c r="L307">
        <f>IF(M307,TRUE,AND(P307:S307))</f>
        <v>0</v>
      </c>
      <c r="M307">
        <f>COUNTBLANK(metadata!B307:E307)=COLUMNS(metadata!B307:E307)</f>
        <v>0</v>
      </c>
      <c r="N307">
        <v>0</v>
      </c>
      <c r="P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Q307">
        <f>AND(IF(metadata!C307="",FALSE,TRUE),exact(metadata!C307,"other"))</f>
        <v>0</v>
      </c>
      <c r="R307">
        <f>AND(IF(metadata!D307="",FALSE,TRUE),exact(metadata!D307,"metagenome"))</f>
        <v>0</v>
      </c>
      <c r="S307">
        <f>AND(IF(metadata!E307="",FALSE,TRUE),exact(metadata!E307,"256318"))</f>
        <v>0</v>
      </c>
    </row>
    <row r="308" spans="1:19">
      <c r="A308" s="4">
        <f>IF(B308=" "," ",HYPERLINK(CONCATENATE("#metadata!",ADDRESS(INDEX($K$2:$K$1001,MATCH(ROWS($I$2:I308),$I$2:$I$1001,0),0),1)),INDEX($N$2:$N$1001,MATCH(ROWS($I$2:I308),$I$2:$I$1001,0),0)))</f>
        <v>0</v>
      </c>
      <c r="B308" s="3">
        <f>IF(OR(INDEX($J$2:$J$1001,MATCH(ROWS($I$2:I308),$I$2:$I$1001,0),1)&gt;=100000,INDEX($P$1005:$S$1005,1,MATCH(COLUMNS($P$1006:P1006),$P$1006:$S$1006,0))&gt;=100000), " ",IF(INDEX($P$2:$S$1001,MATCH(ROWS($I$2:I308),$I$2:$I$1001,0),MATCH(COLUMNS($P$1006:P1006),$P$1006:$S$1006,0)), HYPERLINK("#",""), HYPERLINK(CONCATENATE("#metadata!", ADDRESS(INDEX($K$2:$K$1001,MATCH(ROWS($I$2:I308),$I$2:$I$1001,0),0), INDEX($P$1004:$S$1004,1,MATCH(COLUMNS($P$1006:P1006),$P$1006:$S$1006,0)))),"Fix")))</f>
        <v>0</v>
      </c>
      <c r="C308" s="3">
        <f>IF(OR(INDEX($J$2:$J$1001,MATCH(ROWS($I$2:I308),$I$2:$I$1001,0),1)&gt;=100000,INDEX($P$1005:$S$1005,1,MATCH(COLUMNS($P$1006:Q1006),$P$1006:$S$1006,0))&gt;=100000), " ",IF(INDEX($P$2:$S$1001,MATCH(ROWS($I$2:I308),$I$2:$I$1001,0),MATCH(COLUMNS($P$1006:Q1006),$P$1006:$S$1006,0)), HYPERLINK("#",""), HYPERLINK(CONCATENATE("#metadata!", ADDRESS(INDEX($K$2:$K$1001,MATCH(ROWS($I$2:I308),$I$2:$I$1001,0),0), INDEX($P$1004:$S$1004,1,MATCH(COLUMNS($P$1006:Q1006),$P$1006:$S$1006,0)))),"Fix")))</f>
        <v>0</v>
      </c>
      <c r="D308" s="3">
        <f>IF(OR(INDEX($J$2:$J$1001,MATCH(ROWS($I$2:I308),$I$2:$I$1001,0),1)&gt;=100000,INDEX($P$1005:$S$1005,1,MATCH(COLUMNS($P$1006:R1006),$P$1006:$S$1006,0))&gt;=100000), " ",IF(INDEX($P$2:$S$1001,MATCH(ROWS($I$2:I308),$I$2:$I$1001,0),MATCH(COLUMNS($P$1006:R1006),$P$1006:$S$1006,0)), HYPERLINK("#",""), HYPERLINK(CONCATENATE("#metadata!", ADDRESS(INDEX($K$2:$K$1001,MATCH(ROWS($I$2:I308),$I$2:$I$1001,0),0), INDEX($P$1004:$S$1004,1,MATCH(COLUMNS($P$1006:R1006),$P$1006:$S$1006,0)))),"Fix")))</f>
        <v>0</v>
      </c>
      <c r="E308" s="3">
        <f>IF(OR(INDEX($J$2:$J$1001,MATCH(ROWS($I$2:I308),$I$2:$I$1001,0),1)&gt;=100000,INDEX($P$1005:$S$1005,1,MATCH(COLUMNS($P$1006:S1006),$P$1006:$S$1006,0))&gt;=100000), " ",IF(INDEX($P$2:$S$1001,MATCH(ROWS($I$2:I308),$I$2:$I$1001,0),MATCH(COLUMNS($P$1006:S1006),$P$1006:$S$1006,0)), HYPERLINK("#",""), HYPERLINK(CONCATENATE("#metadata!", ADDRESS(INDEX($K$2:$K$1001,MATCH(ROWS($I$2:I308),$I$2:$I$1001,0),0), INDEX($P$1004:$S$1004,1,MATCH(COLUMNS($P$1006:S1006),$P$1006:$S$1006,0)))),"Fix")))</f>
        <v>0</v>
      </c>
      <c r="I308">
        <v>0</v>
      </c>
      <c r="J308">
        <v>0</v>
      </c>
      <c r="K308">
        <v>0</v>
      </c>
      <c r="L308">
        <f>IF(M308,TRUE,AND(P308:S308))</f>
        <v>0</v>
      </c>
      <c r="M308">
        <f>COUNTBLANK(metadata!B308:E308)=COLUMNS(metadata!B308:E308)</f>
        <v>0</v>
      </c>
      <c r="N308">
        <v>0</v>
      </c>
      <c r="P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Q308">
        <f>AND(IF(metadata!C308="",FALSE,TRUE),exact(metadata!C308,"other"))</f>
        <v>0</v>
      </c>
      <c r="R308">
        <f>AND(IF(metadata!D308="",FALSE,TRUE),exact(metadata!D308,"metagenome"))</f>
        <v>0</v>
      </c>
      <c r="S308">
        <f>AND(IF(metadata!E308="",FALSE,TRUE),exact(metadata!E308,"256318"))</f>
        <v>0</v>
      </c>
    </row>
    <row r="309" spans="1:19">
      <c r="A309" s="4">
        <f>IF(B309=" "," ",HYPERLINK(CONCATENATE("#metadata!",ADDRESS(INDEX($K$2:$K$1001,MATCH(ROWS($I$2:I309),$I$2:$I$1001,0),0),1)),INDEX($N$2:$N$1001,MATCH(ROWS($I$2:I309),$I$2:$I$1001,0),0)))</f>
        <v>0</v>
      </c>
      <c r="B309" s="3">
        <f>IF(OR(INDEX($J$2:$J$1001,MATCH(ROWS($I$2:I309),$I$2:$I$1001,0),1)&gt;=100000,INDEX($P$1005:$S$1005,1,MATCH(COLUMNS($P$1006:P1006),$P$1006:$S$1006,0))&gt;=100000), " ",IF(INDEX($P$2:$S$1001,MATCH(ROWS($I$2:I309),$I$2:$I$1001,0),MATCH(COLUMNS($P$1006:P1006),$P$1006:$S$1006,0)), HYPERLINK("#",""), HYPERLINK(CONCATENATE("#metadata!", ADDRESS(INDEX($K$2:$K$1001,MATCH(ROWS($I$2:I309),$I$2:$I$1001,0),0), INDEX($P$1004:$S$1004,1,MATCH(COLUMNS($P$1006:P1006),$P$1006:$S$1006,0)))),"Fix")))</f>
        <v>0</v>
      </c>
      <c r="C309" s="3">
        <f>IF(OR(INDEX($J$2:$J$1001,MATCH(ROWS($I$2:I309),$I$2:$I$1001,0),1)&gt;=100000,INDEX($P$1005:$S$1005,1,MATCH(COLUMNS($P$1006:Q1006),$P$1006:$S$1006,0))&gt;=100000), " ",IF(INDEX($P$2:$S$1001,MATCH(ROWS($I$2:I309),$I$2:$I$1001,0),MATCH(COLUMNS($P$1006:Q1006),$P$1006:$S$1006,0)), HYPERLINK("#",""), HYPERLINK(CONCATENATE("#metadata!", ADDRESS(INDEX($K$2:$K$1001,MATCH(ROWS($I$2:I309),$I$2:$I$1001,0),0), INDEX($P$1004:$S$1004,1,MATCH(COLUMNS($P$1006:Q1006),$P$1006:$S$1006,0)))),"Fix")))</f>
        <v>0</v>
      </c>
      <c r="D309" s="3">
        <f>IF(OR(INDEX($J$2:$J$1001,MATCH(ROWS($I$2:I309),$I$2:$I$1001,0),1)&gt;=100000,INDEX($P$1005:$S$1005,1,MATCH(COLUMNS($P$1006:R1006),$P$1006:$S$1006,0))&gt;=100000), " ",IF(INDEX($P$2:$S$1001,MATCH(ROWS($I$2:I309),$I$2:$I$1001,0),MATCH(COLUMNS($P$1006:R1006),$P$1006:$S$1006,0)), HYPERLINK("#",""), HYPERLINK(CONCATENATE("#metadata!", ADDRESS(INDEX($K$2:$K$1001,MATCH(ROWS($I$2:I309),$I$2:$I$1001,0),0), INDEX($P$1004:$S$1004,1,MATCH(COLUMNS($P$1006:R1006),$P$1006:$S$1006,0)))),"Fix")))</f>
        <v>0</v>
      </c>
      <c r="E309" s="3">
        <f>IF(OR(INDEX($J$2:$J$1001,MATCH(ROWS($I$2:I309),$I$2:$I$1001,0),1)&gt;=100000,INDEX($P$1005:$S$1005,1,MATCH(COLUMNS($P$1006:S1006),$P$1006:$S$1006,0))&gt;=100000), " ",IF(INDEX($P$2:$S$1001,MATCH(ROWS($I$2:I309),$I$2:$I$1001,0),MATCH(COLUMNS($P$1006:S1006),$P$1006:$S$1006,0)), HYPERLINK("#",""), HYPERLINK(CONCATENATE("#metadata!", ADDRESS(INDEX($K$2:$K$1001,MATCH(ROWS($I$2:I309),$I$2:$I$1001,0),0), INDEX($P$1004:$S$1004,1,MATCH(COLUMNS($P$1006:S1006),$P$1006:$S$1006,0)))),"Fix")))</f>
        <v>0</v>
      </c>
      <c r="I309">
        <v>0</v>
      </c>
      <c r="J309">
        <v>0</v>
      </c>
      <c r="K309">
        <v>0</v>
      </c>
      <c r="L309">
        <f>IF(M309,TRUE,AND(P309:S309))</f>
        <v>0</v>
      </c>
      <c r="M309">
        <f>COUNTBLANK(metadata!B309:E309)=COLUMNS(metadata!B309:E309)</f>
        <v>0</v>
      </c>
      <c r="N309">
        <v>0</v>
      </c>
      <c r="P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Q309">
        <f>AND(IF(metadata!C309="",FALSE,TRUE),exact(metadata!C309,"other"))</f>
        <v>0</v>
      </c>
      <c r="R309">
        <f>AND(IF(metadata!D309="",FALSE,TRUE),exact(metadata!D309,"metagenome"))</f>
        <v>0</v>
      </c>
      <c r="S309">
        <f>AND(IF(metadata!E309="",FALSE,TRUE),exact(metadata!E309,"256318"))</f>
        <v>0</v>
      </c>
    </row>
    <row r="310" spans="1:19">
      <c r="A310" s="4">
        <f>IF(B310=" "," ",HYPERLINK(CONCATENATE("#metadata!",ADDRESS(INDEX($K$2:$K$1001,MATCH(ROWS($I$2:I310),$I$2:$I$1001,0),0),1)),INDEX($N$2:$N$1001,MATCH(ROWS($I$2:I310),$I$2:$I$1001,0),0)))</f>
        <v>0</v>
      </c>
      <c r="B310" s="3">
        <f>IF(OR(INDEX($J$2:$J$1001,MATCH(ROWS($I$2:I310),$I$2:$I$1001,0),1)&gt;=100000,INDEX($P$1005:$S$1005,1,MATCH(COLUMNS($P$1006:P1006),$P$1006:$S$1006,0))&gt;=100000), " ",IF(INDEX($P$2:$S$1001,MATCH(ROWS($I$2:I310),$I$2:$I$1001,0),MATCH(COLUMNS($P$1006:P1006),$P$1006:$S$1006,0)), HYPERLINK("#",""), HYPERLINK(CONCATENATE("#metadata!", ADDRESS(INDEX($K$2:$K$1001,MATCH(ROWS($I$2:I310),$I$2:$I$1001,0),0), INDEX($P$1004:$S$1004,1,MATCH(COLUMNS($P$1006:P1006),$P$1006:$S$1006,0)))),"Fix")))</f>
        <v>0</v>
      </c>
      <c r="C310" s="3">
        <f>IF(OR(INDEX($J$2:$J$1001,MATCH(ROWS($I$2:I310),$I$2:$I$1001,0),1)&gt;=100000,INDEX($P$1005:$S$1005,1,MATCH(COLUMNS($P$1006:Q1006),$P$1006:$S$1006,0))&gt;=100000), " ",IF(INDEX($P$2:$S$1001,MATCH(ROWS($I$2:I310),$I$2:$I$1001,0),MATCH(COLUMNS($P$1006:Q1006),$P$1006:$S$1006,0)), HYPERLINK("#",""), HYPERLINK(CONCATENATE("#metadata!", ADDRESS(INDEX($K$2:$K$1001,MATCH(ROWS($I$2:I310),$I$2:$I$1001,0),0), INDEX($P$1004:$S$1004,1,MATCH(COLUMNS($P$1006:Q1006),$P$1006:$S$1006,0)))),"Fix")))</f>
        <v>0</v>
      </c>
      <c r="D310" s="3">
        <f>IF(OR(INDEX($J$2:$J$1001,MATCH(ROWS($I$2:I310),$I$2:$I$1001,0),1)&gt;=100000,INDEX($P$1005:$S$1005,1,MATCH(COLUMNS($P$1006:R1006),$P$1006:$S$1006,0))&gt;=100000), " ",IF(INDEX($P$2:$S$1001,MATCH(ROWS($I$2:I310),$I$2:$I$1001,0),MATCH(COLUMNS($P$1006:R1006),$P$1006:$S$1006,0)), HYPERLINK("#",""), HYPERLINK(CONCATENATE("#metadata!", ADDRESS(INDEX($K$2:$K$1001,MATCH(ROWS($I$2:I310),$I$2:$I$1001,0),0), INDEX($P$1004:$S$1004,1,MATCH(COLUMNS($P$1006:R1006),$P$1006:$S$1006,0)))),"Fix")))</f>
        <v>0</v>
      </c>
      <c r="E310" s="3">
        <f>IF(OR(INDEX($J$2:$J$1001,MATCH(ROWS($I$2:I310),$I$2:$I$1001,0),1)&gt;=100000,INDEX($P$1005:$S$1005,1,MATCH(COLUMNS($P$1006:S1006),$P$1006:$S$1006,0))&gt;=100000), " ",IF(INDEX($P$2:$S$1001,MATCH(ROWS($I$2:I310),$I$2:$I$1001,0),MATCH(COLUMNS($P$1006:S1006),$P$1006:$S$1006,0)), HYPERLINK("#",""), HYPERLINK(CONCATENATE("#metadata!", ADDRESS(INDEX($K$2:$K$1001,MATCH(ROWS($I$2:I310),$I$2:$I$1001,0),0), INDEX($P$1004:$S$1004,1,MATCH(COLUMNS($P$1006:S1006),$P$1006:$S$1006,0)))),"Fix")))</f>
        <v>0</v>
      </c>
      <c r="I310">
        <v>0</v>
      </c>
      <c r="J310">
        <v>0</v>
      </c>
      <c r="K310">
        <v>0</v>
      </c>
      <c r="L310">
        <f>IF(M310,TRUE,AND(P310:S310))</f>
        <v>0</v>
      </c>
      <c r="M310">
        <f>COUNTBLANK(metadata!B310:E310)=COLUMNS(metadata!B310:E310)</f>
        <v>0</v>
      </c>
      <c r="N310">
        <v>0</v>
      </c>
      <c r="P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Q310">
        <f>AND(IF(metadata!C310="",FALSE,TRUE),exact(metadata!C310,"other"))</f>
        <v>0</v>
      </c>
      <c r="R310">
        <f>AND(IF(metadata!D310="",FALSE,TRUE),exact(metadata!D310,"metagenome"))</f>
        <v>0</v>
      </c>
      <c r="S310">
        <f>AND(IF(metadata!E310="",FALSE,TRUE),exact(metadata!E310,"256318"))</f>
        <v>0</v>
      </c>
    </row>
    <row r="311" spans="1:19">
      <c r="A311" s="4">
        <f>IF(B311=" "," ",HYPERLINK(CONCATENATE("#metadata!",ADDRESS(INDEX($K$2:$K$1001,MATCH(ROWS($I$2:I311),$I$2:$I$1001,0),0),1)),INDEX($N$2:$N$1001,MATCH(ROWS($I$2:I311),$I$2:$I$1001,0),0)))</f>
        <v>0</v>
      </c>
      <c r="B311" s="3">
        <f>IF(OR(INDEX($J$2:$J$1001,MATCH(ROWS($I$2:I311),$I$2:$I$1001,0),1)&gt;=100000,INDEX($P$1005:$S$1005,1,MATCH(COLUMNS($P$1006:P1006),$P$1006:$S$1006,0))&gt;=100000), " ",IF(INDEX($P$2:$S$1001,MATCH(ROWS($I$2:I311),$I$2:$I$1001,0),MATCH(COLUMNS($P$1006:P1006),$P$1006:$S$1006,0)), HYPERLINK("#",""), HYPERLINK(CONCATENATE("#metadata!", ADDRESS(INDEX($K$2:$K$1001,MATCH(ROWS($I$2:I311),$I$2:$I$1001,0),0), INDEX($P$1004:$S$1004,1,MATCH(COLUMNS($P$1006:P1006),$P$1006:$S$1006,0)))),"Fix")))</f>
        <v>0</v>
      </c>
      <c r="C311" s="3">
        <f>IF(OR(INDEX($J$2:$J$1001,MATCH(ROWS($I$2:I311),$I$2:$I$1001,0),1)&gt;=100000,INDEX($P$1005:$S$1005,1,MATCH(COLUMNS($P$1006:Q1006),$P$1006:$S$1006,0))&gt;=100000), " ",IF(INDEX($P$2:$S$1001,MATCH(ROWS($I$2:I311),$I$2:$I$1001,0),MATCH(COLUMNS($P$1006:Q1006),$P$1006:$S$1006,0)), HYPERLINK("#",""), HYPERLINK(CONCATENATE("#metadata!", ADDRESS(INDEX($K$2:$K$1001,MATCH(ROWS($I$2:I311),$I$2:$I$1001,0),0), INDEX($P$1004:$S$1004,1,MATCH(COLUMNS($P$1006:Q1006),$P$1006:$S$1006,0)))),"Fix")))</f>
        <v>0</v>
      </c>
      <c r="D311" s="3">
        <f>IF(OR(INDEX($J$2:$J$1001,MATCH(ROWS($I$2:I311),$I$2:$I$1001,0),1)&gt;=100000,INDEX($P$1005:$S$1005,1,MATCH(COLUMNS($P$1006:R1006),$P$1006:$S$1006,0))&gt;=100000), " ",IF(INDEX($P$2:$S$1001,MATCH(ROWS($I$2:I311),$I$2:$I$1001,0),MATCH(COLUMNS($P$1006:R1006),$P$1006:$S$1006,0)), HYPERLINK("#",""), HYPERLINK(CONCATENATE("#metadata!", ADDRESS(INDEX($K$2:$K$1001,MATCH(ROWS($I$2:I311),$I$2:$I$1001,0),0), INDEX($P$1004:$S$1004,1,MATCH(COLUMNS($P$1006:R1006),$P$1006:$S$1006,0)))),"Fix")))</f>
        <v>0</v>
      </c>
      <c r="E311" s="3">
        <f>IF(OR(INDEX($J$2:$J$1001,MATCH(ROWS($I$2:I311),$I$2:$I$1001,0),1)&gt;=100000,INDEX($P$1005:$S$1005,1,MATCH(COLUMNS($P$1006:S1006),$P$1006:$S$1006,0))&gt;=100000), " ",IF(INDEX($P$2:$S$1001,MATCH(ROWS($I$2:I311),$I$2:$I$1001,0),MATCH(COLUMNS($P$1006:S1006),$P$1006:$S$1006,0)), HYPERLINK("#",""), HYPERLINK(CONCATENATE("#metadata!", ADDRESS(INDEX($K$2:$K$1001,MATCH(ROWS($I$2:I311),$I$2:$I$1001,0),0), INDEX($P$1004:$S$1004,1,MATCH(COLUMNS($P$1006:S1006),$P$1006:$S$1006,0)))),"Fix")))</f>
        <v>0</v>
      </c>
      <c r="I311">
        <v>0</v>
      </c>
      <c r="J311">
        <v>0</v>
      </c>
      <c r="K311">
        <v>0</v>
      </c>
      <c r="L311">
        <f>IF(M311,TRUE,AND(P311:S311))</f>
        <v>0</v>
      </c>
      <c r="M311">
        <f>COUNTBLANK(metadata!B311:E311)=COLUMNS(metadata!B311:E311)</f>
        <v>0</v>
      </c>
      <c r="N311">
        <v>0</v>
      </c>
      <c r="P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Q311">
        <f>AND(IF(metadata!C311="",FALSE,TRUE),exact(metadata!C311,"other"))</f>
        <v>0</v>
      </c>
      <c r="R311">
        <f>AND(IF(metadata!D311="",FALSE,TRUE),exact(metadata!D311,"metagenome"))</f>
        <v>0</v>
      </c>
      <c r="S311">
        <f>AND(IF(metadata!E311="",FALSE,TRUE),exact(metadata!E311,"256318"))</f>
        <v>0</v>
      </c>
    </row>
    <row r="312" spans="1:19">
      <c r="A312" s="4">
        <f>IF(B312=" "," ",HYPERLINK(CONCATENATE("#metadata!",ADDRESS(INDEX($K$2:$K$1001,MATCH(ROWS($I$2:I312),$I$2:$I$1001,0),0),1)),INDEX($N$2:$N$1001,MATCH(ROWS($I$2:I312),$I$2:$I$1001,0),0)))</f>
        <v>0</v>
      </c>
      <c r="B312" s="3">
        <f>IF(OR(INDEX($J$2:$J$1001,MATCH(ROWS($I$2:I312),$I$2:$I$1001,0),1)&gt;=100000,INDEX($P$1005:$S$1005,1,MATCH(COLUMNS($P$1006:P1006),$P$1006:$S$1006,0))&gt;=100000), " ",IF(INDEX($P$2:$S$1001,MATCH(ROWS($I$2:I312),$I$2:$I$1001,0),MATCH(COLUMNS($P$1006:P1006),$P$1006:$S$1006,0)), HYPERLINK("#",""), HYPERLINK(CONCATENATE("#metadata!", ADDRESS(INDEX($K$2:$K$1001,MATCH(ROWS($I$2:I312),$I$2:$I$1001,0),0), INDEX($P$1004:$S$1004,1,MATCH(COLUMNS($P$1006:P1006),$P$1006:$S$1006,0)))),"Fix")))</f>
        <v>0</v>
      </c>
      <c r="C312" s="3">
        <f>IF(OR(INDEX($J$2:$J$1001,MATCH(ROWS($I$2:I312),$I$2:$I$1001,0),1)&gt;=100000,INDEX($P$1005:$S$1005,1,MATCH(COLUMNS($P$1006:Q1006),$P$1006:$S$1006,0))&gt;=100000), " ",IF(INDEX($P$2:$S$1001,MATCH(ROWS($I$2:I312),$I$2:$I$1001,0),MATCH(COLUMNS($P$1006:Q1006),$P$1006:$S$1006,0)), HYPERLINK("#",""), HYPERLINK(CONCATENATE("#metadata!", ADDRESS(INDEX($K$2:$K$1001,MATCH(ROWS($I$2:I312),$I$2:$I$1001,0),0), INDEX($P$1004:$S$1004,1,MATCH(COLUMNS($P$1006:Q1006),$P$1006:$S$1006,0)))),"Fix")))</f>
        <v>0</v>
      </c>
      <c r="D312" s="3">
        <f>IF(OR(INDEX($J$2:$J$1001,MATCH(ROWS($I$2:I312),$I$2:$I$1001,0),1)&gt;=100000,INDEX($P$1005:$S$1005,1,MATCH(COLUMNS($P$1006:R1006),$P$1006:$S$1006,0))&gt;=100000), " ",IF(INDEX($P$2:$S$1001,MATCH(ROWS($I$2:I312),$I$2:$I$1001,0),MATCH(COLUMNS($P$1006:R1006),$P$1006:$S$1006,0)), HYPERLINK("#",""), HYPERLINK(CONCATENATE("#metadata!", ADDRESS(INDEX($K$2:$K$1001,MATCH(ROWS($I$2:I312),$I$2:$I$1001,0),0), INDEX($P$1004:$S$1004,1,MATCH(COLUMNS($P$1006:R1006),$P$1006:$S$1006,0)))),"Fix")))</f>
        <v>0</v>
      </c>
      <c r="E312" s="3">
        <f>IF(OR(INDEX($J$2:$J$1001,MATCH(ROWS($I$2:I312),$I$2:$I$1001,0),1)&gt;=100000,INDEX($P$1005:$S$1005,1,MATCH(COLUMNS($P$1006:S1006),$P$1006:$S$1006,0))&gt;=100000), " ",IF(INDEX($P$2:$S$1001,MATCH(ROWS($I$2:I312),$I$2:$I$1001,0),MATCH(COLUMNS($P$1006:S1006),$P$1006:$S$1006,0)), HYPERLINK("#",""), HYPERLINK(CONCATENATE("#metadata!", ADDRESS(INDEX($K$2:$K$1001,MATCH(ROWS($I$2:I312),$I$2:$I$1001,0),0), INDEX($P$1004:$S$1004,1,MATCH(COLUMNS($P$1006:S1006),$P$1006:$S$1006,0)))),"Fix")))</f>
        <v>0</v>
      </c>
      <c r="I312">
        <v>0</v>
      </c>
      <c r="J312">
        <v>0</v>
      </c>
      <c r="K312">
        <v>0</v>
      </c>
      <c r="L312">
        <f>IF(M312,TRUE,AND(P312:S312))</f>
        <v>0</v>
      </c>
      <c r="M312">
        <f>COUNTBLANK(metadata!B312:E312)=COLUMNS(metadata!B312:E312)</f>
        <v>0</v>
      </c>
      <c r="N312">
        <v>0</v>
      </c>
      <c r="P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Q312">
        <f>AND(IF(metadata!C312="",FALSE,TRUE),exact(metadata!C312,"other"))</f>
        <v>0</v>
      </c>
      <c r="R312">
        <f>AND(IF(metadata!D312="",FALSE,TRUE),exact(metadata!D312,"metagenome"))</f>
        <v>0</v>
      </c>
      <c r="S312">
        <f>AND(IF(metadata!E312="",FALSE,TRUE),exact(metadata!E312,"256318"))</f>
        <v>0</v>
      </c>
    </row>
    <row r="313" spans="1:19">
      <c r="A313" s="4">
        <f>IF(B313=" "," ",HYPERLINK(CONCATENATE("#metadata!",ADDRESS(INDEX($K$2:$K$1001,MATCH(ROWS($I$2:I313),$I$2:$I$1001,0),0),1)),INDEX($N$2:$N$1001,MATCH(ROWS($I$2:I313),$I$2:$I$1001,0),0)))</f>
        <v>0</v>
      </c>
      <c r="B313" s="3">
        <f>IF(OR(INDEX($J$2:$J$1001,MATCH(ROWS($I$2:I313),$I$2:$I$1001,0),1)&gt;=100000,INDEX($P$1005:$S$1005,1,MATCH(COLUMNS($P$1006:P1006),$P$1006:$S$1006,0))&gt;=100000), " ",IF(INDEX($P$2:$S$1001,MATCH(ROWS($I$2:I313),$I$2:$I$1001,0),MATCH(COLUMNS($P$1006:P1006),$P$1006:$S$1006,0)), HYPERLINK("#",""), HYPERLINK(CONCATENATE("#metadata!", ADDRESS(INDEX($K$2:$K$1001,MATCH(ROWS($I$2:I313),$I$2:$I$1001,0),0), INDEX($P$1004:$S$1004,1,MATCH(COLUMNS($P$1006:P1006),$P$1006:$S$1006,0)))),"Fix")))</f>
        <v>0</v>
      </c>
      <c r="C313" s="3">
        <f>IF(OR(INDEX($J$2:$J$1001,MATCH(ROWS($I$2:I313),$I$2:$I$1001,0),1)&gt;=100000,INDEX($P$1005:$S$1005,1,MATCH(COLUMNS($P$1006:Q1006),$P$1006:$S$1006,0))&gt;=100000), " ",IF(INDEX($P$2:$S$1001,MATCH(ROWS($I$2:I313),$I$2:$I$1001,0),MATCH(COLUMNS($P$1006:Q1006),$P$1006:$S$1006,0)), HYPERLINK("#",""), HYPERLINK(CONCATENATE("#metadata!", ADDRESS(INDEX($K$2:$K$1001,MATCH(ROWS($I$2:I313),$I$2:$I$1001,0),0), INDEX($P$1004:$S$1004,1,MATCH(COLUMNS($P$1006:Q1006),$P$1006:$S$1006,0)))),"Fix")))</f>
        <v>0</v>
      </c>
      <c r="D313" s="3">
        <f>IF(OR(INDEX($J$2:$J$1001,MATCH(ROWS($I$2:I313),$I$2:$I$1001,0),1)&gt;=100000,INDEX($P$1005:$S$1005,1,MATCH(COLUMNS($P$1006:R1006),$P$1006:$S$1006,0))&gt;=100000), " ",IF(INDEX($P$2:$S$1001,MATCH(ROWS($I$2:I313),$I$2:$I$1001,0),MATCH(COLUMNS($P$1006:R1006),$P$1006:$S$1006,0)), HYPERLINK("#",""), HYPERLINK(CONCATENATE("#metadata!", ADDRESS(INDEX($K$2:$K$1001,MATCH(ROWS($I$2:I313),$I$2:$I$1001,0),0), INDEX($P$1004:$S$1004,1,MATCH(COLUMNS($P$1006:R1006),$P$1006:$S$1006,0)))),"Fix")))</f>
        <v>0</v>
      </c>
      <c r="E313" s="3">
        <f>IF(OR(INDEX($J$2:$J$1001,MATCH(ROWS($I$2:I313),$I$2:$I$1001,0),1)&gt;=100000,INDEX($P$1005:$S$1005,1,MATCH(COLUMNS($P$1006:S1006),$P$1006:$S$1006,0))&gt;=100000), " ",IF(INDEX($P$2:$S$1001,MATCH(ROWS($I$2:I313),$I$2:$I$1001,0),MATCH(COLUMNS($P$1006:S1006),$P$1006:$S$1006,0)), HYPERLINK("#",""), HYPERLINK(CONCATENATE("#metadata!", ADDRESS(INDEX($K$2:$K$1001,MATCH(ROWS($I$2:I313),$I$2:$I$1001,0),0), INDEX($P$1004:$S$1004,1,MATCH(COLUMNS($P$1006:S1006),$P$1006:$S$1006,0)))),"Fix")))</f>
        <v>0</v>
      </c>
      <c r="I313">
        <v>0</v>
      </c>
      <c r="J313">
        <v>0</v>
      </c>
      <c r="K313">
        <v>0</v>
      </c>
      <c r="L313">
        <f>IF(M313,TRUE,AND(P313:S313))</f>
        <v>0</v>
      </c>
      <c r="M313">
        <f>COUNTBLANK(metadata!B313:E313)=COLUMNS(metadata!B313:E313)</f>
        <v>0</v>
      </c>
      <c r="N313">
        <v>0</v>
      </c>
      <c r="P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Q313">
        <f>AND(IF(metadata!C313="",FALSE,TRUE),exact(metadata!C313,"other"))</f>
        <v>0</v>
      </c>
      <c r="R313">
        <f>AND(IF(metadata!D313="",FALSE,TRUE),exact(metadata!D313,"metagenome"))</f>
        <v>0</v>
      </c>
      <c r="S313">
        <f>AND(IF(metadata!E313="",FALSE,TRUE),exact(metadata!E313,"256318"))</f>
        <v>0</v>
      </c>
    </row>
    <row r="314" spans="1:19">
      <c r="A314" s="4">
        <f>IF(B314=" "," ",HYPERLINK(CONCATENATE("#metadata!",ADDRESS(INDEX($K$2:$K$1001,MATCH(ROWS($I$2:I314),$I$2:$I$1001,0),0),1)),INDEX($N$2:$N$1001,MATCH(ROWS($I$2:I314),$I$2:$I$1001,0),0)))</f>
        <v>0</v>
      </c>
      <c r="B314" s="3">
        <f>IF(OR(INDEX($J$2:$J$1001,MATCH(ROWS($I$2:I314),$I$2:$I$1001,0),1)&gt;=100000,INDEX($P$1005:$S$1005,1,MATCH(COLUMNS($P$1006:P1006),$P$1006:$S$1006,0))&gt;=100000), " ",IF(INDEX($P$2:$S$1001,MATCH(ROWS($I$2:I314),$I$2:$I$1001,0),MATCH(COLUMNS($P$1006:P1006),$P$1006:$S$1006,0)), HYPERLINK("#",""), HYPERLINK(CONCATENATE("#metadata!", ADDRESS(INDEX($K$2:$K$1001,MATCH(ROWS($I$2:I314),$I$2:$I$1001,0),0), INDEX($P$1004:$S$1004,1,MATCH(COLUMNS($P$1006:P1006),$P$1006:$S$1006,0)))),"Fix")))</f>
        <v>0</v>
      </c>
      <c r="C314" s="3">
        <f>IF(OR(INDEX($J$2:$J$1001,MATCH(ROWS($I$2:I314),$I$2:$I$1001,0),1)&gt;=100000,INDEX($P$1005:$S$1005,1,MATCH(COLUMNS($P$1006:Q1006),$P$1006:$S$1006,0))&gt;=100000), " ",IF(INDEX($P$2:$S$1001,MATCH(ROWS($I$2:I314),$I$2:$I$1001,0),MATCH(COLUMNS($P$1006:Q1006),$P$1006:$S$1006,0)), HYPERLINK("#",""), HYPERLINK(CONCATENATE("#metadata!", ADDRESS(INDEX($K$2:$K$1001,MATCH(ROWS($I$2:I314),$I$2:$I$1001,0),0), INDEX($P$1004:$S$1004,1,MATCH(COLUMNS($P$1006:Q1006),$P$1006:$S$1006,0)))),"Fix")))</f>
        <v>0</v>
      </c>
      <c r="D314" s="3">
        <f>IF(OR(INDEX($J$2:$J$1001,MATCH(ROWS($I$2:I314),$I$2:$I$1001,0),1)&gt;=100000,INDEX($P$1005:$S$1005,1,MATCH(COLUMNS($P$1006:R1006),$P$1006:$S$1006,0))&gt;=100000), " ",IF(INDEX($P$2:$S$1001,MATCH(ROWS($I$2:I314),$I$2:$I$1001,0),MATCH(COLUMNS($P$1006:R1006),$P$1006:$S$1006,0)), HYPERLINK("#",""), HYPERLINK(CONCATENATE("#metadata!", ADDRESS(INDEX($K$2:$K$1001,MATCH(ROWS($I$2:I314),$I$2:$I$1001,0),0), INDEX($P$1004:$S$1004,1,MATCH(COLUMNS($P$1006:R1006),$P$1006:$S$1006,0)))),"Fix")))</f>
        <v>0</v>
      </c>
      <c r="E314" s="3">
        <f>IF(OR(INDEX($J$2:$J$1001,MATCH(ROWS($I$2:I314),$I$2:$I$1001,0),1)&gt;=100000,INDEX($P$1005:$S$1005,1,MATCH(COLUMNS($P$1006:S1006),$P$1006:$S$1006,0))&gt;=100000), " ",IF(INDEX($P$2:$S$1001,MATCH(ROWS($I$2:I314),$I$2:$I$1001,0),MATCH(COLUMNS($P$1006:S1006),$P$1006:$S$1006,0)), HYPERLINK("#",""), HYPERLINK(CONCATENATE("#metadata!", ADDRESS(INDEX($K$2:$K$1001,MATCH(ROWS($I$2:I314),$I$2:$I$1001,0),0), INDEX($P$1004:$S$1004,1,MATCH(COLUMNS($P$1006:S1006),$P$1006:$S$1006,0)))),"Fix")))</f>
        <v>0</v>
      </c>
      <c r="I314">
        <v>0</v>
      </c>
      <c r="J314">
        <v>0</v>
      </c>
      <c r="K314">
        <v>0</v>
      </c>
      <c r="L314">
        <f>IF(M314,TRUE,AND(P314:S314))</f>
        <v>0</v>
      </c>
      <c r="M314">
        <f>COUNTBLANK(metadata!B314:E314)=COLUMNS(metadata!B314:E314)</f>
        <v>0</v>
      </c>
      <c r="N314">
        <v>0</v>
      </c>
      <c r="P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Q314">
        <f>AND(IF(metadata!C314="",FALSE,TRUE),exact(metadata!C314,"other"))</f>
        <v>0</v>
      </c>
      <c r="R314">
        <f>AND(IF(metadata!D314="",FALSE,TRUE),exact(metadata!D314,"metagenome"))</f>
        <v>0</v>
      </c>
      <c r="S314">
        <f>AND(IF(metadata!E314="",FALSE,TRUE),exact(metadata!E314,"256318"))</f>
        <v>0</v>
      </c>
    </row>
    <row r="315" spans="1:19">
      <c r="A315" s="4">
        <f>IF(B315=" "," ",HYPERLINK(CONCATENATE("#metadata!",ADDRESS(INDEX($K$2:$K$1001,MATCH(ROWS($I$2:I315),$I$2:$I$1001,0),0),1)),INDEX($N$2:$N$1001,MATCH(ROWS($I$2:I315),$I$2:$I$1001,0),0)))</f>
        <v>0</v>
      </c>
      <c r="B315" s="3">
        <f>IF(OR(INDEX($J$2:$J$1001,MATCH(ROWS($I$2:I315),$I$2:$I$1001,0),1)&gt;=100000,INDEX($P$1005:$S$1005,1,MATCH(COLUMNS($P$1006:P1006),$P$1006:$S$1006,0))&gt;=100000), " ",IF(INDEX($P$2:$S$1001,MATCH(ROWS($I$2:I315),$I$2:$I$1001,0),MATCH(COLUMNS($P$1006:P1006),$P$1006:$S$1006,0)), HYPERLINK("#",""), HYPERLINK(CONCATENATE("#metadata!", ADDRESS(INDEX($K$2:$K$1001,MATCH(ROWS($I$2:I315),$I$2:$I$1001,0),0), INDEX($P$1004:$S$1004,1,MATCH(COLUMNS($P$1006:P1006),$P$1006:$S$1006,0)))),"Fix")))</f>
        <v>0</v>
      </c>
      <c r="C315" s="3">
        <f>IF(OR(INDEX($J$2:$J$1001,MATCH(ROWS($I$2:I315),$I$2:$I$1001,0),1)&gt;=100000,INDEX($P$1005:$S$1005,1,MATCH(COLUMNS($P$1006:Q1006),$P$1006:$S$1006,0))&gt;=100000), " ",IF(INDEX($P$2:$S$1001,MATCH(ROWS($I$2:I315),$I$2:$I$1001,0),MATCH(COLUMNS($P$1006:Q1006),$P$1006:$S$1006,0)), HYPERLINK("#",""), HYPERLINK(CONCATENATE("#metadata!", ADDRESS(INDEX($K$2:$K$1001,MATCH(ROWS($I$2:I315),$I$2:$I$1001,0),0), INDEX($P$1004:$S$1004,1,MATCH(COLUMNS($P$1006:Q1006),$P$1006:$S$1006,0)))),"Fix")))</f>
        <v>0</v>
      </c>
      <c r="D315" s="3">
        <f>IF(OR(INDEX($J$2:$J$1001,MATCH(ROWS($I$2:I315),$I$2:$I$1001,0),1)&gt;=100000,INDEX($P$1005:$S$1005,1,MATCH(COLUMNS($P$1006:R1006),$P$1006:$S$1006,0))&gt;=100000), " ",IF(INDEX($P$2:$S$1001,MATCH(ROWS($I$2:I315),$I$2:$I$1001,0),MATCH(COLUMNS($P$1006:R1006),$P$1006:$S$1006,0)), HYPERLINK("#",""), HYPERLINK(CONCATENATE("#metadata!", ADDRESS(INDEX($K$2:$K$1001,MATCH(ROWS($I$2:I315),$I$2:$I$1001,0),0), INDEX($P$1004:$S$1004,1,MATCH(COLUMNS($P$1006:R1006),$P$1006:$S$1006,0)))),"Fix")))</f>
        <v>0</v>
      </c>
      <c r="E315" s="3">
        <f>IF(OR(INDEX($J$2:$J$1001,MATCH(ROWS($I$2:I315),$I$2:$I$1001,0),1)&gt;=100000,INDEX($P$1005:$S$1005,1,MATCH(COLUMNS($P$1006:S1006),$P$1006:$S$1006,0))&gt;=100000), " ",IF(INDEX($P$2:$S$1001,MATCH(ROWS($I$2:I315),$I$2:$I$1001,0),MATCH(COLUMNS($P$1006:S1006),$P$1006:$S$1006,0)), HYPERLINK("#",""), HYPERLINK(CONCATENATE("#metadata!", ADDRESS(INDEX($K$2:$K$1001,MATCH(ROWS($I$2:I315),$I$2:$I$1001,0),0), INDEX($P$1004:$S$1004,1,MATCH(COLUMNS($P$1006:S1006),$P$1006:$S$1006,0)))),"Fix")))</f>
        <v>0</v>
      </c>
      <c r="I315">
        <v>0</v>
      </c>
      <c r="J315">
        <v>0</v>
      </c>
      <c r="K315">
        <v>0</v>
      </c>
      <c r="L315">
        <f>IF(M315,TRUE,AND(P315:S315))</f>
        <v>0</v>
      </c>
      <c r="M315">
        <f>COUNTBLANK(metadata!B315:E315)=COLUMNS(metadata!B315:E315)</f>
        <v>0</v>
      </c>
      <c r="N315">
        <v>0</v>
      </c>
      <c r="P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Q315">
        <f>AND(IF(metadata!C315="",FALSE,TRUE),exact(metadata!C315,"other"))</f>
        <v>0</v>
      </c>
      <c r="R315">
        <f>AND(IF(metadata!D315="",FALSE,TRUE),exact(metadata!D315,"metagenome"))</f>
        <v>0</v>
      </c>
      <c r="S315">
        <f>AND(IF(metadata!E315="",FALSE,TRUE),exact(metadata!E315,"256318"))</f>
        <v>0</v>
      </c>
    </row>
    <row r="316" spans="1:19">
      <c r="A316" s="4">
        <f>IF(B316=" "," ",HYPERLINK(CONCATENATE("#metadata!",ADDRESS(INDEX($K$2:$K$1001,MATCH(ROWS($I$2:I316),$I$2:$I$1001,0),0),1)),INDEX($N$2:$N$1001,MATCH(ROWS($I$2:I316),$I$2:$I$1001,0),0)))</f>
        <v>0</v>
      </c>
      <c r="B316" s="3">
        <f>IF(OR(INDEX($J$2:$J$1001,MATCH(ROWS($I$2:I316),$I$2:$I$1001,0),1)&gt;=100000,INDEX($P$1005:$S$1005,1,MATCH(COLUMNS($P$1006:P1006),$P$1006:$S$1006,0))&gt;=100000), " ",IF(INDEX($P$2:$S$1001,MATCH(ROWS($I$2:I316),$I$2:$I$1001,0),MATCH(COLUMNS($P$1006:P1006),$P$1006:$S$1006,0)), HYPERLINK("#",""), HYPERLINK(CONCATENATE("#metadata!", ADDRESS(INDEX($K$2:$K$1001,MATCH(ROWS($I$2:I316),$I$2:$I$1001,0),0), INDEX($P$1004:$S$1004,1,MATCH(COLUMNS($P$1006:P1006),$P$1006:$S$1006,0)))),"Fix")))</f>
        <v>0</v>
      </c>
      <c r="C316" s="3">
        <f>IF(OR(INDEX($J$2:$J$1001,MATCH(ROWS($I$2:I316),$I$2:$I$1001,0),1)&gt;=100000,INDEX($P$1005:$S$1005,1,MATCH(COLUMNS($P$1006:Q1006),$P$1006:$S$1006,0))&gt;=100000), " ",IF(INDEX($P$2:$S$1001,MATCH(ROWS($I$2:I316),$I$2:$I$1001,0),MATCH(COLUMNS($P$1006:Q1006),$P$1006:$S$1006,0)), HYPERLINK("#",""), HYPERLINK(CONCATENATE("#metadata!", ADDRESS(INDEX($K$2:$K$1001,MATCH(ROWS($I$2:I316),$I$2:$I$1001,0),0), INDEX($P$1004:$S$1004,1,MATCH(COLUMNS($P$1006:Q1006),$P$1006:$S$1006,0)))),"Fix")))</f>
        <v>0</v>
      </c>
      <c r="D316" s="3">
        <f>IF(OR(INDEX($J$2:$J$1001,MATCH(ROWS($I$2:I316),$I$2:$I$1001,0),1)&gt;=100000,INDEX($P$1005:$S$1005,1,MATCH(COLUMNS($P$1006:R1006),$P$1006:$S$1006,0))&gt;=100000), " ",IF(INDEX($P$2:$S$1001,MATCH(ROWS($I$2:I316),$I$2:$I$1001,0),MATCH(COLUMNS($P$1006:R1006),$P$1006:$S$1006,0)), HYPERLINK("#",""), HYPERLINK(CONCATENATE("#metadata!", ADDRESS(INDEX($K$2:$K$1001,MATCH(ROWS($I$2:I316),$I$2:$I$1001,0),0), INDEX($P$1004:$S$1004,1,MATCH(COLUMNS($P$1006:R1006),$P$1006:$S$1006,0)))),"Fix")))</f>
        <v>0</v>
      </c>
      <c r="E316" s="3">
        <f>IF(OR(INDEX($J$2:$J$1001,MATCH(ROWS($I$2:I316),$I$2:$I$1001,0),1)&gt;=100000,INDEX($P$1005:$S$1005,1,MATCH(COLUMNS($P$1006:S1006),$P$1006:$S$1006,0))&gt;=100000), " ",IF(INDEX($P$2:$S$1001,MATCH(ROWS($I$2:I316),$I$2:$I$1001,0),MATCH(COLUMNS($P$1006:S1006),$P$1006:$S$1006,0)), HYPERLINK("#",""), HYPERLINK(CONCATENATE("#metadata!", ADDRESS(INDEX($K$2:$K$1001,MATCH(ROWS($I$2:I316),$I$2:$I$1001,0),0), INDEX($P$1004:$S$1004,1,MATCH(COLUMNS($P$1006:S1006),$P$1006:$S$1006,0)))),"Fix")))</f>
        <v>0</v>
      </c>
      <c r="I316">
        <v>0</v>
      </c>
      <c r="J316">
        <v>0</v>
      </c>
      <c r="K316">
        <v>0</v>
      </c>
      <c r="L316">
        <f>IF(M316,TRUE,AND(P316:S316))</f>
        <v>0</v>
      </c>
      <c r="M316">
        <f>COUNTBLANK(metadata!B316:E316)=COLUMNS(metadata!B316:E316)</f>
        <v>0</v>
      </c>
      <c r="N316">
        <v>0</v>
      </c>
      <c r="P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Q316">
        <f>AND(IF(metadata!C316="",FALSE,TRUE),exact(metadata!C316,"other"))</f>
        <v>0</v>
      </c>
      <c r="R316">
        <f>AND(IF(metadata!D316="",FALSE,TRUE),exact(metadata!D316,"metagenome"))</f>
        <v>0</v>
      </c>
      <c r="S316">
        <f>AND(IF(metadata!E316="",FALSE,TRUE),exact(metadata!E316,"256318"))</f>
        <v>0</v>
      </c>
    </row>
    <row r="317" spans="1:19">
      <c r="A317" s="4">
        <f>IF(B317=" "," ",HYPERLINK(CONCATENATE("#metadata!",ADDRESS(INDEX($K$2:$K$1001,MATCH(ROWS($I$2:I317),$I$2:$I$1001,0),0),1)),INDEX($N$2:$N$1001,MATCH(ROWS($I$2:I317),$I$2:$I$1001,0),0)))</f>
        <v>0</v>
      </c>
      <c r="B317" s="3">
        <f>IF(OR(INDEX($J$2:$J$1001,MATCH(ROWS($I$2:I317),$I$2:$I$1001,0),1)&gt;=100000,INDEX($P$1005:$S$1005,1,MATCH(COLUMNS($P$1006:P1006),$P$1006:$S$1006,0))&gt;=100000), " ",IF(INDEX($P$2:$S$1001,MATCH(ROWS($I$2:I317),$I$2:$I$1001,0),MATCH(COLUMNS($P$1006:P1006),$P$1006:$S$1006,0)), HYPERLINK("#",""), HYPERLINK(CONCATENATE("#metadata!", ADDRESS(INDEX($K$2:$K$1001,MATCH(ROWS($I$2:I317),$I$2:$I$1001,0),0), INDEX($P$1004:$S$1004,1,MATCH(COLUMNS($P$1006:P1006),$P$1006:$S$1006,0)))),"Fix")))</f>
        <v>0</v>
      </c>
      <c r="C317" s="3">
        <f>IF(OR(INDEX($J$2:$J$1001,MATCH(ROWS($I$2:I317),$I$2:$I$1001,0),1)&gt;=100000,INDEX($P$1005:$S$1005,1,MATCH(COLUMNS($P$1006:Q1006),$P$1006:$S$1006,0))&gt;=100000), " ",IF(INDEX($P$2:$S$1001,MATCH(ROWS($I$2:I317),$I$2:$I$1001,0),MATCH(COLUMNS($P$1006:Q1006),$P$1006:$S$1006,0)), HYPERLINK("#",""), HYPERLINK(CONCATENATE("#metadata!", ADDRESS(INDEX($K$2:$K$1001,MATCH(ROWS($I$2:I317),$I$2:$I$1001,0),0), INDEX($P$1004:$S$1004,1,MATCH(COLUMNS($P$1006:Q1006),$P$1006:$S$1006,0)))),"Fix")))</f>
        <v>0</v>
      </c>
      <c r="D317" s="3">
        <f>IF(OR(INDEX($J$2:$J$1001,MATCH(ROWS($I$2:I317),$I$2:$I$1001,0),1)&gt;=100000,INDEX($P$1005:$S$1005,1,MATCH(COLUMNS($P$1006:R1006),$P$1006:$S$1006,0))&gt;=100000), " ",IF(INDEX($P$2:$S$1001,MATCH(ROWS($I$2:I317),$I$2:$I$1001,0),MATCH(COLUMNS($P$1006:R1006),$P$1006:$S$1006,0)), HYPERLINK("#",""), HYPERLINK(CONCATENATE("#metadata!", ADDRESS(INDEX($K$2:$K$1001,MATCH(ROWS($I$2:I317),$I$2:$I$1001,0),0), INDEX($P$1004:$S$1004,1,MATCH(COLUMNS($P$1006:R1006),$P$1006:$S$1006,0)))),"Fix")))</f>
        <v>0</v>
      </c>
      <c r="E317" s="3">
        <f>IF(OR(INDEX($J$2:$J$1001,MATCH(ROWS($I$2:I317),$I$2:$I$1001,0),1)&gt;=100000,INDEX($P$1005:$S$1005,1,MATCH(COLUMNS($P$1006:S1006),$P$1006:$S$1006,0))&gt;=100000), " ",IF(INDEX($P$2:$S$1001,MATCH(ROWS($I$2:I317),$I$2:$I$1001,0),MATCH(COLUMNS($P$1006:S1006),$P$1006:$S$1006,0)), HYPERLINK("#",""), HYPERLINK(CONCATENATE("#metadata!", ADDRESS(INDEX($K$2:$K$1001,MATCH(ROWS($I$2:I317),$I$2:$I$1001,0),0), INDEX($P$1004:$S$1004,1,MATCH(COLUMNS($P$1006:S1006),$P$1006:$S$1006,0)))),"Fix")))</f>
        <v>0</v>
      </c>
      <c r="I317">
        <v>0</v>
      </c>
      <c r="J317">
        <v>0</v>
      </c>
      <c r="K317">
        <v>0</v>
      </c>
      <c r="L317">
        <f>IF(M317,TRUE,AND(P317:S317))</f>
        <v>0</v>
      </c>
      <c r="M317">
        <f>COUNTBLANK(metadata!B317:E317)=COLUMNS(metadata!B317:E317)</f>
        <v>0</v>
      </c>
      <c r="N317">
        <v>0</v>
      </c>
      <c r="P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Q317">
        <f>AND(IF(metadata!C317="",FALSE,TRUE),exact(metadata!C317,"other"))</f>
        <v>0</v>
      </c>
      <c r="R317">
        <f>AND(IF(metadata!D317="",FALSE,TRUE),exact(metadata!D317,"metagenome"))</f>
        <v>0</v>
      </c>
      <c r="S317">
        <f>AND(IF(metadata!E317="",FALSE,TRUE),exact(metadata!E317,"256318"))</f>
        <v>0</v>
      </c>
    </row>
    <row r="318" spans="1:19">
      <c r="A318" s="4">
        <f>IF(B318=" "," ",HYPERLINK(CONCATENATE("#metadata!",ADDRESS(INDEX($K$2:$K$1001,MATCH(ROWS($I$2:I318),$I$2:$I$1001,0),0),1)),INDEX($N$2:$N$1001,MATCH(ROWS($I$2:I318),$I$2:$I$1001,0),0)))</f>
        <v>0</v>
      </c>
      <c r="B318" s="3">
        <f>IF(OR(INDEX($J$2:$J$1001,MATCH(ROWS($I$2:I318),$I$2:$I$1001,0),1)&gt;=100000,INDEX($P$1005:$S$1005,1,MATCH(COLUMNS($P$1006:P1006),$P$1006:$S$1006,0))&gt;=100000), " ",IF(INDEX($P$2:$S$1001,MATCH(ROWS($I$2:I318),$I$2:$I$1001,0),MATCH(COLUMNS($P$1006:P1006),$P$1006:$S$1006,0)), HYPERLINK("#",""), HYPERLINK(CONCATENATE("#metadata!", ADDRESS(INDEX($K$2:$K$1001,MATCH(ROWS($I$2:I318),$I$2:$I$1001,0),0), INDEX($P$1004:$S$1004,1,MATCH(COLUMNS($P$1006:P1006),$P$1006:$S$1006,0)))),"Fix")))</f>
        <v>0</v>
      </c>
      <c r="C318" s="3">
        <f>IF(OR(INDEX($J$2:$J$1001,MATCH(ROWS($I$2:I318),$I$2:$I$1001,0),1)&gt;=100000,INDEX($P$1005:$S$1005,1,MATCH(COLUMNS($P$1006:Q1006),$P$1006:$S$1006,0))&gt;=100000), " ",IF(INDEX($P$2:$S$1001,MATCH(ROWS($I$2:I318),$I$2:$I$1001,0),MATCH(COLUMNS($P$1006:Q1006),$P$1006:$S$1006,0)), HYPERLINK("#",""), HYPERLINK(CONCATENATE("#metadata!", ADDRESS(INDEX($K$2:$K$1001,MATCH(ROWS($I$2:I318),$I$2:$I$1001,0),0), INDEX($P$1004:$S$1004,1,MATCH(COLUMNS($P$1006:Q1006),$P$1006:$S$1006,0)))),"Fix")))</f>
        <v>0</v>
      </c>
      <c r="D318" s="3">
        <f>IF(OR(INDEX($J$2:$J$1001,MATCH(ROWS($I$2:I318),$I$2:$I$1001,0),1)&gt;=100000,INDEX($P$1005:$S$1005,1,MATCH(COLUMNS($P$1006:R1006),$P$1006:$S$1006,0))&gt;=100000), " ",IF(INDEX($P$2:$S$1001,MATCH(ROWS($I$2:I318),$I$2:$I$1001,0),MATCH(COLUMNS($P$1006:R1006),$P$1006:$S$1006,0)), HYPERLINK("#",""), HYPERLINK(CONCATENATE("#metadata!", ADDRESS(INDEX($K$2:$K$1001,MATCH(ROWS($I$2:I318),$I$2:$I$1001,0),0), INDEX($P$1004:$S$1004,1,MATCH(COLUMNS($P$1006:R1006),$P$1006:$S$1006,0)))),"Fix")))</f>
        <v>0</v>
      </c>
      <c r="E318" s="3">
        <f>IF(OR(INDEX($J$2:$J$1001,MATCH(ROWS($I$2:I318),$I$2:$I$1001,0),1)&gt;=100000,INDEX($P$1005:$S$1005,1,MATCH(COLUMNS($P$1006:S1006),$P$1006:$S$1006,0))&gt;=100000), " ",IF(INDEX($P$2:$S$1001,MATCH(ROWS($I$2:I318),$I$2:$I$1001,0),MATCH(COLUMNS($P$1006:S1006),$P$1006:$S$1006,0)), HYPERLINK("#",""), HYPERLINK(CONCATENATE("#metadata!", ADDRESS(INDEX($K$2:$K$1001,MATCH(ROWS($I$2:I318),$I$2:$I$1001,0),0), INDEX($P$1004:$S$1004,1,MATCH(COLUMNS($P$1006:S1006),$P$1006:$S$1006,0)))),"Fix")))</f>
        <v>0</v>
      </c>
      <c r="I318">
        <v>0</v>
      </c>
      <c r="J318">
        <v>0</v>
      </c>
      <c r="K318">
        <v>0</v>
      </c>
      <c r="L318">
        <f>IF(M318,TRUE,AND(P318:S318))</f>
        <v>0</v>
      </c>
      <c r="M318">
        <f>COUNTBLANK(metadata!B318:E318)=COLUMNS(metadata!B318:E318)</f>
        <v>0</v>
      </c>
      <c r="N318">
        <v>0</v>
      </c>
      <c r="P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Q318">
        <f>AND(IF(metadata!C318="",FALSE,TRUE),exact(metadata!C318,"other"))</f>
        <v>0</v>
      </c>
      <c r="R318">
        <f>AND(IF(metadata!D318="",FALSE,TRUE),exact(metadata!D318,"metagenome"))</f>
        <v>0</v>
      </c>
      <c r="S318">
        <f>AND(IF(metadata!E318="",FALSE,TRUE),exact(metadata!E318,"256318"))</f>
        <v>0</v>
      </c>
    </row>
    <row r="319" spans="1:19">
      <c r="A319" s="4">
        <f>IF(B319=" "," ",HYPERLINK(CONCATENATE("#metadata!",ADDRESS(INDEX($K$2:$K$1001,MATCH(ROWS($I$2:I319),$I$2:$I$1001,0),0),1)),INDEX($N$2:$N$1001,MATCH(ROWS($I$2:I319),$I$2:$I$1001,0),0)))</f>
        <v>0</v>
      </c>
      <c r="B319" s="3">
        <f>IF(OR(INDEX($J$2:$J$1001,MATCH(ROWS($I$2:I319),$I$2:$I$1001,0),1)&gt;=100000,INDEX($P$1005:$S$1005,1,MATCH(COLUMNS($P$1006:P1006),$P$1006:$S$1006,0))&gt;=100000), " ",IF(INDEX($P$2:$S$1001,MATCH(ROWS($I$2:I319),$I$2:$I$1001,0),MATCH(COLUMNS($P$1006:P1006),$P$1006:$S$1006,0)), HYPERLINK("#",""), HYPERLINK(CONCATENATE("#metadata!", ADDRESS(INDEX($K$2:$K$1001,MATCH(ROWS($I$2:I319),$I$2:$I$1001,0),0), INDEX($P$1004:$S$1004,1,MATCH(COLUMNS($P$1006:P1006),$P$1006:$S$1006,0)))),"Fix")))</f>
        <v>0</v>
      </c>
      <c r="C319" s="3">
        <f>IF(OR(INDEX($J$2:$J$1001,MATCH(ROWS($I$2:I319),$I$2:$I$1001,0),1)&gt;=100000,INDEX($P$1005:$S$1005,1,MATCH(COLUMNS($P$1006:Q1006),$P$1006:$S$1006,0))&gt;=100000), " ",IF(INDEX($P$2:$S$1001,MATCH(ROWS($I$2:I319),$I$2:$I$1001,0),MATCH(COLUMNS($P$1006:Q1006),$P$1006:$S$1006,0)), HYPERLINK("#",""), HYPERLINK(CONCATENATE("#metadata!", ADDRESS(INDEX($K$2:$K$1001,MATCH(ROWS($I$2:I319),$I$2:$I$1001,0),0), INDEX($P$1004:$S$1004,1,MATCH(COLUMNS($P$1006:Q1006),$P$1006:$S$1006,0)))),"Fix")))</f>
        <v>0</v>
      </c>
      <c r="D319" s="3">
        <f>IF(OR(INDEX($J$2:$J$1001,MATCH(ROWS($I$2:I319),$I$2:$I$1001,0),1)&gt;=100000,INDEX($P$1005:$S$1005,1,MATCH(COLUMNS($P$1006:R1006),$P$1006:$S$1006,0))&gt;=100000), " ",IF(INDEX($P$2:$S$1001,MATCH(ROWS($I$2:I319),$I$2:$I$1001,0),MATCH(COLUMNS($P$1006:R1006),$P$1006:$S$1006,0)), HYPERLINK("#",""), HYPERLINK(CONCATENATE("#metadata!", ADDRESS(INDEX($K$2:$K$1001,MATCH(ROWS($I$2:I319),$I$2:$I$1001,0),0), INDEX($P$1004:$S$1004,1,MATCH(COLUMNS($P$1006:R1006),$P$1006:$S$1006,0)))),"Fix")))</f>
        <v>0</v>
      </c>
      <c r="E319" s="3">
        <f>IF(OR(INDEX($J$2:$J$1001,MATCH(ROWS($I$2:I319),$I$2:$I$1001,0),1)&gt;=100000,INDEX($P$1005:$S$1005,1,MATCH(COLUMNS($P$1006:S1006),$P$1006:$S$1006,0))&gt;=100000), " ",IF(INDEX($P$2:$S$1001,MATCH(ROWS($I$2:I319),$I$2:$I$1001,0),MATCH(COLUMNS($P$1006:S1006),$P$1006:$S$1006,0)), HYPERLINK("#",""), HYPERLINK(CONCATENATE("#metadata!", ADDRESS(INDEX($K$2:$K$1001,MATCH(ROWS($I$2:I319),$I$2:$I$1001,0),0), INDEX($P$1004:$S$1004,1,MATCH(COLUMNS($P$1006:S1006),$P$1006:$S$1006,0)))),"Fix")))</f>
        <v>0</v>
      </c>
      <c r="I319">
        <v>0</v>
      </c>
      <c r="J319">
        <v>0</v>
      </c>
      <c r="K319">
        <v>0</v>
      </c>
      <c r="L319">
        <f>IF(M319,TRUE,AND(P319:S319))</f>
        <v>0</v>
      </c>
      <c r="M319">
        <f>COUNTBLANK(metadata!B319:E319)=COLUMNS(metadata!B319:E319)</f>
        <v>0</v>
      </c>
      <c r="N319">
        <v>0</v>
      </c>
      <c r="P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Q319">
        <f>AND(IF(metadata!C319="",FALSE,TRUE),exact(metadata!C319,"other"))</f>
        <v>0</v>
      </c>
      <c r="R319">
        <f>AND(IF(metadata!D319="",FALSE,TRUE),exact(metadata!D319,"metagenome"))</f>
        <v>0</v>
      </c>
      <c r="S319">
        <f>AND(IF(metadata!E319="",FALSE,TRUE),exact(metadata!E319,"256318"))</f>
        <v>0</v>
      </c>
    </row>
    <row r="320" spans="1:19">
      <c r="A320" s="4">
        <f>IF(B320=" "," ",HYPERLINK(CONCATENATE("#metadata!",ADDRESS(INDEX($K$2:$K$1001,MATCH(ROWS($I$2:I320),$I$2:$I$1001,0),0),1)),INDEX($N$2:$N$1001,MATCH(ROWS($I$2:I320),$I$2:$I$1001,0),0)))</f>
        <v>0</v>
      </c>
      <c r="B320" s="3">
        <f>IF(OR(INDEX($J$2:$J$1001,MATCH(ROWS($I$2:I320),$I$2:$I$1001,0),1)&gt;=100000,INDEX($P$1005:$S$1005,1,MATCH(COLUMNS($P$1006:P1006),$P$1006:$S$1006,0))&gt;=100000), " ",IF(INDEX($P$2:$S$1001,MATCH(ROWS($I$2:I320),$I$2:$I$1001,0),MATCH(COLUMNS($P$1006:P1006),$P$1006:$S$1006,0)), HYPERLINK("#",""), HYPERLINK(CONCATENATE("#metadata!", ADDRESS(INDEX($K$2:$K$1001,MATCH(ROWS($I$2:I320),$I$2:$I$1001,0),0), INDEX($P$1004:$S$1004,1,MATCH(COLUMNS($P$1006:P1006),$P$1006:$S$1006,0)))),"Fix")))</f>
        <v>0</v>
      </c>
      <c r="C320" s="3">
        <f>IF(OR(INDEX($J$2:$J$1001,MATCH(ROWS($I$2:I320),$I$2:$I$1001,0),1)&gt;=100000,INDEX($P$1005:$S$1005,1,MATCH(COLUMNS($P$1006:Q1006),$P$1006:$S$1006,0))&gt;=100000), " ",IF(INDEX($P$2:$S$1001,MATCH(ROWS($I$2:I320),$I$2:$I$1001,0),MATCH(COLUMNS($P$1006:Q1006),$P$1006:$S$1006,0)), HYPERLINK("#",""), HYPERLINK(CONCATENATE("#metadata!", ADDRESS(INDEX($K$2:$K$1001,MATCH(ROWS($I$2:I320),$I$2:$I$1001,0),0), INDEX($P$1004:$S$1004,1,MATCH(COLUMNS($P$1006:Q1006),$P$1006:$S$1006,0)))),"Fix")))</f>
        <v>0</v>
      </c>
      <c r="D320" s="3">
        <f>IF(OR(INDEX($J$2:$J$1001,MATCH(ROWS($I$2:I320),$I$2:$I$1001,0),1)&gt;=100000,INDEX($P$1005:$S$1005,1,MATCH(COLUMNS($P$1006:R1006),$P$1006:$S$1006,0))&gt;=100000), " ",IF(INDEX($P$2:$S$1001,MATCH(ROWS($I$2:I320),$I$2:$I$1001,0),MATCH(COLUMNS($P$1006:R1006),$P$1006:$S$1006,0)), HYPERLINK("#",""), HYPERLINK(CONCATENATE("#metadata!", ADDRESS(INDEX($K$2:$K$1001,MATCH(ROWS($I$2:I320),$I$2:$I$1001,0),0), INDEX($P$1004:$S$1004,1,MATCH(COLUMNS($P$1006:R1006),$P$1006:$S$1006,0)))),"Fix")))</f>
        <v>0</v>
      </c>
      <c r="E320" s="3">
        <f>IF(OR(INDEX($J$2:$J$1001,MATCH(ROWS($I$2:I320),$I$2:$I$1001,0),1)&gt;=100000,INDEX($P$1005:$S$1005,1,MATCH(COLUMNS($P$1006:S1006),$P$1006:$S$1006,0))&gt;=100000), " ",IF(INDEX($P$2:$S$1001,MATCH(ROWS($I$2:I320),$I$2:$I$1001,0),MATCH(COLUMNS($P$1006:S1006),$P$1006:$S$1006,0)), HYPERLINK("#",""), HYPERLINK(CONCATENATE("#metadata!", ADDRESS(INDEX($K$2:$K$1001,MATCH(ROWS($I$2:I320),$I$2:$I$1001,0),0), INDEX($P$1004:$S$1004,1,MATCH(COLUMNS($P$1006:S1006),$P$1006:$S$1006,0)))),"Fix")))</f>
        <v>0</v>
      </c>
      <c r="I320">
        <v>0</v>
      </c>
      <c r="J320">
        <v>0</v>
      </c>
      <c r="K320">
        <v>0</v>
      </c>
      <c r="L320">
        <f>IF(M320,TRUE,AND(P320:S320))</f>
        <v>0</v>
      </c>
      <c r="M320">
        <f>COUNTBLANK(metadata!B320:E320)=COLUMNS(metadata!B320:E320)</f>
        <v>0</v>
      </c>
      <c r="N320">
        <v>0</v>
      </c>
      <c r="P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Q320">
        <f>AND(IF(metadata!C320="",FALSE,TRUE),exact(metadata!C320,"other"))</f>
        <v>0</v>
      </c>
      <c r="R320">
        <f>AND(IF(metadata!D320="",FALSE,TRUE),exact(metadata!D320,"metagenome"))</f>
        <v>0</v>
      </c>
      <c r="S320">
        <f>AND(IF(metadata!E320="",FALSE,TRUE),exact(metadata!E320,"256318"))</f>
        <v>0</v>
      </c>
    </row>
    <row r="321" spans="1:19">
      <c r="A321" s="4">
        <f>IF(B321=" "," ",HYPERLINK(CONCATENATE("#metadata!",ADDRESS(INDEX($K$2:$K$1001,MATCH(ROWS($I$2:I321),$I$2:$I$1001,0),0),1)),INDEX($N$2:$N$1001,MATCH(ROWS($I$2:I321),$I$2:$I$1001,0),0)))</f>
        <v>0</v>
      </c>
      <c r="B321" s="3">
        <f>IF(OR(INDEX($J$2:$J$1001,MATCH(ROWS($I$2:I321),$I$2:$I$1001,0),1)&gt;=100000,INDEX($P$1005:$S$1005,1,MATCH(COLUMNS($P$1006:P1006),$P$1006:$S$1006,0))&gt;=100000), " ",IF(INDEX($P$2:$S$1001,MATCH(ROWS($I$2:I321),$I$2:$I$1001,0),MATCH(COLUMNS($P$1006:P1006),$P$1006:$S$1006,0)), HYPERLINK("#",""), HYPERLINK(CONCATENATE("#metadata!", ADDRESS(INDEX($K$2:$K$1001,MATCH(ROWS($I$2:I321),$I$2:$I$1001,0),0), INDEX($P$1004:$S$1004,1,MATCH(COLUMNS($P$1006:P1006),$P$1006:$S$1006,0)))),"Fix")))</f>
        <v>0</v>
      </c>
      <c r="C321" s="3">
        <f>IF(OR(INDEX($J$2:$J$1001,MATCH(ROWS($I$2:I321),$I$2:$I$1001,0),1)&gt;=100000,INDEX($P$1005:$S$1005,1,MATCH(COLUMNS($P$1006:Q1006),$P$1006:$S$1006,0))&gt;=100000), " ",IF(INDEX($P$2:$S$1001,MATCH(ROWS($I$2:I321),$I$2:$I$1001,0),MATCH(COLUMNS($P$1006:Q1006),$P$1006:$S$1006,0)), HYPERLINK("#",""), HYPERLINK(CONCATENATE("#metadata!", ADDRESS(INDEX($K$2:$K$1001,MATCH(ROWS($I$2:I321),$I$2:$I$1001,0),0), INDEX($P$1004:$S$1004,1,MATCH(COLUMNS($P$1006:Q1006),$P$1006:$S$1006,0)))),"Fix")))</f>
        <v>0</v>
      </c>
      <c r="D321" s="3">
        <f>IF(OR(INDEX($J$2:$J$1001,MATCH(ROWS($I$2:I321),$I$2:$I$1001,0),1)&gt;=100000,INDEX($P$1005:$S$1005,1,MATCH(COLUMNS($P$1006:R1006),$P$1006:$S$1006,0))&gt;=100000), " ",IF(INDEX($P$2:$S$1001,MATCH(ROWS($I$2:I321),$I$2:$I$1001,0),MATCH(COLUMNS($P$1006:R1006),$P$1006:$S$1006,0)), HYPERLINK("#",""), HYPERLINK(CONCATENATE("#metadata!", ADDRESS(INDEX($K$2:$K$1001,MATCH(ROWS($I$2:I321),$I$2:$I$1001,0),0), INDEX($P$1004:$S$1004,1,MATCH(COLUMNS($P$1006:R1006),$P$1006:$S$1006,0)))),"Fix")))</f>
        <v>0</v>
      </c>
      <c r="E321" s="3">
        <f>IF(OR(INDEX($J$2:$J$1001,MATCH(ROWS($I$2:I321),$I$2:$I$1001,0),1)&gt;=100000,INDEX($P$1005:$S$1005,1,MATCH(COLUMNS($P$1006:S1006),$P$1006:$S$1006,0))&gt;=100000), " ",IF(INDEX($P$2:$S$1001,MATCH(ROWS($I$2:I321),$I$2:$I$1001,0),MATCH(COLUMNS($P$1006:S1006),$P$1006:$S$1006,0)), HYPERLINK("#",""), HYPERLINK(CONCATENATE("#metadata!", ADDRESS(INDEX($K$2:$K$1001,MATCH(ROWS($I$2:I321),$I$2:$I$1001,0),0), INDEX($P$1004:$S$1004,1,MATCH(COLUMNS($P$1006:S1006),$P$1006:$S$1006,0)))),"Fix")))</f>
        <v>0</v>
      </c>
      <c r="I321">
        <v>0</v>
      </c>
      <c r="J321">
        <v>0</v>
      </c>
      <c r="K321">
        <v>0</v>
      </c>
      <c r="L321">
        <f>IF(M321,TRUE,AND(P321:S321))</f>
        <v>0</v>
      </c>
      <c r="M321">
        <f>COUNTBLANK(metadata!B321:E321)=COLUMNS(metadata!B321:E321)</f>
        <v>0</v>
      </c>
      <c r="N321">
        <v>0</v>
      </c>
      <c r="P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Q321">
        <f>AND(IF(metadata!C321="",FALSE,TRUE),exact(metadata!C321,"other"))</f>
        <v>0</v>
      </c>
      <c r="R321">
        <f>AND(IF(metadata!D321="",FALSE,TRUE),exact(metadata!D321,"metagenome"))</f>
        <v>0</v>
      </c>
      <c r="S321">
        <f>AND(IF(metadata!E321="",FALSE,TRUE),exact(metadata!E321,"256318"))</f>
        <v>0</v>
      </c>
    </row>
    <row r="322" spans="1:19">
      <c r="A322" s="4">
        <f>IF(B322=" "," ",HYPERLINK(CONCATENATE("#metadata!",ADDRESS(INDEX($K$2:$K$1001,MATCH(ROWS($I$2:I322),$I$2:$I$1001,0),0),1)),INDEX($N$2:$N$1001,MATCH(ROWS($I$2:I322),$I$2:$I$1001,0),0)))</f>
        <v>0</v>
      </c>
      <c r="B322" s="3">
        <f>IF(OR(INDEX($J$2:$J$1001,MATCH(ROWS($I$2:I322),$I$2:$I$1001,0),1)&gt;=100000,INDEX($P$1005:$S$1005,1,MATCH(COLUMNS($P$1006:P1006),$P$1006:$S$1006,0))&gt;=100000), " ",IF(INDEX($P$2:$S$1001,MATCH(ROWS($I$2:I322),$I$2:$I$1001,0),MATCH(COLUMNS($P$1006:P1006),$P$1006:$S$1006,0)), HYPERLINK("#",""), HYPERLINK(CONCATENATE("#metadata!", ADDRESS(INDEX($K$2:$K$1001,MATCH(ROWS($I$2:I322),$I$2:$I$1001,0),0), INDEX($P$1004:$S$1004,1,MATCH(COLUMNS($P$1006:P1006),$P$1006:$S$1006,0)))),"Fix")))</f>
        <v>0</v>
      </c>
      <c r="C322" s="3">
        <f>IF(OR(INDEX($J$2:$J$1001,MATCH(ROWS($I$2:I322),$I$2:$I$1001,0),1)&gt;=100000,INDEX($P$1005:$S$1005,1,MATCH(COLUMNS($P$1006:Q1006),$P$1006:$S$1006,0))&gt;=100000), " ",IF(INDEX($P$2:$S$1001,MATCH(ROWS($I$2:I322),$I$2:$I$1001,0),MATCH(COLUMNS($P$1006:Q1006),$P$1006:$S$1006,0)), HYPERLINK("#",""), HYPERLINK(CONCATENATE("#metadata!", ADDRESS(INDEX($K$2:$K$1001,MATCH(ROWS($I$2:I322),$I$2:$I$1001,0),0), INDEX($P$1004:$S$1004,1,MATCH(COLUMNS($P$1006:Q1006),$P$1006:$S$1006,0)))),"Fix")))</f>
        <v>0</v>
      </c>
      <c r="D322" s="3">
        <f>IF(OR(INDEX($J$2:$J$1001,MATCH(ROWS($I$2:I322),$I$2:$I$1001,0),1)&gt;=100000,INDEX($P$1005:$S$1005,1,MATCH(COLUMNS($P$1006:R1006),$P$1006:$S$1006,0))&gt;=100000), " ",IF(INDEX($P$2:$S$1001,MATCH(ROWS($I$2:I322),$I$2:$I$1001,0),MATCH(COLUMNS($P$1006:R1006),$P$1006:$S$1006,0)), HYPERLINK("#",""), HYPERLINK(CONCATENATE("#metadata!", ADDRESS(INDEX($K$2:$K$1001,MATCH(ROWS($I$2:I322),$I$2:$I$1001,0),0), INDEX($P$1004:$S$1004,1,MATCH(COLUMNS($P$1006:R1006),$P$1006:$S$1006,0)))),"Fix")))</f>
        <v>0</v>
      </c>
      <c r="E322" s="3">
        <f>IF(OR(INDEX($J$2:$J$1001,MATCH(ROWS($I$2:I322),$I$2:$I$1001,0),1)&gt;=100000,INDEX($P$1005:$S$1005,1,MATCH(COLUMNS($P$1006:S1006),$P$1006:$S$1006,0))&gt;=100000), " ",IF(INDEX($P$2:$S$1001,MATCH(ROWS($I$2:I322),$I$2:$I$1001,0),MATCH(COLUMNS($P$1006:S1006),$P$1006:$S$1006,0)), HYPERLINK("#",""), HYPERLINK(CONCATENATE("#metadata!", ADDRESS(INDEX($K$2:$K$1001,MATCH(ROWS($I$2:I322),$I$2:$I$1001,0),0), INDEX($P$1004:$S$1004,1,MATCH(COLUMNS($P$1006:S1006),$P$1006:$S$1006,0)))),"Fix")))</f>
        <v>0</v>
      </c>
      <c r="I322">
        <v>0</v>
      </c>
      <c r="J322">
        <v>0</v>
      </c>
      <c r="K322">
        <v>0</v>
      </c>
      <c r="L322">
        <f>IF(M322,TRUE,AND(P322:S322))</f>
        <v>0</v>
      </c>
      <c r="M322">
        <f>COUNTBLANK(metadata!B322:E322)=COLUMNS(metadata!B322:E322)</f>
        <v>0</v>
      </c>
      <c r="N322">
        <v>0</v>
      </c>
      <c r="P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Q322">
        <f>AND(IF(metadata!C322="",FALSE,TRUE),exact(metadata!C322,"other"))</f>
        <v>0</v>
      </c>
      <c r="R322">
        <f>AND(IF(metadata!D322="",FALSE,TRUE),exact(metadata!D322,"metagenome"))</f>
        <v>0</v>
      </c>
      <c r="S322">
        <f>AND(IF(metadata!E322="",FALSE,TRUE),exact(metadata!E322,"256318"))</f>
        <v>0</v>
      </c>
    </row>
    <row r="323" spans="1:19">
      <c r="A323" s="4">
        <f>IF(B323=" "," ",HYPERLINK(CONCATENATE("#metadata!",ADDRESS(INDEX($K$2:$K$1001,MATCH(ROWS($I$2:I323),$I$2:$I$1001,0),0),1)),INDEX($N$2:$N$1001,MATCH(ROWS($I$2:I323),$I$2:$I$1001,0),0)))</f>
        <v>0</v>
      </c>
      <c r="B323" s="3">
        <f>IF(OR(INDEX($J$2:$J$1001,MATCH(ROWS($I$2:I323),$I$2:$I$1001,0),1)&gt;=100000,INDEX($P$1005:$S$1005,1,MATCH(COLUMNS($P$1006:P1006),$P$1006:$S$1006,0))&gt;=100000), " ",IF(INDEX($P$2:$S$1001,MATCH(ROWS($I$2:I323),$I$2:$I$1001,0),MATCH(COLUMNS($P$1006:P1006),$P$1006:$S$1006,0)), HYPERLINK("#",""), HYPERLINK(CONCATENATE("#metadata!", ADDRESS(INDEX($K$2:$K$1001,MATCH(ROWS($I$2:I323),$I$2:$I$1001,0),0), INDEX($P$1004:$S$1004,1,MATCH(COLUMNS($P$1006:P1006),$P$1006:$S$1006,0)))),"Fix")))</f>
        <v>0</v>
      </c>
      <c r="C323" s="3">
        <f>IF(OR(INDEX($J$2:$J$1001,MATCH(ROWS($I$2:I323),$I$2:$I$1001,0),1)&gt;=100000,INDEX($P$1005:$S$1005,1,MATCH(COLUMNS($P$1006:Q1006),$P$1006:$S$1006,0))&gt;=100000), " ",IF(INDEX($P$2:$S$1001,MATCH(ROWS($I$2:I323),$I$2:$I$1001,0),MATCH(COLUMNS($P$1006:Q1006),$P$1006:$S$1006,0)), HYPERLINK("#",""), HYPERLINK(CONCATENATE("#metadata!", ADDRESS(INDEX($K$2:$K$1001,MATCH(ROWS($I$2:I323),$I$2:$I$1001,0),0), INDEX($P$1004:$S$1004,1,MATCH(COLUMNS($P$1006:Q1006),$P$1006:$S$1006,0)))),"Fix")))</f>
        <v>0</v>
      </c>
      <c r="D323" s="3">
        <f>IF(OR(INDEX($J$2:$J$1001,MATCH(ROWS($I$2:I323),$I$2:$I$1001,0),1)&gt;=100000,INDEX($P$1005:$S$1005,1,MATCH(COLUMNS($P$1006:R1006),$P$1006:$S$1006,0))&gt;=100000), " ",IF(INDEX($P$2:$S$1001,MATCH(ROWS($I$2:I323),$I$2:$I$1001,0),MATCH(COLUMNS($P$1006:R1006),$P$1006:$S$1006,0)), HYPERLINK("#",""), HYPERLINK(CONCATENATE("#metadata!", ADDRESS(INDEX($K$2:$K$1001,MATCH(ROWS($I$2:I323),$I$2:$I$1001,0),0), INDEX($P$1004:$S$1004,1,MATCH(COLUMNS($P$1006:R1006),$P$1006:$S$1006,0)))),"Fix")))</f>
        <v>0</v>
      </c>
      <c r="E323" s="3">
        <f>IF(OR(INDEX($J$2:$J$1001,MATCH(ROWS($I$2:I323),$I$2:$I$1001,0),1)&gt;=100000,INDEX($P$1005:$S$1005,1,MATCH(COLUMNS($P$1006:S1006),$P$1006:$S$1006,0))&gt;=100000), " ",IF(INDEX($P$2:$S$1001,MATCH(ROWS($I$2:I323),$I$2:$I$1001,0),MATCH(COLUMNS($P$1006:S1006),$P$1006:$S$1006,0)), HYPERLINK("#",""), HYPERLINK(CONCATENATE("#metadata!", ADDRESS(INDEX($K$2:$K$1001,MATCH(ROWS($I$2:I323),$I$2:$I$1001,0),0), INDEX($P$1004:$S$1004,1,MATCH(COLUMNS($P$1006:S1006),$P$1006:$S$1006,0)))),"Fix")))</f>
        <v>0</v>
      </c>
      <c r="I323">
        <v>0</v>
      </c>
      <c r="J323">
        <v>0</v>
      </c>
      <c r="K323">
        <v>0</v>
      </c>
      <c r="L323">
        <f>IF(M323,TRUE,AND(P323:S323))</f>
        <v>0</v>
      </c>
      <c r="M323">
        <f>COUNTBLANK(metadata!B323:E323)=COLUMNS(metadata!B323:E323)</f>
        <v>0</v>
      </c>
      <c r="N323">
        <v>0</v>
      </c>
      <c r="P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Q323">
        <f>AND(IF(metadata!C323="",FALSE,TRUE),exact(metadata!C323,"other"))</f>
        <v>0</v>
      </c>
      <c r="R323">
        <f>AND(IF(metadata!D323="",FALSE,TRUE),exact(metadata!D323,"metagenome"))</f>
        <v>0</v>
      </c>
      <c r="S323">
        <f>AND(IF(metadata!E323="",FALSE,TRUE),exact(metadata!E323,"256318"))</f>
        <v>0</v>
      </c>
    </row>
    <row r="324" spans="1:19">
      <c r="A324" s="4">
        <f>IF(B324=" "," ",HYPERLINK(CONCATENATE("#metadata!",ADDRESS(INDEX($K$2:$K$1001,MATCH(ROWS($I$2:I324),$I$2:$I$1001,0),0),1)),INDEX($N$2:$N$1001,MATCH(ROWS($I$2:I324),$I$2:$I$1001,0),0)))</f>
        <v>0</v>
      </c>
      <c r="B324" s="3">
        <f>IF(OR(INDEX($J$2:$J$1001,MATCH(ROWS($I$2:I324),$I$2:$I$1001,0),1)&gt;=100000,INDEX($P$1005:$S$1005,1,MATCH(COLUMNS($P$1006:P1006),$P$1006:$S$1006,0))&gt;=100000), " ",IF(INDEX($P$2:$S$1001,MATCH(ROWS($I$2:I324),$I$2:$I$1001,0),MATCH(COLUMNS($P$1006:P1006),$P$1006:$S$1006,0)), HYPERLINK("#",""), HYPERLINK(CONCATENATE("#metadata!", ADDRESS(INDEX($K$2:$K$1001,MATCH(ROWS($I$2:I324),$I$2:$I$1001,0),0), INDEX($P$1004:$S$1004,1,MATCH(COLUMNS($P$1006:P1006),$P$1006:$S$1006,0)))),"Fix")))</f>
        <v>0</v>
      </c>
      <c r="C324" s="3">
        <f>IF(OR(INDEX($J$2:$J$1001,MATCH(ROWS($I$2:I324),$I$2:$I$1001,0),1)&gt;=100000,INDEX($P$1005:$S$1005,1,MATCH(COLUMNS($P$1006:Q1006),$P$1006:$S$1006,0))&gt;=100000), " ",IF(INDEX($P$2:$S$1001,MATCH(ROWS($I$2:I324),$I$2:$I$1001,0),MATCH(COLUMNS($P$1006:Q1006),$P$1006:$S$1006,0)), HYPERLINK("#",""), HYPERLINK(CONCATENATE("#metadata!", ADDRESS(INDEX($K$2:$K$1001,MATCH(ROWS($I$2:I324),$I$2:$I$1001,0),0), INDEX($P$1004:$S$1004,1,MATCH(COLUMNS($P$1006:Q1006),$P$1006:$S$1006,0)))),"Fix")))</f>
        <v>0</v>
      </c>
      <c r="D324" s="3">
        <f>IF(OR(INDEX($J$2:$J$1001,MATCH(ROWS($I$2:I324),$I$2:$I$1001,0),1)&gt;=100000,INDEX($P$1005:$S$1005,1,MATCH(COLUMNS($P$1006:R1006),$P$1006:$S$1006,0))&gt;=100000), " ",IF(INDEX($P$2:$S$1001,MATCH(ROWS($I$2:I324),$I$2:$I$1001,0),MATCH(COLUMNS($P$1006:R1006),$P$1006:$S$1006,0)), HYPERLINK("#",""), HYPERLINK(CONCATENATE("#metadata!", ADDRESS(INDEX($K$2:$K$1001,MATCH(ROWS($I$2:I324),$I$2:$I$1001,0),0), INDEX($P$1004:$S$1004,1,MATCH(COLUMNS($P$1006:R1006),$P$1006:$S$1006,0)))),"Fix")))</f>
        <v>0</v>
      </c>
      <c r="E324" s="3">
        <f>IF(OR(INDEX($J$2:$J$1001,MATCH(ROWS($I$2:I324),$I$2:$I$1001,0),1)&gt;=100000,INDEX($P$1005:$S$1005,1,MATCH(COLUMNS($P$1006:S1006),$P$1006:$S$1006,0))&gt;=100000), " ",IF(INDEX($P$2:$S$1001,MATCH(ROWS($I$2:I324),$I$2:$I$1001,0),MATCH(COLUMNS($P$1006:S1006),$P$1006:$S$1006,0)), HYPERLINK("#",""), HYPERLINK(CONCATENATE("#metadata!", ADDRESS(INDEX($K$2:$K$1001,MATCH(ROWS($I$2:I324),$I$2:$I$1001,0),0), INDEX($P$1004:$S$1004,1,MATCH(COLUMNS($P$1006:S1006),$P$1006:$S$1006,0)))),"Fix")))</f>
        <v>0</v>
      </c>
      <c r="I324">
        <v>0</v>
      </c>
      <c r="J324">
        <v>0</v>
      </c>
      <c r="K324">
        <v>0</v>
      </c>
      <c r="L324">
        <f>IF(M324,TRUE,AND(P324:S324))</f>
        <v>0</v>
      </c>
      <c r="M324">
        <f>COUNTBLANK(metadata!B324:E324)=COLUMNS(metadata!B324:E324)</f>
        <v>0</v>
      </c>
      <c r="N324">
        <v>0</v>
      </c>
      <c r="P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Q324">
        <f>AND(IF(metadata!C324="",FALSE,TRUE),exact(metadata!C324,"other"))</f>
        <v>0</v>
      </c>
      <c r="R324">
        <f>AND(IF(metadata!D324="",FALSE,TRUE),exact(metadata!D324,"metagenome"))</f>
        <v>0</v>
      </c>
      <c r="S324">
        <f>AND(IF(metadata!E324="",FALSE,TRUE),exact(metadata!E324,"256318"))</f>
        <v>0</v>
      </c>
    </row>
    <row r="325" spans="1:19">
      <c r="A325" s="4">
        <f>IF(B325=" "," ",HYPERLINK(CONCATENATE("#metadata!",ADDRESS(INDEX($K$2:$K$1001,MATCH(ROWS($I$2:I325),$I$2:$I$1001,0),0),1)),INDEX($N$2:$N$1001,MATCH(ROWS($I$2:I325),$I$2:$I$1001,0),0)))</f>
        <v>0</v>
      </c>
      <c r="B325" s="3">
        <f>IF(OR(INDEX($J$2:$J$1001,MATCH(ROWS($I$2:I325),$I$2:$I$1001,0),1)&gt;=100000,INDEX($P$1005:$S$1005,1,MATCH(COLUMNS($P$1006:P1006),$P$1006:$S$1006,0))&gt;=100000), " ",IF(INDEX($P$2:$S$1001,MATCH(ROWS($I$2:I325),$I$2:$I$1001,0),MATCH(COLUMNS($P$1006:P1006),$P$1006:$S$1006,0)), HYPERLINK("#",""), HYPERLINK(CONCATENATE("#metadata!", ADDRESS(INDEX($K$2:$K$1001,MATCH(ROWS($I$2:I325),$I$2:$I$1001,0),0), INDEX($P$1004:$S$1004,1,MATCH(COLUMNS($P$1006:P1006),$P$1006:$S$1006,0)))),"Fix")))</f>
        <v>0</v>
      </c>
      <c r="C325" s="3">
        <f>IF(OR(INDEX($J$2:$J$1001,MATCH(ROWS($I$2:I325),$I$2:$I$1001,0),1)&gt;=100000,INDEX($P$1005:$S$1005,1,MATCH(COLUMNS($P$1006:Q1006),$P$1006:$S$1006,0))&gt;=100000), " ",IF(INDEX($P$2:$S$1001,MATCH(ROWS($I$2:I325),$I$2:$I$1001,0),MATCH(COLUMNS($P$1006:Q1006),$P$1006:$S$1006,0)), HYPERLINK("#",""), HYPERLINK(CONCATENATE("#metadata!", ADDRESS(INDEX($K$2:$K$1001,MATCH(ROWS($I$2:I325),$I$2:$I$1001,0),0), INDEX($P$1004:$S$1004,1,MATCH(COLUMNS($P$1006:Q1006),$P$1006:$S$1006,0)))),"Fix")))</f>
        <v>0</v>
      </c>
      <c r="D325" s="3">
        <f>IF(OR(INDEX($J$2:$J$1001,MATCH(ROWS($I$2:I325),$I$2:$I$1001,0),1)&gt;=100000,INDEX($P$1005:$S$1005,1,MATCH(COLUMNS($P$1006:R1006),$P$1006:$S$1006,0))&gt;=100000), " ",IF(INDEX($P$2:$S$1001,MATCH(ROWS($I$2:I325),$I$2:$I$1001,0),MATCH(COLUMNS($P$1006:R1006),$P$1006:$S$1006,0)), HYPERLINK("#",""), HYPERLINK(CONCATENATE("#metadata!", ADDRESS(INDEX($K$2:$K$1001,MATCH(ROWS($I$2:I325),$I$2:$I$1001,0),0), INDEX($P$1004:$S$1004,1,MATCH(COLUMNS($P$1006:R1006),$P$1006:$S$1006,0)))),"Fix")))</f>
        <v>0</v>
      </c>
      <c r="E325" s="3">
        <f>IF(OR(INDEX($J$2:$J$1001,MATCH(ROWS($I$2:I325),$I$2:$I$1001,0),1)&gt;=100000,INDEX($P$1005:$S$1005,1,MATCH(COLUMNS($P$1006:S1006),$P$1006:$S$1006,0))&gt;=100000), " ",IF(INDEX($P$2:$S$1001,MATCH(ROWS($I$2:I325),$I$2:$I$1001,0),MATCH(COLUMNS($P$1006:S1006),$P$1006:$S$1006,0)), HYPERLINK("#",""), HYPERLINK(CONCATENATE("#metadata!", ADDRESS(INDEX($K$2:$K$1001,MATCH(ROWS($I$2:I325),$I$2:$I$1001,0),0), INDEX($P$1004:$S$1004,1,MATCH(COLUMNS($P$1006:S1006),$P$1006:$S$1006,0)))),"Fix")))</f>
        <v>0</v>
      </c>
      <c r="I325">
        <v>0</v>
      </c>
      <c r="J325">
        <v>0</v>
      </c>
      <c r="K325">
        <v>0</v>
      </c>
      <c r="L325">
        <f>IF(M325,TRUE,AND(P325:S325))</f>
        <v>0</v>
      </c>
      <c r="M325">
        <f>COUNTBLANK(metadata!B325:E325)=COLUMNS(metadata!B325:E325)</f>
        <v>0</v>
      </c>
      <c r="N325">
        <v>0</v>
      </c>
      <c r="P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Q325">
        <f>AND(IF(metadata!C325="",FALSE,TRUE),exact(metadata!C325,"other"))</f>
        <v>0</v>
      </c>
      <c r="R325">
        <f>AND(IF(metadata!D325="",FALSE,TRUE),exact(metadata!D325,"metagenome"))</f>
        <v>0</v>
      </c>
      <c r="S325">
        <f>AND(IF(metadata!E325="",FALSE,TRUE),exact(metadata!E325,"256318"))</f>
        <v>0</v>
      </c>
    </row>
    <row r="326" spans="1:19">
      <c r="A326" s="4">
        <f>IF(B326=" "," ",HYPERLINK(CONCATENATE("#metadata!",ADDRESS(INDEX($K$2:$K$1001,MATCH(ROWS($I$2:I326),$I$2:$I$1001,0),0),1)),INDEX($N$2:$N$1001,MATCH(ROWS($I$2:I326),$I$2:$I$1001,0),0)))</f>
        <v>0</v>
      </c>
      <c r="B326" s="3">
        <f>IF(OR(INDEX($J$2:$J$1001,MATCH(ROWS($I$2:I326),$I$2:$I$1001,0),1)&gt;=100000,INDEX($P$1005:$S$1005,1,MATCH(COLUMNS($P$1006:P1006),$P$1006:$S$1006,0))&gt;=100000), " ",IF(INDEX($P$2:$S$1001,MATCH(ROWS($I$2:I326),$I$2:$I$1001,0),MATCH(COLUMNS($P$1006:P1006),$P$1006:$S$1006,0)), HYPERLINK("#",""), HYPERLINK(CONCATENATE("#metadata!", ADDRESS(INDEX($K$2:$K$1001,MATCH(ROWS($I$2:I326),$I$2:$I$1001,0),0), INDEX($P$1004:$S$1004,1,MATCH(COLUMNS($P$1006:P1006),$P$1006:$S$1006,0)))),"Fix")))</f>
        <v>0</v>
      </c>
      <c r="C326" s="3">
        <f>IF(OR(INDEX($J$2:$J$1001,MATCH(ROWS($I$2:I326),$I$2:$I$1001,0),1)&gt;=100000,INDEX($P$1005:$S$1005,1,MATCH(COLUMNS($P$1006:Q1006),$P$1006:$S$1006,0))&gt;=100000), " ",IF(INDEX($P$2:$S$1001,MATCH(ROWS($I$2:I326),$I$2:$I$1001,0),MATCH(COLUMNS($P$1006:Q1006),$P$1006:$S$1006,0)), HYPERLINK("#",""), HYPERLINK(CONCATENATE("#metadata!", ADDRESS(INDEX($K$2:$K$1001,MATCH(ROWS($I$2:I326),$I$2:$I$1001,0),0), INDEX($P$1004:$S$1004,1,MATCH(COLUMNS($P$1006:Q1006),$P$1006:$S$1006,0)))),"Fix")))</f>
        <v>0</v>
      </c>
      <c r="D326" s="3">
        <f>IF(OR(INDEX($J$2:$J$1001,MATCH(ROWS($I$2:I326),$I$2:$I$1001,0),1)&gt;=100000,INDEX($P$1005:$S$1005,1,MATCH(COLUMNS($P$1006:R1006),$P$1006:$S$1006,0))&gt;=100000), " ",IF(INDEX($P$2:$S$1001,MATCH(ROWS($I$2:I326),$I$2:$I$1001,0),MATCH(COLUMNS($P$1006:R1006),$P$1006:$S$1006,0)), HYPERLINK("#",""), HYPERLINK(CONCATENATE("#metadata!", ADDRESS(INDEX($K$2:$K$1001,MATCH(ROWS($I$2:I326),$I$2:$I$1001,0),0), INDEX($P$1004:$S$1004,1,MATCH(COLUMNS($P$1006:R1006),$P$1006:$S$1006,0)))),"Fix")))</f>
        <v>0</v>
      </c>
      <c r="E326" s="3">
        <f>IF(OR(INDEX($J$2:$J$1001,MATCH(ROWS($I$2:I326),$I$2:$I$1001,0),1)&gt;=100000,INDEX($P$1005:$S$1005,1,MATCH(COLUMNS($P$1006:S1006),$P$1006:$S$1006,0))&gt;=100000), " ",IF(INDEX($P$2:$S$1001,MATCH(ROWS($I$2:I326),$I$2:$I$1001,0),MATCH(COLUMNS($P$1006:S1006),$P$1006:$S$1006,0)), HYPERLINK("#",""), HYPERLINK(CONCATENATE("#metadata!", ADDRESS(INDEX($K$2:$K$1001,MATCH(ROWS($I$2:I326),$I$2:$I$1001,0),0), INDEX($P$1004:$S$1004,1,MATCH(COLUMNS($P$1006:S1006),$P$1006:$S$1006,0)))),"Fix")))</f>
        <v>0</v>
      </c>
      <c r="I326">
        <v>0</v>
      </c>
      <c r="J326">
        <v>0</v>
      </c>
      <c r="K326">
        <v>0</v>
      </c>
      <c r="L326">
        <f>IF(M326,TRUE,AND(P326:S326))</f>
        <v>0</v>
      </c>
      <c r="M326">
        <f>COUNTBLANK(metadata!B326:E326)=COLUMNS(metadata!B326:E326)</f>
        <v>0</v>
      </c>
      <c r="N326">
        <v>0</v>
      </c>
      <c r="P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Q326">
        <f>AND(IF(metadata!C326="",FALSE,TRUE),exact(metadata!C326,"other"))</f>
        <v>0</v>
      </c>
      <c r="R326">
        <f>AND(IF(metadata!D326="",FALSE,TRUE),exact(metadata!D326,"metagenome"))</f>
        <v>0</v>
      </c>
      <c r="S326">
        <f>AND(IF(metadata!E326="",FALSE,TRUE),exact(metadata!E326,"256318"))</f>
        <v>0</v>
      </c>
    </row>
    <row r="327" spans="1:19">
      <c r="A327" s="4">
        <f>IF(B327=" "," ",HYPERLINK(CONCATENATE("#metadata!",ADDRESS(INDEX($K$2:$K$1001,MATCH(ROWS($I$2:I327),$I$2:$I$1001,0),0),1)),INDEX($N$2:$N$1001,MATCH(ROWS($I$2:I327),$I$2:$I$1001,0),0)))</f>
        <v>0</v>
      </c>
      <c r="B327" s="3">
        <f>IF(OR(INDEX($J$2:$J$1001,MATCH(ROWS($I$2:I327),$I$2:$I$1001,0),1)&gt;=100000,INDEX($P$1005:$S$1005,1,MATCH(COLUMNS($P$1006:P1006),$P$1006:$S$1006,0))&gt;=100000), " ",IF(INDEX($P$2:$S$1001,MATCH(ROWS($I$2:I327),$I$2:$I$1001,0),MATCH(COLUMNS($P$1006:P1006),$P$1006:$S$1006,0)), HYPERLINK("#",""), HYPERLINK(CONCATENATE("#metadata!", ADDRESS(INDEX($K$2:$K$1001,MATCH(ROWS($I$2:I327),$I$2:$I$1001,0),0), INDEX($P$1004:$S$1004,1,MATCH(COLUMNS($P$1006:P1006),$P$1006:$S$1006,0)))),"Fix")))</f>
        <v>0</v>
      </c>
      <c r="C327" s="3">
        <f>IF(OR(INDEX($J$2:$J$1001,MATCH(ROWS($I$2:I327),$I$2:$I$1001,0),1)&gt;=100000,INDEX($P$1005:$S$1005,1,MATCH(COLUMNS($P$1006:Q1006),$P$1006:$S$1006,0))&gt;=100000), " ",IF(INDEX($P$2:$S$1001,MATCH(ROWS($I$2:I327),$I$2:$I$1001,0),MATCH(COLUMNS($P$1006:Q1006),$P$1006:$S$1006,0)), HYPERLINK("#",""), HYPERLINK(CONCATENATE("#metadata!", ADDRESS(INDEX($K$2:$K$1001,MATCH(ROWS($I$2:I327),$I$2:$I$1001,0),0), INDEX($P$1004:$S$1004,1,MATCH(COLUMNS($P$1006:Q1006),$P$1006:$S$1006,0)))),"Fix")))</f>
        <v>0</v>
      </c>
      <c r="D327" s="3">
        <f>IF(OR(INDEX($J$2:$J$1001,MATCH(ROWS($I$2:I327),$I$2:$I$1001,0),1)&gt;=100000,INDEX($P$1005:$S$1005,1,MATCH(COLUMNS($P$1006:R1006),$P$1006:$S$1006,0))&gt;=100000), " ",IF(INDEX($P$2:$S$1001,MATCH(ROWS($I$2:I327),$I$2:$I$1001,0),MATCH(COLUMNS($P$1006:R1006),$P$1006:$S$1006,0)), HYPERLINK("#",""), HYPERLINK(CONCATENATE("#metadata!", ADDRESS(INDEX($K$2:$K$1001,MATCH(ROWS($I$2:I327),$I$2:$I$1001,0),0), INDEX($P$1004:$S$1004,1,MATCH(COLUMNS($P$1006:R1006),$P$1006:$S$1006,0)))),"Fix")))</f>
        <v>0</v>
      </c>
      <c r="E327" s="3">
        <f>IF(OR(INDEX($J$2:$J$1001,MATCH(ROWS($I$2:I327),$I$2:$I$1001,0),1)&gt;=100000,INDEX($P$1005:$S$1005,1,MATCH(COLUMNS($P$1006:S1006),$P$1006:$S$1006,0))&gt;=100000), " ",IF(INDEX($P$2:$S$1001,MATCH(ROWS($I$2:I327),$I$2:$I$1001,0),MATCH(COLUMNS($P$1006:S1006),$P$1006:$S$1006,0)), HYPERLINK("#",""), HYPERLINK(CONCATENATE("#metadata!", ADDRESS(INDEX($K$2:$K$1001,MATCH(ROWS($I$2:I327),$I$2:$I$1001,0),0), INDEX($P$1004:$S$1004,1,MATCH(COLUMNS($P$1006:S1006),$P$1006:$S$1006,0)))),"Fix")))</f>
        <v>0</v>
      </c>
      <c r="I327">
        <v>0</v>
      </c>
      <c r="J327">
        <v>0</v>
      </c>
      <c r="K327">
        <v>0</v>
      </c>
      <c r="L327">
        <f>IF(M327,TRUE,AND(P327:S327))</f>
        <v>0</v>
      </c>
      <c r="M327">
        <f>COUNTBLANK(metadata!B327:E327)=COLUMNS(metadata!B327:E327)</f>
        <v>0</v>
      </c>
      <c r="N327">
        <v>0</v>
      </c>
      <c r="P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Q327">
        <f>AND(IF(metadata!C327="",FALSE,TRUE),exact(metadata!C327,"other"))</f>
        <v>0</v>
      </c>
      <c r="R327">
        <f>AND(IF(metadata!D327="",FALSE,TRUE),exact(metadata!D327,"metagenome"))</f>
        <v>0</v>
      </c>
      <c r="S327">
        <f>AND(IF(metadata!E327="",FALSE,TRUE),exact(metadata!E327,"256318"))</f>
        <v>0</v>
      </c>
    </row>
    <row r="328" spans="1:19">
      <c r="A328" s="4">
        <f>IF(B328=" "," ",HYPERLINK(CONCATENATE("#metadata!",ADDRESS(INDEX($K$2:$K$1001,MATCH(ROWS($I$2:I328),$I$2:$I$1001,0),0),1)),INDEX($N$2:$N$1001,MATCH(ROWS($I$2:I328),$I$2:$I$1001,0),0)))</f>
        <v>0</v>
      </c>
      <c r="B328" s="3">
        <f>IF(OR(INDEX($J$2:$J$1001,MATCH(ROWS($I$2:I328),$I$2:$I$1001,0),1)&gt;=100000,INDEX($P$1005:$S$1005,1,MATCH(COLUMNS($P$1006:P1006),$P$1006:$S$1006,0))&gt;=100000), " ",IF(INDEX($P$2:$S$1001,MATCH(ROWS($I$2:I328),$I$2:$I$1001,0),MATCH(COLUMNS($P$1006:P1006),$P$1006:$S$1006,0)), HYPERLINK("#",""), HYPERLINK(CONCATENATE("#metadata!", ADDRESS(INDEX($K$2:$K$1001,MATCH(ROWS($I$2:I328),$I$2:$I$1001,0),0), INDEX($P$1004:$S$1004,1,MATCH(COLUMNS($P$1006:P1006),$P$1006:$S$1006,0)))),"Fix")))</f>
        <v>0</v>
      </c>
      <c r="C328" s="3">
        <f>IF(OR(INDEX($J$2:$J$1001,MATCH(ROWS($I$2:I328),$I$2:$I$1001,0),1)&gt;=100000,INDEX($P$1005:$S$1005,1,MATCH(COLUMNS($P$1006:Q1006),$P$1006:$S$1006,0))&gt;=100000), " ",IF(INDEX($P$2:$S$1001,MATCH(ROWS($I$2:I328),$I$2:$I$1001,0),MATCH(COLUMNS($P$1006:Q1006),$P$1006:$S$1006,0)), HYPERLINK("#",""), HYPERLINK(CONCATENATE("#metadata!", ADDRESS(INDEX($K$2:$K$1001,MATCH(ROWS($I$2:I328),$I$2:$I$1001,0),0), INDEX($P$1004:$S$1004,1,MATCH(COLUMNS($P$1006:Q1006),$P$1006:$S$1006,0)))),"Fix")))</f>
        <v>0</v>
      </c>
      <c r="D328" s="3">
        <f>IF(OR(INDEX($J$2:$J$1001,MATCH(ROWS($I$2:I328),$I$2:$I$1001,0),1)&gt;=100000,INDEX($P$1005:$S$1005,1,MATCH(COLUMNS($P$1006:R1006),$P$1006:$S$1006,0))&gt;=100000), " ",IF(INDEX($P$2:$S$1001,MATCH(ROWS($I$2:I328),$I$2:$I$1001,0),MATCH(COLUMNS($P$1006:R1006),$P$1006:$S$1006,0)), HYPERLINK("#",""), HYPERLINK(CONCATENATE("#metadata!", ADDRESS(INDEX($K$2:$K$1001,MATCH(ROWS($I$2:I328),$I$2:$I$1001,0),0), INDEX($P$1004:$S$1004,1,MATCH(COLUMNS($P$1006:R1006),$P$1006:$S$1006,0)))),"Fix")))</f>
        <v>0</v>
      </c>
      <c r="E328" s="3">
        <f>IF(OR(INDEX($J$2:$J$1001,MATCH(ROWS($I$2:I328),$I$2:$I$1001,0),1)&gt;=100000,INDEX($P$1005:$S$1005,1,MATCH(COLUMNS($P$1006:S1006),$P$1006:$S$1006,0))&gt;=100000), " ",IF(INDEX($P$2:$S$1001,MATCH(ROWS($I$2:I328),$I$2:$I$1001,0),MATCH(COLUMNS($P$1006:S1006),$P$1006:$S$1006,0)), HYPERLINK("#",""), HYPERLINK(CONCATENATE("#metadata!", ADDRESS(INDEX($K$2:$K$1001,MATCH(ROWS($I$2:I328),$I$2:$I$1001,0),0), INDEX($P$1004:$S$1004,1,MATCH(COLUMNS($P$1006:S1006),$P$1006:$S$1006,0)))),"Fix")))</f>
        <v>0</v>
      </c>
      <c r="I328">
        <v>0</v>
      </c>
      <c r="J328">
        <v>0</v>
      </c>
      <c r="K328">
        <v>0</v>
      </c>
      <c r="L328">
        <f>IF(M328,TRUE,AND(P328:S328))</f>
        <v>0</v>
      </c>
      <c r="M328">
        <f>COUNTBLANK(metadata!B328:E328)=COLUMNS(metadata!B328:E328)</f>
        <v>0</v>
      </c>
      <c r="N328">
        <v>0</v>
      </c>
      <c r="P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Q328">
        <f>AND(IF(metadata!C328="",FALSE,TRUE),exact(metadata!C328,"other"))</f>
        <v>0</v>
      </c>
      <c r="R328">
        <f>AND(IF(metadata!D328="",FALSE,TRUE),exact(metadata!D328,"metagenome"))</f>
        <v>0</v>
      </c>
      <c r="S328">
        <f>AND(IF(metadata!E328="",FALSE,TRUE),exact(metadata!E328,"256318"))</f>
        <v>0</v>
      </c>
    </row>
    <row r="329" spans="1:19">
      <c r="A329" s="4">
        <f>IF(B329=" "," ",HYPERLINK(CONCATENATE("#metadata!",ADDRESS(INDEX($K$2:$K$1001,MATCH(ROWS($I$2:I329),$I$2:$I$1001,0),0),1)),INDEX($N$2:$N$1001,MATCH(ROWS($I$2:I329),$I$2:$I$1001,0),0)))</f>
        <v>0</v>
      </c>
      <c r="B329" s="3">
        <f>IF(OR(INDEX($J$2:$J$1001,MATCH(ROWS($I$2:I329),$I$2:$I$1001,0),1)&gt;=100000,INDEX($P$1005:$S$1005,1,MATCH(COLUMNS($P$1006:P1006),$P$1006:$S$1006,0))&gt;=100000), " ",IF(INDEX($P$2:$S$1001,MATCH(ROWS($I$2:I329),$I$2:$I$1001,0),MATCH(COLUMNS($P$1006:P1006),$P$1006:$S$1006,0)), HYPERLINK("#",""), HYPERLINK(CONCATENATE("#metadata!", ADDRESS(INDEX($K$2:$K$1001,MATCH(ROWS($I$2:I329),$I$2:$I$1001,0),0), INDEX($P$1004:$S$1004,1,MATCH(COLUMNS($P$1006:P1006),$P$1006:$S$1006,0)))),"Fix")))</f>
        <v>0</v>
      </c>
      <c r="C329" s="3">
        <f>IF(OR(INDEX($J$2:$J$1001,MATCH(ROWS($I$2:I329),$I$2:$I$1001,0),1)&gt;=100000,INDEX($P$1005:$S$1005,1,MATCH(COLUMNS($P$1006:Q1006),$P$1006:$S$1006,0))&gt;=100000), " ",IF(INDEX($P$2:$S$1001,MATCH(ROWS($I$2:I329),$I$2:$I$1001,0),MATCH(COLUMNS($P$1006:Q1006),$P$1006:$S$1006,0)), HYPERLINK("#",""), HYPERLINK(CONCATENATE("#metadata!", ADDRESS(INDEX($K$2:$K$1001,MATCH(ROWS($I$2:I329),$I$2:$I$1001,0),0), INDEX($P$1004:$S$1004,1,MATCH(COLUMNS($P$1006:Q1006),$P$1006:$S$1006,0)))),"Fix")))</f>
        <v>0</v>
      </c>
      <c r="D329" s="3">
        <f>IF(OR(INDEX($J$2:$J$1001,MATCH(ROWS($I$2:I329),$I$2:$I$1001,0),1)&gt;=100000,INDEX($P$1005:$S$1005,1,MATCH(COLUMNS($P$1006:R1006),$P$1006:$S$1006,0))&gt;=100000), " ",IF(INDEX($P$2:$S$1001,MATCH(ROWS($I$2:I329),$I$2:$I$1001,0),MATCH(COLUMNS($P$1006:R1006),$P$1006:$S$1006,0)), HYPERLINK("#",""), HYPERLINK(CONCATENATE("#metadata!", ADDRESS(INDEX($K$2:$K$1001,MATCH(ROWS($I$2:I329),$I$2:$I$1001,0),0), INDEX($P$1004:$S$1004,1,MATCH(COLUMNS($P$1006:R1006),$P$1006:$S$1006,0)))),"Fix")))</f>
        <v>0</v>
      </c>
      <c r="E329" s="3">
        <f>IF(OR(INDEX($J$2:$J$1001,MATCH(ROWS($I$2:I329),$I$2:$I$1001,0),1)&gt;=100000,INDEX($P$1005:$S$1005,1,MATCH(COLUMNS($P$1006:S1006),$P$1006:$S$1006,0))&gt;=100000), " ",IF(INDEX($P$2:$S$1001,MATCH(ROWS($I$2:I329),$I$2:$I$1001,0),MATCH(COLUMNS($P$1006:S1006),$P$1006:$S$1006,0)), HYPERLINK("#",""), HYPERLINK(CONCATENATE("#metadata!", ADDRESS(INDEX($K$2:$K$1001,MATCH(ROWS($I$2:I329),$I$2:$I$1001,0),0), INDEX($P$1004:$S$1004,1,MATCH(COLUMNS($P$1006:S1006),$P$1006:$S$1006,0)))),"Fix")))</f>
        <v>0</v>
      </c>
      <c r="I329">
        <v>0</v>
      </c>
      <c r="J329">
        <v>0</v>
      </c>
      <c r="K329">
        <v>0</v>
      </c>
      <c r="L329">
        <f>IF(M329,TRUE,AND(P329:S329))</f>
        <v>0</v>
      </c>
      <c r="M329">
        <f>COUNTBLANK(metadata!B329:E329)=COLUMNS(metadata!B329:E329)</f>
        <v>0</v>
      </c>
      <c r="N329">
        <v>0</v>
      </c>
      <c r="P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Q329">
        <f>AND(IF(metadata!C329="",FALSE,TRUE),exact(metadata!C329,"other"))</f>
        <v>0</v>
      </c>
      <c r="R329">
        <f>AND(IF(metadata!D329="",FALSE,TRUE),exact(metadata!D329,"metagenome"))</f>
        <v>0</v>
      </c>
      <c r="S329">
        <f>AND(IF(metadata!E329="",FALSE,TRUE),exact(metadata!E329,"256318"))</f>
        <v>0</v>
      </c>
    </row>
    <row r="330" spans="1:19">
      <c r="A330" s="4">
        <f>IF(B330=" "," ",HYPERLINK(CONCATENATE("#metadata!",ADDRESS(INDEX($K$2:$K$1001,MATCH(ROWS($I$2:I330),$I$2:$I$1001,0),0),1)),INDEX($N$2:$N$1001,MATCH(ROWS($I$2:I330),$I$2:$I$1001,0),0)))</f>
        <v>0</v>
      </c>
      <c r="B330" s="3">
        <f>IF(OR(INDEX($J$2:$J$1001,MATCH(ROWS($I$2:I330),$I$2:$I$1001,0),1)&gt;=100000,INDEX($P$1005:$S$1005,1,MATCH(COLUMNS($P$1006:P1006),$P$1006:$S$1006,0))&gt;=100000), " ",IF(INDEX($P$2:$S$1001,MATCH(ROWS($I$2:I330),$I$2:$I$1001,0),MATCH(COLUMNS($P$1006:P1006),$P$1006:$S$1006,0)), HYPERLINK("#",""), HYPERLINK(CONCATENATE("#metadata!", ADDRESS(INDEX($K$2:$K$1001,MATCH(ROWS($I$2:I330),$I$2:$I$1001,0),0), INDEX($P$1004:$S$1004,1,MATCH(COLUMNS($P$1006:P1006),$P$1006:$S$1006,0)))),"Fix")))</f>
        <v>0</v>
      </c>
      <c r="C330" s="3">
        <f>IF(OR(INDEX($J$2:$J$1001,MATCH(ROWS($I$2:I330),$I$2:$I$1001,0),1)&gt;=100000,INDEX($P$1005:$S$1005,1,MATCH(COLUMNS($P$1006:Q1006),$P$1006:$S$1006,0))&gt;=100000), " ",IF(INDEX($P$2:$S$1001,MATCH(ROWS($I$2:I330),$I$2:$I$1001,0),MATCH(COLUMNS($P$1006:Q1006),$P$1006:$S$1006,0)), HYPERLINK("#",""), HYPERLINK(CONCATENATE("#metadata!", ADDRESS(INDEX($K$2:$K$1001,MATCH(ROWS($I$2:I330),$I$2:$I$1001,0),0), INDEX($P$1004:$S$1004,1,MATCH(COLUMNS($P$1006:Q1006),$P$1006:$S$1006,0)))),"Fix")))</f>
        <v>0</v>
      </c>
      <c r="D330" s="3">
        <f>IF(OR(INDEX($J$2:$J$1001,MATCH(ROWS($I$2:I330),$I$2:$I$1001,0),1)&gt;=100000,INDEX($P$1005:$S$1005,1,MATCH(COLUMNS($P$1006:R1006),$P$1006:$S$1006,0))&gt;=100000), " ",IF(INDEX($P$2:$S$1001,MATCH(ROWS($I$2:I330),$I$2:$I$1001,0),MATCH(COLUMNS($P$1006:R1006),$P$1006:$S$1006,0)), HYPERLINK("#",""), HYPERLINK(CONCATENATE("#metadata!", ADDRESS(INDEX($K$2:$K$1001,MATCH(ROWS($I$2:I330),$I$2:$I$1001,0),0), INDEX($P$1004:$S$1004,1,MATCH(COLUMNS($P$1006:R1006),$P$1006:$S$1006,0)))),"Fix")))</f>
        <v>0</v>
      </c>
      <c r="E330" s="3">
        <f>IF(OR(INDEX($J$2:$J$1001,MATCH(ROWS($I$2:I330),$I$2:$I$1001,0),1)&gt;=100000,INDEX($P$1005:$S$1005,1,MATCH(COLUMNS($P$1006:S1006),$P$1006:$S$1006,0))&gt;=100000), " ",IF(INDEX($P$2:$S$1001,MATCH(ROWS($I$2:I330),$I$2:$I$1001,0),MATCH(COLUMNS($P$1006:S1006),$P$1006:$S$1006,0)), HYPERLINK("#",""), HYPERLINK(CONCATENATE("#metadata!", ADDRESS(INDEX($K$2:$K$1001,MATCH(ROWS($I$2:I330),$I$2:$I$1001,0),0), INDEX($P$1004:$S$1004,1,MATCH(COLUMNS($P$1006:S1006),$P$1006:$S$1006,0)))),"Fix")))</f>
        <v>0</v>
      </c>
      <c r="I330">
        <v>0</v>
      </c>
      <c r="J330">
        <v>0</v>
      </c>
      <c r="K330">
        <v>0</v>
      </c>
      <c r="L330">
        <f>IF(M330,TRUE,AND(P330:S330))</f>
        <v>0</v>
      </c>
      <c r="M330">
        <f>COUNTBLANK(metadata!B330:E330)=COLUMNS(metadata!B330:E330)</f>
        <v>0</v>
      </c>
      <c r="N330">
        <v>0</v>
      </c>
      <c r="P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Q330">
        <f>AND(IF(metadata!C330="",FALSE,TRUE),exact(metadata!C330,"other"))</f>
        <v>0</v>
      </c>
      <c r="R330">
        <f>AND(IF(metadata!D330="",FALSE,TRUE),exact(metadata!D330,"metagenome"))</f>
        <v>0</v>
      </c>
      <c r="S330">
        <f>AND(IF(metadata!E330="",FALSE,TRUE),exact(metadata!E330,"256318"))</f>
        <v>0</v>
      </c>
    </row>
    <row r="331" spans="1:19">
      <c r="A331" s="4">
        <f>IF(B331=" "," ",HYPERLINK(CONCATENATE("#metadata!",ADDRESS(INDEX($K$2:$K$1001,MATCH(ROWS($I$2:I331),$I$2:$I$1001,0),0),1)),INDEX($N$2:$N$1001,MATCH(ROWS($I$2:I331),$I$2:$I$1001,0),0)))</f>
        <v>0</v>
      </c>
      <c r="B331" s="3">
        <f>IF(OR(INDEX($J$2:$J$1001,MATCH(ROWS($I$2:I331),$I$2:$I$1001,0),1)&gt;=100000,INDEX($P$1005:$S$1005,1,MATCH(COLUMNS($P$1006:P1006),$P$1006:$S$1006,0))&gt;=100000), " ",IF(INDEX($P$2:$S$1001,MATCH(ROWS($I$2:I331),$I$2:$I$1001,0),MATCH(COLUMNS($P$1006:P1006),$P$1006:$S$1006,0)), HYPERLINK("#",""), HYPERLINK(CONCATENATE("#metadata!", ADDRESS(INDEX($K$2:$K$1001,MATCH(ROWS($I$2:I331),$I$2:$I$1001,0),0), INDEX($P$1004:$S$1004,1,MATCH(COLUMNS($P$1006:P1006),$P$1006:$S$1006,0)))),"Fix")))</f>
        <v>0</v>
      </c>
      <c r="C331" s="3">
        <f>IF(OR(INDEX($J$2:$J$1001,MATCH(ROWS($I$2:I331),$I$2:$I$1001,0),1)&gt;=100000,INDEX($P$1005:$S$1005,1,MATCH(COLUMNS($P$1006:Q1006),$P$1006:$S$1006,0))&gt;=100000), " ",IF(INDEX($P$2:$S$1001,MATCH(ROWS($I$2:I331),$I$2:$I$1001,0),MATCH(COLUMNS($P$1006:Q1006),$P$1006:$S$1006,0)), HYPERLINK("#",""), HYPERLINK(CONCATENATE("#metadata!", ADDRESS(INDEX($K$2:$K$1001,MATCH(ROWS($I$2:I331),$I$2:$I$1001,0),0), INDEX($P$1004:$S$1004,1,MATCH(COLUMNS($P$1006:Q1006),$P$1006:$S$1006,0)))),"Fix")))</f>
        <v>0</v>
      </c>
      <c r="D331" s="3">
        <f>IF(OR(INDEX($J$2:$J$1001,MATCH(ROWS($I$2:I331),$I$2:$I$1001,0),1)&gt;=100000,INDEX($P$1005:$S$1005,1,MATCH(COLUMNS($P$1006:R1006),$P$1006:$S$1006,0))&gt;=100000), " ",IF(INDEX($P$2:$S$1001,MATCH(ROWS($I$2:I331),$I$2:$I$1001,0),MATCH(COLUMNS($P$1006:R1006),$P$1006:$S$1006,0)), HYPERLINK("#",""), HYPERLINK(CONCATENATE("#metadata!", ADDRESS(INDEX($K$2:$K$1001,MATCH(ROWS($I$2:I331),$I$2:$I$1001,0),0), INDEX($P$1004:$S$1004,1,MATCH(COLUMNS($P$1006:R1006),$P$1006:$S$1006,0)))),"Fix")))</f>
        <v>0</v>
      </c>
      <c r="E331" s="3">
        <f>IF(OR(INDEX($J$2:$J$1001,MATCH(ROWS($I$2:I331),$I$2:$I$1001,0),1)&gt;=100000,INDEX($P$1005:$S$1005,1,MATCH(COLUMNS($P$1006:S1006),$P$1006:$S$1006,0))&gt;=100000), " ",IF(INDEX($P$2:$S$1001,MATCH(ROWS($I$2:I331),$I$2:$I$1001,0),MATCH(COLUMNS($P$1006:S1006),$P$1006:$S$1006,0)), HYPERLINK("#",""), HYPERLINK(CONCATENATE("#metadata!", ADDRESS(INDEX($K$2:$K$1001,MATCH(ROWS($I$2:I331),$I$2:$I$1001,0),0), INDEX($P$1004:$S$1004,1,MATCH(COLUMNS($P$1006:S1006),$P$1006:$S$1006,0)))),"Fix")))</f>
        <v>0</v>
      </c>
      <c r="I331">
        <v>0</v>
      </c>
      <c r="J331">
        <v>0</v>
      </c>
      <c r="K331">
        <v>0</v>
      </c>
      <c r="L331">
        <f>IF(M331,TRUE,AND(P331:S331))</f>
        <v>0</v>
      </c>
      <c r="M331">
        <f>COUNTBLANK(metadata!B331:E331)=COLUMNS(metadata!B331:E331)</f>
        <v>0</v>
      </c>
      <c r="N331">
        <v>0</v>
      </c>
      <c r="P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Q331">
        <f>AND(IF(metadata!C331="",FALSE,TRUE),exact(metadata!C331,"other"))</f>
        <v>0</v>
      </c>
      <c r="R331">
        <f>AND(IF(metadata!D331="",FALSE,TRUE),exact(metadata!D331,"metagenome"))</f>
        <v>0</v>
      </c>
      <c r="S331">
        <f>AND(IF(metadata!E331="",FALSE,TRUE),exact(metadata!E331,"256318"))</f>
        <v>0</v>
      </c>
    </row>
    <row r="332" spans="1:19">
      <c r="A332" s="4">
        <f>IF(B332=" "," ",HYPERLINK(CONCATENATE("#metadata!",ADDRESS(INDEX($K$2:$K$1001,MATCH(ROWS($I$2:I332),$I$2:$I$1001,0),0),1)),INDEX($N$2:$N$1001,MATCH(ROWS($I$2:I332),$I$2:$I$1001,0),0)))</f>
        <v>0</v>
      </c>
      <c r="B332" s="3">
        <f>IF(OR(INDEX($J$2:$J$1001,MATCH(ROWS($I$2:I332),$I$2:$I$1001,0),1)&gt;=100000,INDEX($P$1005:$S$1005,1,MATCH(COLUMNS($P$1006:P1006),$P$1006:$S$1006,0))&gt;=100000), " ",IF(INDEX($P$2:$S$1001,MATCH(ROWS($I$2:I332),$I$2:$I$1001,0),MATCH(COLUMNS($P$1006:P1006),$P$1006:$S$1006,0)), HYPERLINK("#",""), HYPERLINK(CONCATENATE("#metadata!", ADDRESS(INDEX($K$2:$K$1001,MATCH(ROWS($I$2:I332),$I$2:$I$1001,0),0), INDEX($P$1004:$S$1004,1,MATCH(COLUMNS($P$1006:P1006),$P$1006:$S$1006,0)))),"Fix")))</f>
        <v>0</v>
      </c>
      <c r="C332" s="3">
        <f>IF(OR(INDEX($J$2:$J$1001,MATCH(ROWS($I$2:I332),$I$2:$I$1001,0),1)&gt;=100000,INDEX($P$1005:$S$1005,1,MATCH(COLUMNS($P$1006:Q1006),$P$1006:$S$1006,0))&gt;=100000), " ",IF(INDEX($P$2:$S$1001,MATCH(ROWS($I$2:I332),$I$2:$I$1001,0),MATCH(COLUMNS($P$1006:Q1006),$P$1006:$S$1006,0)), HYPERLINK("#",""), HYPERLINK(CONCATENATE("#metadata!", ADDRESS(INDEX($K$2:$K$1001,MATCH(ROWS($I$2:I332),$I$2:$I$1001,0),0), INDEX($P$1004:$S$1004,1,MATCH(COLUMNS($P$1006:Q1006),$P$1006:$S$1006,0)))),"Fix")))</f>
        <v>0</v>
      </c>
      <c r="D332" s="3">
        <f>IF(OR(INDEX($J$2:$J$1001,MATCH(ROWS($I$2:I332),$I$2:$I$1001,0),1)&gt;=100000,INDEX($P$1005:$S$1005,1,MATCH(COLUMNS($P$1006:R1006),$P$1006:$S$1006,0))&gt;=100000), " ",IF(INDEX($P$2:$S$1001,MATCH(ROWS($I$2:I332),$I$2:$I$1001,0),MATCH(COLUMNS($P$1006:R1006),$P$1006:$S$1006,0)), HYPERLINK("#",""), HYPERLINK(CONCATENATE("#metadata!", ADDRESS(INDEX($K$2:$K$1001,MATCH(ROWS($I$2:I332),$I$2:$I$1001,0),0), INDEX($P$1004:$S$1004,1,MATCH(COLUMNS($P$1006:R1006),$P$1006:$S$1006,0)))),"Fix")))</f>
        <v>0</v>
      </c>
      <c r="E332" s="3">
        <f>IF(OR(INDEX($J$2:$J$1001,MATCH(ROWS($I$2:I332),$I$2:$I$1001,0),1)&gt;=100000,INDEX($P$1005:$S$1005,1,MATCH(COLUMNS($P$1006:S1006),$P$1006:$S$1006,0))&gt;=100000), " ",IF(INDEX($P$2:$S$1001,MATCH(ROWS($I$2:I332),$I$2:$I$1001,0),MATCH(COLUMNS($P$1006:S1006),$P$1006:$S$1006,0)), HYPERLINK("#",""), HYPERLINK(CONCATENATE("#metadata!", ADDRESS(INDEX($K$2:$K$1001,MATCH(ROWS($I$2:I332),$I$2:$I$1001,0),0), INDEX($P$1004:$S$1004,1,MATCH(COLUMNS($P$1006:S1006),$P$1006:$S$1006,0)))),"Fix")))</f>
        <v>0</v>
      </c>
      <c r="I332">
        <v>0</v>
      </c>
      <c r="J332">
        <v>0</v>
      </c>
      <c r="K332">
        <v>0</v>
      </c>
      <c r="L332">
        <f>IF(M332,TRUE,AND(P332:S332))</f>
        <v>0</v>
      </c>
      <c r="M332">
        <f>COUNTBLANK(metadata!B332:E332)=COLUMNS(metadata!B332:E332)</f>
        <v>0</v>
      </c>
      <c r="N332">
        <v>0</v>
      </c>
      <c r="P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Q332">
        <f>AND(IF(metadata!C332="",FALSE,TRUE),exact(metadata!C332,"other"))</f>
        <v>0</v>
      </c>
      <c r="R332">
        <f>AND(IF(metadata!D332="",FALSE,TRUE),exact(metadata!D332,"metagenome"))</f>
        <v>0</v>
      </c>
      <c r="S332">
        <f>AND(IF(metadata!E332="",FALSE,TRUE),exact(metadata!E332,"256318"))</f>
        <v>0</v>
      </c>
    </row>
    <row r="333" spans="1:19">
      <c r="A333" s="4">
        <f>IF(B333=" "," ",HYPERLINK(CONCATENATE("#metadata!",ADDRESS(INDEX($K$2:$K$1001,MATCH(ROWS($I$2:I333),$I$2:$I$1001,0),0),1)),INDEX($N$2:$N$1001,MATCH(ROWS($I$2:I333),$I$2:$I$1001,0),0)))</f>
        <v>0</v>
      </c>
      <c r="B333" s="3">
        <f>IF(OR(INDEX($J$2:$J$1001,MATCH(ROWS($I$2:I333),$I$2:$I$1001,0),1)&gt;=100000,INDEX($P$1005:$S$1005,1,MATCH(COLUMNS($P$1006:P1006),$P$1006:$S$1006,0))&gt;=100000), " ",IF(INDEX($P$2:$S$1001,MATCH(ROWS($I$2:I333),$I$2:$I$1001,0),MATCH(COLUMNS($P$1006:P1006),$P$1006:$S$1006,0)), HYPERLINK("#",""), HYPERLINK(CONCATENATE("#metadata!", ADDRESS(INDEX($K$2:$K$1001,MATCH(ROWS($I$2:I333),$I$2:$I$1001,0),0), INDEX($P$1004:$S$1004,1,MATCH(COLUMNS($P$1006:P1006),$P$1006:$S$1006,0)))),"Fix")))</f>
        <v>0</v>
      </c>
      <c r="C333" s="3">
        <f>IF(OR(INDEX($J$2:$J$1001,MATCH(ROWS($I$2:I333),$I$2:$I$1001,0),1)&gt;=100000,INDEX($P$1005:$S$1005,1,MATCH(COLUMNS($P$1006:Q1006),$P$1006:$S$1006,0))&gt;=100000), " ",IF(INDEX($P$2:$S$1001,MATCH(ROWS($I$2:I333),$I$2:$I$1001,0),MATCH(COLUMNS($P$1006:Q1006),$P$1006:$S$1006,0)), HYPERLINK("#",""), HYPERLINK(CONCATENATE("#metadata!", ADDRESS(INDEX($K$2:$K$1001,MATCH(ROWS($I$2:I333),$I$2:$I$1001,0),0), INDEX($P$1004:$S$1004,1,MATCH(COLUMNS($P$1006:Q1006),$P$1006:$S$1006,0)))),"Fix")))</f>
        <v>0</v>
      </c>
      <c r="D333" s="3">
        <f>IF(OR(INDEX($J$2:$J$1001,MATCH(ROWS($I$2:I333),$I$2:$I$1001,0),1)&gt;=100000,INDEX($P$1005:$S$1005,1,MATCH(COLUMNS($P$1006:R1006),$P$1006:$S$1006,0))&gt;=100000), " ",IF(INDEX($P$2:$S$1001,MATCH(ROWS($I$2:I333),$I$2:$I$1001,0),MATCH(COLUMNS($P$1006:R1006),$P$1006:$S$1006,0)), HYPERLINK("#",""), HYPERLINK(CONCATENATE("#metadata!", ADDRESS(INDEX($K$2:$K$1001,MATCH(ROWS($I$2:I333),$I$2:$I$1001,0),0), INDEX($P$1004:$S$1004,1,MATCH(COLUMNS($P$1006:R1006),$P$1006:$S$1006,0)))),"Fix")))</f>
        <v>0</v>
      </c>
      <c r="E333" s="3">
        <f>IF(OR(INDEX($J$2:$J$1001,MATCH(ROWS($I$2:I333),$I$2:$I$1001,0),1)&gt;=100000,INDEX($P$1005:$S$1005,1,MATCH(COLUMNS($P$1006:S1006),$P$1006:$S$1006,0))&gt;=100000), " ",IF(INDEX($P$2:$S$1001,MATCH(ROWS($I$2:I333),$I$2:$I$1001,0),MATCH(COLUMNS($P$1006:S1006),$P$1006:$S$1006,0)), HYPERLINK("#",""), HYPERLINK(CONCATENATE("#metadata!", ADDRESS(INDEX($K$2:$K$1001,MATCH(ROWS($I$2:I333),$I$2:$I$1001,0),0), INDEX($P$1004:$S$1004,1,MATCH(COLUMNS($P$1006:S1006),$P$1006:$S$1006,0)))),"Fix")))</f>
        <v>0</v>
      </c>
      <c r="I333">
        <v>0</v>
      </c>
      <c r="J333">
        <v>0</v>
      </c>
      <c r="K333">
        <v>0</v>
      </c>
      <c r="L333">
        <f>IF(M333,TRUE,AND(P333:S333))</f>
        <v>0</v>
      </c>
      <c r="M333">
        <f>COUNTBLANK(metadata!B333:E333)=COLUMNS(metadata!B333:E333)</f>
        <v>0</v>
      </c>
      <c r="N333">
        <v>0</v>
      </c>
      <c r="P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Q333">
        <f>AND(IF(metadata!C333="",FALSE,TRUE),exact(metadata!C333,"other"))</f>
        <v>0</v>
      </c>
      <c r="R333">
        <f>AND(IF(metadata!D333="",FALSE,TRUE),exact(metadata!D333,"metagenome"))</f>
        <v>0</v>
      </c>
      <c r="S333">
        <f>AND(IF(metadata!E333="",FALSE,TRUE),exact(metadata!E333,"256318"))</f>
        <v>0</v>
      </c>
    </row>
    <row r="334" spans="1:19">
      <c r="A334" s="4">
        <f>IF(B334=" "," ",HYPERLINK(CONCATENATE("#metadata!",ADDRESS(INDEX($K$2:$K$1001,MATCH(ROWS($I$2:I334),$I$2:$I$1001,0),0),1)),INDEX($N$2:$N$1001,MATCH(ROWS($I$2:I334),$I$2:$I$1001,0),0)))</f>
        <v>0</v>
      </c>
      <c r="B334" s="3">
        <f>IF(OR(INDEX($J$2:$J$1001,MATCH(ROWS($I$2:I334),$I$2:$I$1001,0),1)&gt;=100000,INDEX($P$1005:$S$1005,1,MATCH(COLUMNS($P$1006:P1006),$P$1006:$S$1006,0))&gt;=100000), " ",IF(INDEX($P$2:$S$1001,MATCH(ROWS($I$2:I334),$I$2:$I$1001,0),MATCH(COLUMNS($P$1006:P1006),$P$1006:$S$1006,0)), HYPERLINK("#",""), HYPERLINK(CONCATENATE("#metadata!", ADDRESS(INDEX($K$2:$K$1001,MATCH(ROWS($I$2:I334),$I$2:$I$1001,0),0), INDEX($P$1004:$S$1004,1,MATCH(COLUMNS($P$1006:P1006),$P$1006:$S$1006,0)))),"Fix")))</f>
        <v>0</v>
      </c>
      <c r="C334" s="3">
        <f>IF(OR(INDEX($J$2:$J$1001,MATCH(ROWS($I$2:I334),$I$2:$I$1001,0),1)&gt;=100000,INDEX($P$1005:$S$1005,1,MATCH(COLUMNS($P$1006:Q1006),$P$1006:$S$1006,0))&gt;=100000), " ",IF(INDEX($P$2:$S$1001,MATCH(ROWS($I$2:I334),$I$2:$I$1001,0),MATCH(COLUMNS($P$1006:Q1006),$P$1006:$S$1006,0)), HYPERLINK("#",""), HYPERLINK(CONCATENATE("#metadata!", ADDRESS(INDEX($K$2:$K$1001,MATCH(ROWS($I$2:I334),$I$2:$I$1001,0),0), INDEX($P$1004:$S$1004,1,MATCH(COLUMNS($P$1006:Q1006),$P$1006:$S$1006,0)))),"Fix")))</f>
        <v>0</v>
      </c>
      <c r="D334" s="3">
        <f>IF(OR(INDEX($J$2:$J$1001,MATCH(ROWS($I$2:I334),$I$2:$I$1001,0),1)&gt;=100000,INDEX($P$1005:$S$1005,1,MATCH(COLUMNS($P$1006:R1006),$P$1006:$S$1006,0))&gt;=100000), " ",IF(INDEX($P$2:$S$1001,MATCH(ROWS($I$2:I334),$I$2:$I$1001,0),MATCH(COLUMNS($P$1006:R1006),$P$1006:$S$1006,0)), HYPERLINK("#",""), HYPERLINK(CONCATENATE("#metadata!", ADDRESS(INDEX($K$2:$K$1001,MATCH(ROWS($I$2:I334),$I$2:$I$1001,0),0), INDEX($P$1004:$S$1004,1,MATCH(COLUMNS($P$1006:R1006),$P$1006:$S$1006,0)))),"Fix")))</f>
        <v>0</v>
      </c>
      <c r="E334" s="3">
        <f>IF(OR(INDEX($J$2:$J$1001,MATCH(ROWS($I$2:I334),$I$2:$I$1001,0),1)&gt;=100000,INDEX($P$1005:$S$1005,1,MATCH(COLUMNS($P$1006:S1006),$P$1006:$S$1006,0))&gt;=100000), " ",IF(INDEX($P$2:$S$1001,MATCH(ROWS($I$2:I334),$I$2:$I$1001,0),MATCH(COLUMNS($P$1006:S1006),$P$1006:$S$1006,0)), HYPERLINK("#",""), HYPERLINK(CONCATENATE("#metadata!", ADDRESS(INDEX($K$2:$K$1001,MATCH(ROWS($I$2:I334),$I$2:$I$1001,0),0), INDEX($P$1004:$S$1004,1,MATCH(COLUMNS($P$1006:S1006),$P$1006:$S$1006,0)))),"Fix")))</f>
        <v>0</v>
      </c>
      <c r="I334">
        <v>0</v>
      </c>
      <c r="J334">
        <v>0</v>
      </c>
      <c r="K334">
        <v>0</v>
      </c>
      <c r="L334">
        <f>IF(M334,TRUE,AND(P334:S334))</f>
        <v>0</v>
      </c>
      <c r="M334">
        <f>COUNTBLANK(metadata!B334:E334)=COLUMNS(metadata!B334:E334)</f>
        <v>0</v>
      </c>
      <c r="N334">
        <v>0</v>
      </c>
      <c r="P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Q334">
        <f>AND(IF(metadata!C334="",FALSE,TRUE),exact(metadata!C334,"other"))</f>
        <v>0</v>
      </c>
      <c r="R334">
        <f>AND(IF(metadata!D334="",FALSE,TRUE),exact(metadata!D334,"metagenome"))</f>
        <v>0</v>
      </c>
      <c r="S334">
        <f>AND(IF(metadata!E334="",FALSE,TRUE),exact(metadata!E334,"256318"))</f>
        <v>0</v>
      </c>
    </row>
    <row r="335" spans="1:19">
      <c r="A335" s="4">
        <f>IF(B335=" "," ",HYPERLINK(CONCATENATE("#metadata!",ADDRESS(INDEX($K$2:$K$1001,MATCH(ROWS($I$2:I335),$I$2:$I$1001,0),0),1)),INDEX($N$2:$N$1001,MATCH(ROWS($I$2:I335),$I$2:$I$1001,0),0)))</f>
        <v>0</v>
      </c>
      <c r="B335" s="3">
        <f>IF(OR(INDEX($J$2:$J$1001,MATCH(ROWS($I$2:I335),$I$2:$I$1001,0),1)&gt;=100000,INDEX($P$1005:$S$1005,1,MATCH(COLUMNS($P$1006:P1006),$P$1006:$S$1006,0))&gt;=100000), " ",IF(INDEX($P$2:$S$1001,MATCH(ROWS($I$2:I335),$I$2:$I$1001,0),MATCH(COLUMNS($P$1006:P1006),$P$1006:$S$1006,0)), HYPERLINK("#",""), HYPERLINK(CONCATENATE("#metadata!", ADDRESS(INDEX($K$2:$K$1001,MATCH(ROWS($I$2:I335),$I$2:$I$1001,0),0), INDEX($P$1004:$S$1004,1,MATCH(COLUMNS($P$1006:P1006),$P$1006:$S$1006,0)))),"Fix")))</f>
        <v>0</v>
      </c>
      <c r="C335" s="3">
        <f>IF(OR(INDEX($J$2:$J$1001,MATCH(ROWS($I$2:I335),$I$2:$I$1001,0),1)&gt;=100000,INDEX($P$1005:$S$1005,1,MATCH(COLUMNS($P$1006:Q1006),$P$1006:$S$1006,0))&gt;=100000), " ",IF(INDEX($P$2:$S$1001,MATCH(ROWS($I$2:I335),$I$2:$I$1001,0),MATCH(COLUMNS($P$1006:Q1006),$P$1006:$S$1006,0)), HYPERLINK("#",""), HYPERLINK(CONCATENATE("#metadata!", ADDRESS(INDEX($K$2:$K$1001,MATCH(ROWS($I$2:I335),$I$2:$I$1001,0),0), INDEX($P$1004:$S$1004,1,MATCH(COLUMNS($P$1006:Q1006),$P$1006:$S$1006,0)))),"Fix")))</f>
        <v>0</v>
      </c>
      <c r="D335" s="3">
        <f>IF(OR(INDEX($J$2:$J$1001,MATCH(ROWS($I$2:I335),$I$2:$I$1001,0),1)&gt;=100000,INDEX($P$1005:$S$1005,1,MATCH(COLUMNS($P$1006:R1006),$P$1006:$S$1006,0))&gt;=100000), " ",IF(INDEX($P$2:$S$1001,MATCH(ROWS($I$2:I335),$I$2:$I$1001,0),MATCH(COLUMNS($P$1006:R1006),$P$1006:$S$1006,0)), HYPERLINK("#",""), HYPERLINK(CONCATENATE("#metadata!", ADDRESS(INDEX($K$2:$K$1001,MATCH(ROWS($I$2:I335),$I$2:$I$1001,0),0), INDEX($P$1004:$S$1004,1,MATCH(COLUMNS($P$1006:R1006),$P$1006:$S$1006,0)))),"Fix")))</f>
        <v>0</v>
      </c>
      <c r="E335" s="3">
        <f>IF(OR(INDEX($J$2:$J$1001,MATCH(ROWS($I$2:I335),$I$2:$I$1001,0),1)&gt;=100000,INDEX($P$1005:$S$1005,1,MATCH(COLUMNS($P$1006:S1006),$P$1006:$S$1006,0))&gt;=100000), " ",IF(INDEX($P$2:$S$1001,MATCH(ROWS($I$2:I335),$I$2:$I$1001,0),MATCH(COLUMNS($P$1006:S1006),$P$1006:$S$1006,0)), HYPERLINK("#",""), HYPERLINK(CONCATENATE("#metadata!", ADDRESS(INDEX($K$2:$K$1001,MATCH(ROWS($I$2:I335),$I$2:$I$1001,0),0), INDEX($P$1004:$S$1004,1,MATCH(COLUMNS($P$1006:S1006),$P$1006:$S$1006,0)))),"Fix")))</f>
        <v>0</v>
      </c>
      <c r="I335">
        <v>0</v>
      </c>
      <c r="J335">
        <v>0</v>
      </c>
      <c r="K335">
        <v>0</v>
      </c>
      <c r="L335">
        <f>IF(M335,TRUE,AND(P335:S335))</f>
        <v>0</v>
      </c>
      <c r="M335">
        <f>COUNTBLANK(metadata!B335:E335)=COLUMNS(metadata!B335:E335)</f>
        <v>0</v>
      </c>
      <c r="N335">
        <v>0</v>
      </c>
      <c r="P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Q335">
        <f>AND(IF(metadata!C335="",FALSE,TRUE),exact(metadata!C335,"other"))</f>
        <v>0</v>
      </c>
      <c r="R335">
        <f>AND(IF(metadata!D335="",FALSE,TRUE),exact(metadata!D335,"metagenome"))</f>
        <v>0</v>
      </c>
      <c r="S335">
        <f>AND(IF(metadata!E335="",FALSE,TRUE),exact(metadata!E335,"256318"))</f>
        <v>0</v>
      </c>
    </row>
    <row r="336" spans="1:19">
      <c r="A336" s="4">
        <f>IF(B336=" "," ",HYPERLINK(CONCATENATE("#metadata!",ADDRESS(INDEX($K$2:$K$1001,MATCH(ROWS($I$2:I336),$I$2:$I$1001,0),0),1)),INDEX($N$2:$N$1001,MATCH(ROWS($I$2:I336),$I$2:$I$1001,0),0)))</f>
        <v>0</v>
      </c>
      <c r="B336" s="3">
        <f>IF(OR(INDEX($J$2:$J$1001,MATCH(ROWS($I$2:I336),$I$2:$I$1001,0),1)&gt;=100000,INDEX($P$1005:$S$1005,1,MATCH(COLUMNS($P$1006:P1006),$P$1006:$S$1006,0))&gt;=100000), " ",IF(INDEX($P$2:$S$1001,MATCH(ROWS($I$2:I336),$I$2:$I$1001,0),MATCH(COLUMNS($P$1006:P1006),$P$1006:$S$1006,0)), HYPERLINK("#",""), HYPERLINK(CONCATENATE("#metadata!", ADDRESS(INDEX($K$2:$K$1001,MATCH(ROWS($I$2:I336),$I$2:$I$1001,0),0), INDEX($P$1004:$S$1004,1,MATCH(COLUMNS($P$1006:P1006),$P$1006:$S$1006,0)))),"Fix")))</f>
        <v>0</v>
      </c>
      <c r="C336" s="3">
        <f>IF(OR(INDEX($J$2:$J$1001,MATCH(ROWS($I$2:I336),$I$2:$I$1001,0),1)&gt;=100000,INDEX($P$1005:$S$1005,1,MATCH(COLUMNS($P$1006:Q1006),$P$1006:$S$1006,0))&gt;=100000), " ",IF(INDEX($P$2:$S$1001,MATCH(ROWS($I$2:I336),$I$2:$I$1001,0),MATCH(COLUMNS($P$1006:Q1006),$P$1006:$S$1006,0)), HYPERLINK("#",""), HYPERLINK(CONCATENATE("#metadata!", ADDRESS(INDEX($K$2:$K$1001,MATCH(ROWS($I$2:I336),$I$2:$I$1001,0),0), INDEX($P$1004:$S$1004,1,MATCH(COLUMNS($P$1006:Q1006),$P$1006:$S$1006,0)))),"Fix")))</f>
        <v>0</v>
      </c>
      <c r="D336" s="3">
        <f>IF(OR(INDEX($J$2:$J$1001,MATCH(ROWS($I$2:I336),$I$2:$I$1001,0),1)&gt;=100000,INDEX($P$1005:$S$1005,1,MATCH(COLUMNS($P$1006:R1006),$P$1006:$S$1006,0))&gt;=100000), " ",IF(INDEX($P$2:$S$1001,MATCH(ROWS($I$2:I336),$I$2:$I$1001,0),MATCH(COLUMNS($P$1006:R1006),$P$1006:$S$1006,0)), HYPERLINK("#",""), HYPERLINK(CONCATENATE("#metadata!", ADDRESS(INDEX($K$2:$K$1001,MATCH(ROWS($I$2:I336),$I$2:$I$1001,0),0), INDEX($P$1004:$S$1004,1,MATCH(COLUMNS($P$1006:R1006),$P$1006:$S$1006,0)))),"Fix")))</f>
        <v>0</v>
      </c>
      <c r="E336" s="3">
        <f>IF(OR(INDEX($J$2:$J$1001,MATCH(ROWS($I$2:I336),$I$2:$I$1001,0),1)&gt;=100000,INDEX($P$1005:$S$1005,1,MATCH(COLUMNS($P$1006:S1006),$P$1006:$S$1006,0))&gt;=100000), " ",IF(INDEX($P$2:$S$1001,MATCH(ROWS($I$2:I336),$I$2:$I$1001,0),MATCH(COLUMNS($P$1006:S1006),$P$1006:$S$1006,0)), HYPERLINK("#",""), HYPERLINK(CONCATENATE("#metadata!", ADDRESS(INDEX($K$2:$K$1001,MATCH(ROWS($I$2:I336),$I$2:$I$1001,0),0), INDEX($P$1004:$S$1004,1,MATCH(COLUMNS($P$1006:S1006),$P$1006:$S$1006,0)))),"Fix")))</f>
        <v>0</v>
      </c>
      <c r="I336">
        <v>0</v>
      </c>
      <c r="J336">
        <v>0</v>
      </c>
      <c r="K336">
        <v>0</v>
      </c>
      <c r="L336">
        <f>IF(M336,TRUE,AND(P336:S336))</f>
        <v>0</v>
      </c>
      <c r="M336">
        <f>COUNTBLANK(metadata!B336:E336)=COLUMNS(metadata!B336:E336)</f>
        <v>0</v>
      </c>
      <c r="N336">
        <v>0</v>
      </c>
      <c r="P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Q336">
        <f>AND(IF(metadata!C336="",FALSE,TRUE),exact(metadata!C336,"other"))</f>
        <v>0</v>
      </c>
      <c r="R336">
        <f>AND(IF(metadata!D336="",FALSE,TRUE),exact(metadata!D336,"metagenome"))</f>
        <v>0</v>
      </c>
      <c r="S336">
        <f>AND(IF(metadata!E336="",FALSE,TRUE),exact(metadata!E336,"256318"))</f>
        <v>0</v>
      </c>
    </row>
    <row r="337" spans="1:19">
      <c r="A337" s="4">
        <f>IF(B337=" "," ",HYPERLINK(CONCATENATE("#metadata!",ADDRESS(INDEX($K$2:$K$1001,MATCH(ROWS($I$2:I337),$I$2:$I$1001,0),0),1)),INDEX($N$2:$N$1001,MATCH(ROWS($I$2:I337),$I$2:$I$1001,0),0)))</f>
        <v>0</v>
      </c>
      <c r="B337" s="3">
        <f>IF(OR(INDEX($J$2:$J$1001,MATCH(ROWS($I$2:I337),$I$2:$I$1001,0),1)&gt;=100000,INDEX($P$1005:$S$1005,1,MATCH(COLUMNS($P$1006:P1006),$P$1006:$S$1006,0))&gt;=100000), " ",IF(INDEX($P$2:$S$1001,MATCH(ROWS($I$2:I337),$I$2:$I$1001,0),MATCH(COLUMNS($P$1006:P1006),$P$1006:$S$1006,0)), HYPERLINK("#",""), HYPERLINK(CONCATENATE("#metadata!", ADDRESS(INDEX($K$2:$K$1001,MATCH(ROWS($I$2:I337),$I$2:$I$1001,0),0), INDEX($P$1004:$S$1004,1,MATCH(COLUMNS($P$1006:P1006),$P$1006:$S$1006,0)))),"Fix")))</f>
        <v>0</v>
      </c>
      <c r="C337" s="3">
        <f>IF(OR(INDEX($J$2:$J$1001,MATCH(ROWS($I$2:I337),$I$2:$I$1001,0),1)&gt;=100000,INDEX($P$1005:$S$1005,1,MATCH(COLUMNS($P$1006:Q1006),$P$1006:$S$1006,0))&gt;=100000), " ",IF(INDEX($P$2:$S$1001,MATCH(ROWS($I$2:I337),$I$2:$I$1001,0),MATCH(COLUMNS($P$1006:Q1006),$P$1006:$S$1006,0)), HYPERLINK("#",""), HYPERLINK(CONCATENATE("#metadata!", ADDRESS(INDEX($K$2:$K$1001,MATCH(ROWS($I$2:I337),$I$2:$I$1001,0),0), INDEX($P$1004:$S$1004,1,MATCH(COLUMNS($P$1006:Q1006),$P$1006:$S$1006,0)))),"Fix")))</f>
        <v>0</v>
      </c>
      <c r="D337" s="3">
        <f>IF(OR(INDEX($J$2:$J$1001,MATCH(ROWS($I$2:I337),$I$2:$I$1001,0),1)&gt;=100000,INDEX($P$1005:$S$1005,1,MATCH(COLUMNS($P$1006:R1006),$P$1006:$S$1006,0))&gt;=100000), " ",IF(INDEX($P$2:$S$1001,MATCH(ROWS($I$2:I337),$I$2:$I$1001,0),MATCH(COLUMNS($P$1006:R1006),$P$1006:$S$1006,0)), HYPERLINK("#",""), HYPERLINK(CONCATENATE("#metadata!", ADDRESS(INDEX($K$2:$K$1001,MATCH(ROWS($I$2:I337),$I$2:$I$1001,0),0), INDEX($P$1004:$S$1004,1,MATCH(COLUMNS($P$1006:R1006),$P$1006:$S$1006,0)))),"Fix")))</f>
        <v>0</v>
      </c>
      <c r="E337" s="3">
        <f>IF(OR(INDEX($J$2:$J$1001,MATCH(ROWS($I$2:I337),$I$2:$I$1001,0),1)&gt;=100000,INDEX($P$1005:$S$1005,1,MATCH(COLUMNS($P$1006:S1006),$P$1006:$S$1006,0))&gt;=100000), " ",IF(INDEX($P$2:$S$1001,MATCH(ROWS($I$2:I337),$I$2:$I$1001,0),MATCH(COLUMNS($P$1006:S1006),$P$1006:$S$1006,0)), HYPERLINK("#",""), HYPERLINK(CONCATENATE("#metadata!", ADDRESS(INDEX($K$2:$K$1001,MATCH(ROWS($I$2:I337),$I$2:$I$1001,0),0), INDEX($P$1004:$S$1004,1,MATCH(COLUMNS($P$1006:S1006),$P$1006:$S$1006,0)))),"Fix")))</f>
        <v>0</v>
      </c>
      <c r="I337">
        <v>0</v>
      </c>
      <c r="J337">
        <v>0</v>
      </c>
      <c r="K337">
        <v>0</v>
      </c>
      <c r="L337">
        <f>IF(M337,TRUE,AND(P337:S337))</f>
        <v>0</v>
      </c>
      <c r="M337">
        <f>COUNTBLANK(metadata!B337:E337)=COLUMNS(metadata!B337:E337)</f>
        <v>0</v>
      </c>
      <c r="N337">
        <v>0</v>
      </c>
      <c r="P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Q337">
        <f>AND(IF(metadata!C337="",FALSE,TRUE),exact(metadata!C337,"other"))</f>
        <v>0</v>
      </c>
      <c r="R337">
        <f>AND(IF(metadata!D337="",FALSE,TRUE),exact(metadata!D337,"metagenome"))</f>
        <v>0</v>
      </c>
      <c r="S337">
        <f>AND(IF(metadata!E337="",FALSE,TRUE),exact(metadata!E337,"256318"))</f>
        <v>0</v>
      </c>
    </row>
    <row r="338" spans="1:19">
      <c r="A338" s="4">
        <f>IF(B338=" "," ",HYPERLINK(CONCATENATE("#metadata!",ADDRESS(INDEX($K$2:$K$1001,MATCH(ROWS($I$2:I338),$I$2:$I$1001,0),0),1)),INDEX($N$2:$N$1001,MATCH(ROWS($I$2:I338),$I$2:$I$1001,0),0)))</f>
        <v>0</v>
      </c>
      <c r="B338" s="3">
        <f>IF(OR(INDEX($J$2:$J$1001,MATCH(ROWS($I$2:I338),$I$2:$I$1001,0),1)&gt;=100000,INDEX($P$1005:$S$1005,1,MATCH(COLUMNS($P$1006:P1006),$P$1006:$S$1006,0))&gt;=100000), " ",IF(INDEX($P$2:$S$1001,MATCH(ROWS($I$2:I338),$I$2:$I$1001,0),MATCH(COLUMNS($P$1006:P1006),$P$1006:$S$1006,0)), HYPERLINK("#",""), HYPERLINK(CONCATENATE("#metadata!", ADDRESS(INDEX($K$2:$K$1001,MATCH(ROWS($I$2:I338),$I$2:$I$1001,0),0), INDEX($P$1004:$S$1004,1,MATCH(COLUMNS($P$1006:P1006),$P$1006:$S$1006,0)))),"Fix")))</f>
        <v>0</v>
      </c>
      <c r="C338" s="3">
        <f>IF(OR(INDEX($J$2:$J$1001,MATCH(ROWS($I$2:I338),$I$2:$I$1001,0),1)&gt;=100000,INDEX($P$1005:$S$1005,1,MATCH(COLUMNS($P$1006:Q1006),$P$1006:$S$1006,0))&gt;=100000), " ",IF(INDEX($P$2:$S$1001,MATCH(ROWS($I$2:I338),$I$2:$I$1001,0),MATCH(COLUMNS($P$1006:Q1006),$P$1006:$S$1006,0)), HYPERLINK("#",""), HYPERLINK(CONCATENATE("#metadata!", ADDRESS(INDEX($K$2:$K$1001,MATCH(ROWS($I$2:I338),$I$2:$I$1001,0),0), INDEX($P$1004:$S$1004,1,MATCH(COLUMNS($P$1006:Q1006),$P$1006:$S$1006,0)))),"Fix")))</f>
        <v>0</v>
      </c>
      <c r="D338" s="3">
        <f>IF(OR(INDEX($J$2:$J$1001,MATCH(ROWS($I$2:I338),$I$2:$I$1001,0),1)&gt;=100000,INDEX($P$1005:$S$1005,1,MATCH(COLUMNS($P$1006:R1006),$P$1006:$S$1006,0))&gt;=100000), " ",IF(INDEX($P$2:$S$1001,MATCH(ROWS($I$2:I338),$I$2:$I$1001,0),MATCH(COLUMNS($P$1006:R1006),$P$1006:$S$1006,0)), HYPERLINK("#",""), HYPERLINK(CONCATENATE("#metadata!", ADDRESS(INDEX($K$2:$K$1001,MATCH(ROWS($I$2:I338),$I$2:$I$1001,0),0), INDEX($P$1004:$S$1004,1,MATCH(COLUMNS($P$1006:R1006),$P$1006:$S$1006,0)))),"Fix")))</f>
        <v>0</v>
      </c>
      <c r="E338" s="3">
        <f>IF(OR(INDEX($J$2:$J$1001,MATCH(ROWS($I$2:I338),$I$2:$I$1001,0),1)&gt;=100000,INDEX($P$1005:$S$1005,1,MATCH(COLUMNS($P$1006:S1006),$P$1006:$S$1006,0))&gt;=100000), " ",IF(INDEX($P$2:$S$1001,MATCH(ROWS($I$2:I338),$I$2:$I$1001,0),MATCH(COLUMNS($P$1006:S1006),$P$1006:$S$1006,0)), HYPERLINK("#",""), HYPERLINK(CONCATENATE("#metadata!", ADDRESS(INDEX($K$2:$K$1001,MATCH(ROWS($I$2:I338),$I$2:$I$1001,0),0), INDEX($P$1004:$S$1004,1,MATCH(COLUMNS($P$1006:S1006),$P$1006:$S$1006,0)))),"Fix")))</f>
        <v>0</v>
      </c>
      <c r="I338">
        <v>0</v>
      </c>
      <c r="J338">
        <v>0</v>
      </c>
      <c r="K338">
        <v>0</v>
      </c>
      <c r="L338">
        <f>IF(M338,TRUE,AND(P338:S338))</f>
        <v>0</v>
      </c>
      <c r="M338">
        <f>COUNTBLANK(metadata!B338:E338)=COLUMNS(metadata!B338:E338)</f>
        <v>0</v>
      </c>
      <c r="N338">
        <v>0</v>
      </c>
      <c r="P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Q338">
        <f>AND(IF(metadata!C338="",FALSE,TRUE),exact(metadata!C338,"other"))</f>
        <v>0</v>
      </c>
      <c r="R338">
        <f>AND(IF(metadata!D338="",FALSE,TRUE),exact(metadata!D338,"metagenome"))</f>
        <v>0</v>
      </c>
      <c r="S338">
        <f>AND(IF(metadata!E338="",FALSE,TRUE),exact(metadata!E338,"256318"))</f>
        <v>0</v>
      </c>
    </row>
    <row r="339" spans="1:19">
      <c r="A339" s="4">
        <f>IF(B339=" "," ",HYPERLINK(CONCATENATE("#metadata!",ADDRESS(INDEX($K$2:$K$1001,MATCH(ROWS($I$2:I339),$I$2:$I$1001,0),0),1)),INDEX($N$2:$N$1001,MATCH(ROWS($I$2:I339),$I$2:$I$1001,0),0)))</f>
        <v>0</v>
      </c>
      <c r="B339" s="3">
        <f>IF(OR(INDEX($J$2:$J$1001,MATCH(ROWS($I$2:I339),$I$2:$I$1001,0),1)&gt;=100000,INDEX($P$1005:$S$1005,1,MATCH(COLUMNS($P$1006:P1006),$P$1006:$S$1006,0))&gt;=100000), " ",IF(INDEX($P$2:$S$1001,MATCH(ROWS($I$2:I339),$I$2:$I$1001,0),MATCH(COLUMNS($P$1006:P1006),$P$1006:$S$1006,0)), HYPERLINK("#",""), HYPERLINK(CONCATENATE("#metadata!", ADDRESS(INDEX($K$2:$K$1001,MATCH(ROWS($I$2:I339),$I$2:$I$1001,0),0), INDEX($P$1004:$S$1004,1,MATCH(COLUMNS($P$1006:P1006),$P$1006:$S$1006,0)))),"Fix")))</f>
        <v>0</v>
      </c>
      <c r="C339" s="3">
        <f>IF(OR(INDEX($J$2:$J$1001,MATCH(ROWS($I$2:I339),$I$2:$I$1001,0),1)&gt;=100000,INDEX($P$1005:$S$1005,1,MATCH(COLUMNS($P$1006:Q1006),$P$1006:$S$1006,0))&gt;=100000), " ",IF(INDEX($P$2:$S$1001,MATCH(ROWS($I$2:I339),$I$2:$I$1001,0),MATCH(COLUMNS($P$1006:Q1006),$P$1006:$S$1006,0)), HYPERLINK("#",""), HYPERLINK(CONCATENATE("#metadata!", ADDRESS(INDEX($K$2:$K$1001,MATCH(ROWS($I$2:I339),$I$2:$I$1001,0),0), INDEX($P$1004:$S$1004,1,MATCH(COLUMNS($P$1006:Q1006),$P$1006:$S$1006,0)))),"Fix")))</f>
        <v>0</v>
      </c>
      <c r="D339" s="3">
        <f>IF(OR(INDEX($J$2:$J$1001,MATCH(ROWS($I$2:I339),$I$2:$I$1001,0),1)&gt;=100000,INDEX($P$1005:$S$1005,1,MATCH(COLUMNS($P$1006:R1006),$P$1006:$S$1006,0))&gt;=100000), " ",IF(INDEX($P$2:$S$1001,MATCH(ROWS($I$2:I339),$I$2:$I$1001,0),MATCH(COLUMNS($P$1006:R1006),$P$1006:$S$1006,0)), HYPERLINK("#",""), HYPERLINK(CONCATENATE("#metadata!", ADDRESS(INDEX($K$2:$K$1001,MATCH(ROWS($I$2:I339),$I$2:$I$1001,0),0), INDEX($P$1004:$S$1004,1,MATCH(COLUMNS($P$1006:R1006),$P$1006:$S$1006,0)))),"Fix")))</f>
        <v>0</v>
      </c>
      <c r="E339" s="3">
        <f>IF(OR(INDEX($J$2:$J$1001,MATCH(ROWS($I$2:I339),$I$2:$I$1001,0),1)&gt;=100000,INDEX($P$1005:$S$1005,1,MATCH(COLUMNS($P$1006:S1006),$P$1006:$S$1006,0))&gt;=100000), " ",IF(INDEX($P$2:$S$1001,MATCH(ROWS($I$2:I339),$I$2:$I$1001,0),MATCH(COLUMNS($P$1006:S1006),$P$1006:$S$1006,0)), HYPERLINK("#",""), HYPERLINK(CONCATENATE("#metadata!", ADDRESS(INDEX($K$2:$K$1001,MATCH(ROWS($I$2:I339),$I$2:$I$1001,0),0), INDEX($P$1004:$S$1004,1,MATCH(COLUMNS($P$1006:S1006),$P$1006:$S$1006,0)))),"Fix")))</f>
        <v>0</v>
      </c>
      <c r="I339">
        <v>0</v>
      </c>
      <c r="J339">
        <v>0</v>
      </c>
      <c r="K339">
        <v>0</v>
      </c>
      <c r="L339">
        <f>IF(M339,TRUE,AND(P339:S339))</f>
        <v>0</v>
      </c>
      <c r="M339">
        <f>COUNTBLANK(metadata!B339:E339)=COLUMNS(metadata!B339:E339)</f>
        <v>0</v>
      </c>
      <c r="N339">
        <v>0</v>
      </c>
      <c r="P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Q339">
        <f>AND(IF(metadata!C339="",FALSE,TRUE),exact(metadata!C339,"other"))</f>
        <v>0</v>
      </c>
      <c r="R339">
        <f>AND(IF(metadata!D339="",FALSE,TRUE),exact(metadata!D339,"metagenome"))</f>
        <v>0</v>
      </c>
      <c r="S339">
        <f>AND(IF(metadata!E339="",FALSE,TRUE),exact(metadata!E339,"256318"))</f>
        <v>0</v>
      </c>
    </row>
    <row r="340" spans="1:19">
      <c r="A340" s="4">
        <f>IF(B340=" "," ",HYPERLINK(CONCATENATE("#metadata!",ADDRESS(INDEX($K$2:$K$1001,MATCH(ROWS($I$2:I340),$I$2:$I$1001,0),0),1)),INDEX($N$2:$N$1001,MATCH(ROWS($I$2:I340),$I$2:$I$1001,0),0)))</f>
        <v>0</v>
      </c>
      <c r="B340" s="3">
        <f>IF(OR(INDEX($J$2:$J$1001,MATCH(ROWS($I$2:I340),$I$2:$I$1001,0),1)&gt;=100000,INDEX($P$1005:$S$1005,1,MATCH(COLUMNS($P$1006:P1006),$P$1006:$S$1006,0))&gt;=100000), " ",IF(INDEX($P$2:$S$1001,MATCH(ROWS($I$2:I340),$I$2:$I$1001,0),MATCH(COLUMNS($P$1006:P1006),$P$1006:$S$1006,0)), HYPERLINK("#",""), HYPERLINK(CONCATENATE("#metadata!", ADDRESS(INDEX($K$2:$K$1001,MATCH(ROWS($I$2:I340),$I$2:$I$1001,0),0), INDEX($P$1004:$S$1004,1,MATCH(COLUMNS($P$1006:P1006),$P$1006:$S$1006,0)))),"Fix")))</f>
        <v>0</v>
      </c>
      <c r="C340" s="3">
        <f>IF(OR(INDEX($J$2:$J$1001,MATCH(ROWS($I$2:I340),$I$2:$I$1001,0),1)&gt;=100000,INDEX($P$1005:$S$1005,1,MATCH(COLUMNS($P$1006:Q1006),$P$1006:$S$1006,0))&gt;=100000), " ",IF(INDEX($P$2:$S$1001,MATCH(ROWS($I$2:I340),$I$2:$I$1001,0),MATCH(COLUMNS($P$1006:Q1006),$P$1006:$S$1006,0)), HYPERLINK("#",""), HYPERLINK(CONCATENATE("#metadata!", ADDRESS(INDEX($K$2:$K$1001,MATCH(ROWS($I$2:I340),$I$2:$I$1001,0),0), INDEX($P$1004:$S$1004,1,MATCH(COLUMNS($P$1006:Q1006),$P$1006:$S$1006,0)))),"Fix")))</f>
        <v>0</v>
      </c>
      <c r="D340" s="3">
        <f>IF(OR(INDEX($J$2:$J$1001,MATCH(ROWS($I$2:I340),$I$2:$I$1001,0),1)&gt;=100000,INDEX($P$1005:$S$1005,1,MATCH(COLUMNS($P$1006:R1006),$P$1006:$S$1006,0))&gt;=100000), " ",IF(INDEX($P$2:$S$1001,MATCH(ROWS($I$2:I340),$I$2:$I$1001,0),MATCH(COLUMNS($P$1006:R1006),$P$1006:$S$1006,0)), HYPERLINK("#",""), HYPERLINK(CONCATENATE("#metadata!", ADDRESS(INDEX($K$2:$K$1001,MATCH(ROWS($I$2:I340),$I$2:$I$1001,0),0), INDEX($P$1004:$S$1004,1,MATCH(COLUMNS($P$1006:R1006),$P$1006:$S$1006,0)))),"Fix")))</f>
        <v>0</v>
      </c>
      <c r="E340" s="3">
        <f>IF(OR(INDEX($J$2:$J$1001,MATCH(ROWS($I$2:I340),$I$2:$I$1001,0),1)&gt;=100000,INDEX($P$1005:$S$1005,1,MATCH(COLUMNS($P$1006:S1006),$P$1006:$S$1006,0))&gt;=100000), " ",IF(INDEX($P$2:$S$1001,MATCH(ROWS($I$2:I340),$I$2:$I$1001,0),MATCH(COLUMNS($P$1006:S1006),$P$1006:$S$1006,0)), HYPERLINK("#",""), HYPERLINK(CONCATENATE("#metadata!", ADDRESS(INDEX($K$2:$K$1001,MATCH(ROWS($I$2:I340),$I$2:$I$1001,0),0), INDEX($P$1004:$S$1004,1,MATCH(COLUMNS($P$1006:S1006),$P$1006:$S$1006,0)))),"Fix")))</f>
        <v>0</v>
      </c>
      <c r="I340">
        <v>0</v>
      </c>
      <c r="J340">
        <v>0</v>
      </c>
      <c r="K340">
        <v>0</v>
      </c>
      <c r="L340">
        <f>IF(M340,TRUE,AND(P340:S340))</f>
        <v>0</v>
      </c>
      <c r="M340">
        <f>COUNTBLANK(metadata!B340:E340)=COLUMNS(metadata!B340:E340)</f>
        <v>0</v>
      </c>
      <c r="N340">
        <v>0</v>
      </c>
      <c r="P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Q340">
        <f>AND(IF(metadata!C340="",FALSE,TRUE),exact(metadata!C340,"other"))</f>
        <v>0</v>
      </c>
      <c r="R340">
        <f>AND(IF(metadata!D340="",FALSE,TRUE),exact(metadata!D340,"metagenome"))</f>
        <v>0</v>
      </c>
      <c r="S340">
        <f>AND(IF(metadata!E340="",FALSE,TRUE),exact(metadata!E340,"256318"))</f>
        <v>0</v>
      </c>
    </row>
    <row r="341" spans="1:19">
      <c r="A341" s="4">
        <f>IF(B341=" "," ",HYPERLINK(CONCATENATE("#metadata!",ADDRESS(INDEX($K$2:$K$1001,MATCH(ROWS($I$2:I341),$I$2:$I$1001,0),0),1)),INDEX($N$2:$N$1001,MATCH(ROWS($I$2:I341),$I$2:$I$1001,0),0)))</f>
        <v>0</v>
      </c>
      <c r="B341" s="3">
        <f>IF(OR(INDEX($J$2:$J$1001,MATCH(ROWS($I$2:I341),$I$2:$I$1001,0),1)&gt;=100000,INDEX($P$1005:$S$1005,1,MATCH(COLUMNS($P$1006:P1006),$P$1006:$S$1006,0))&gt;=100000), " ",IF(INDEX($P$2:$S$1001,MATCH(ROWS($I$2:I341),$I$2:$I$1001,0),MATCH(COLUMNS($P$1006:P1006),$P$1006:$S$1006,0)), HYPERLINK("#",""), HYPERLINK(CONCATENATE("#metadata!", ADDRESS(INDEX($K$2:$K$1001,MATCH(ROWS($I$2:I341),$I$2:$I$1001,0),0), INDEX($P$1004:$S$1004,1,MATCH(COLUMNS($P$1006:P1006),$P$1006:$S$1006,0)))),"Fix")))</f>
        <v>0</v>
      </c>
      <c r="C341" s="3">
        <f>IF(OR(INDEX($J$2:$J$1001,MATCH(ROWS($I$2:I341),$I$2:$I$1001,0),1)&gt;=100000,INDEX($P$1005:$S$1005,1,MATCH(COLUMNS($P$1006:Q1006),$P$1006:$S$1006,0))&gt;=100000), " ",IF(INDEX($P$2:$S$1001,MATCH(ROWS($I$2:I341),$I$2:$I$1001,0),MATCH(COLUMNS($P$1006:Q1006),$P$1006:$S$1006,0)), HYPERLINK("#",""), HYPERLINK(CONCATENATE("#metadata!", ADDRESS(INDEX($K$2:$K$1001,MATCH(ROWS($I$2:I341),$I$2:$I$1001,0),0), INDEX($P$1004:$S$1004,1,MATCH(COLUMNS($P$1006:Q1006),$P$1006:$S$1006,0)))),"Fix")))</f>
        <v>0</v>
      </c>
      <c r="D341" s="3">
        <f>IF(OR(INDEX($J$2:$J$1001,MATCH(ROWS($I$2:I341),$I$2:$I$1001,0),1)&gt;=100000,INDEX($P$1005:$S$1005,1,MATCH(COLUMNS($P$1006:R1006),$P$1006:$S$1006,0))&gt;=100000), " ",IF(INDEX($P$2:$S$1001,MATCH(ROWS($I$2:I341),$I$2:$I$1001,0),MATCH(COLUMNS($P$1006:R1006),$P$1006:$S$1006,0)), HYPERLINK("#",""), HYPERLINK(CONCATENATE("#metadata!", ADDRESS(INDEX($K$2:$K$1001,MATCH(ROWS($I$2:I341),$I$2:$I$1001,0),0), INDEX($P$1004:$S$1004,1,MATCH(COLUMNS($P$1006:R1006),$P$1006:$S$1006,0)))),"Fix")))</f>
        <v>0</v>
      </c>
      <c r="E341" s="3">
        <f>IF(OR(INDEX($J$2:$J$1001,MATCH(ROWS($I$2:I341),$I$2:$I$1001,0),1)&gt;=100000,INDEX($P$1005:$S$1005,1,MATCH(COLUMNS($P$1006:S1006),$P$1006:$S$1006,0))&gt;=100000), " ",IF(INDEX($P$2:$S$1001,MATCH(ROWS($I$2:I341),$I$2:$I$1001,0),MATCH(COLUMNS($P$1006:S1006),$P$1006:$S$1006,0)), HYPERLINK("#",""), HYPERLINK(CONCATENATE("#metadata!", ADDRESS(INDEX($K$2:$K$1001,MATCH(ROWS($I$2:I341),$I$2:$I$1001,0),0), INDEX($P$1004:$S$1004,1,MATCH(COLUMNS($P$1006:S1006),$P$1006:$S$1006,0)))),"Fix")))</f>
        <v>0</v>
      </c>
      <c r="I341">
        <v>0</v>
      </c>
      <c r="J341">
        <v>0</v>
      </c>
      <c r="K341">
        <v>0</v>
      </c>
      <c r="L341">
        <f>IF(M341,TRUE,AND(P341:S341))</f>
        <v>0</v>
      </c>
      <c r="M341">
        <f>COUNTBLANK(metadata!B341:E341)=COLUMNS(metadata!B341:E341)</f>
        <v>0</v>
      </c>
      <c r="N341">
        <v>0</v>
      </c>
      <c r="P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Q341">
        <f>AND(IF(metadata!C341="",FALSE,TRUE),exact(metadata!C341,"other"))</f>
        <v>0</v>
      </c>
      <c r="R341">
        <f>AND(IF(metadata!D341="",FALSE,TRUE),exact(metadata!D341,"metagenome"))</f>
        <v>0</v>
      </c>
      <c r="S341">
        <f>AND(IF(metadata!E341="",FALSE,TRUE),exact(metadata!E341,"256318"))</f>
        <v>0</v>
      </c>
    </row>
    <row r="342" spans="1:19">
      <c r="A342" s="4">
        <f>IF(B342=" "," ",HYPERLINK(CONCATENATE("#metadata!",ADDRESS(INDEX($K$2:$K$1001,MATCH(ROWS($I$2:I342),$I$2:$I$1001,0),0),1)),INDEX($N$2:$N$1001,MATCH(ROWS($I$2:I342),$I$2:$I$1001,0),0)))</f>
        <v>0</v>
      </c>
      <c r="B342" s="3">
        <f>IF(OR(INDEX($J$2:$J$1001,MATCH(ROWS($I$2:I342),$I$2:$I$1001,0),1)&gt;=100000,INDEX($P$1005:$S$1005,1,MATCH(COLUMNS($P$1006:P1006),$P$1006:$S$1006,0))&gt;=100000), " ",IF(INDEX($P$2:$S$1001,MATCH(ROWS($I$2:I342),$I$2:$I$1001,0),MATCH(COLUMNS($P$1006:P1006),$P$1006:$S$1006,0)), HYPERLINK("#",""), HYPERLINK(CONCATENATE("#metadata!", ADDRESS(INDEX($K$2:$K$1001,MATCH(ROWS($I$2:I342),$I$2:$I$1001,0),0), INDEX($P$1004:$S$1004,1,MATCH(COLUMNS($P$1006:P1006),$P$1006:$S$1006,0)))),"Fix")))</f>
        <v>0</v>
      </c>
      <c r="C342" s="3">
        <f>IF(OR(INDEX($J$2:$J$1001,MATCH(ROWS($I$2:I342),$I$2:$I$1001,0),1)&gt;=100000,INDEX($P$1005:$S$1005,1,MATCH(COLUMNS($P$1006:Q1006),$P$1006:$S$1006,0))&gt;=100000), " ",IF(INDEX($P$2:$S$1001,MATCH(ROWS($I$2:I342),$I$2:$I$1001,0),MATCH(COLUMNS($P$1006:Q1006),$P$1006:$S$1006,0)), HYPERLINK("#",""), HYPERLINK(CONCATENATE("#metadata!", ADDRESS(INDEX($K$2:$K$1001,MATCH(ROWS($I$2:I342),$I$2:$I$1001,0),0), INDEX($P$1004:$S$1004,1,MATCH(COLUMNS($P$1006:Q1006),$P$1006:$S$1006,0)))),"Fix")))</f>
        <v>0</v>
      </c>
      <c r="D342" s="3">
        <f>IF(OR(INDEX($J$2:$J$1001,MATCH(ROWS($I$2:I342),$I$2:$I$1001,0),1)&gt;=100000,INDEX($P$1005:$S$1005,1,MATCH(COLUMNS($P$1006:R1006),$P$1006:$S$1006,0))&gt;=100000), " ",IF(INDEX($P$2:$S$1001,MATCH(ROWS($I$2:I342),$I$2:$I$1001,0),MATCH(COLUMNS($P$1006:R1006),$P$1006:$S$1006,0)), HYPERLINK("#",""), HYPERLINK(CONCATENATE("#metadata!", ADDRESS(INDEX($K$2:$K$1001,MATCH(ROWS($I$2:I342),$I$2:$I$1001,0),0), INDEX($P$1004:$S$1004,1,MATCH(COLUMNS($P$1006:R1006),$P$1006:$S$1006,0)))),"Fix")))</f>
        <v>0</v>
      </c>
      <c r="E342" s="3">
        <f>IF(OR(INDEX($J$2:$J$1001,MATCH(ROWS($I$2:I342),$I$2:$I$1001,0),1)&gt;=100000,INDEX($P$1005:$S$1005,1,MATCH(COLUMNS($P$1006:S1006),$P$1006:$S$1006,0))&gt;=100000), " ",IF(INDEX($P$2:$S$1001,MATCH(ROWS($I$2:I342),$I$2:$I$1001,0),MATCH(COLUMNS($P$1006:S1006),$P$1006:$S$1006,0)), HYPERLINK("#",""), HYPERLINK(CONCATENATE("#metadata!", ADDRESS(INDEX($K$2:$K$1001,MATCH(ROWS($I$2:I342),$I$2:$I$1001,0),0), INDEX($P$1004:$S$1004,1,MATCH(COLUMNS($P$1006:S1006),$P$1006:$S$1006,0)))),"Fix")))</f>
        <v>0</v>
      </c>
      <c r="I342">
        <v>0</v>
      </c>
      <c r="J342">
        <v>0</v>
      </c>
      <c r="K342">
        <v>0</v>
      </c>
      <c r="L342">
        <f>IF(M342,TRUE,AND(P342:S342))</f>
        <v>0</v>
      </c>
      <c r="M342">
        <f>COUNTBLANK(metadata!B342:E342)=COLUMNS(metadata!B342:E342)</f>
        <v>0</v>
      </c>
      <c r="N342">
        <v>0</v>
      </c>
      <c r="P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Q342">
        <f>AND(IF(metadata!C342="",FALSE,TRUE),exact(metadata!C342,"other"))</f>
        <v>0</v>
      </c>
      <c r="R342">
        <f>AND(IF(metadata!D342="",FALSE,TRUE),exact(metadata!D342,"metagenome"))</f>
        <v>0</v>
      </c>
      <c r="S342">
        <f>AND(IF(metadata!E342="",FALSE,TRUE),exact(metadata!E342,"256318"))</f>
        <v>0</v>
      </c>
    </row>
    <row r="343" spans="1:19">
      <c r="A343" s="4">
        <f>IF(B343=" "," ",HYPERLINK(CONCATENATE("#metadata!",ADDRESS(INDEX($K$2:$K$1001,MATCH(ROWS($I$2:I343),$I$2:$I$1001,0),0),1)),INDEX($N$2:$N$1001,MATCH(ROWS($I$2:I343),$I$2:$I$1001,0),0)))</f>
        <v>0</v>
      </c>
      <c r="B343" s="3">
        <f>IF(OR(INDEX($J$2:$J$1001,MATCH(ROWS($I$2:I343),$I$2:$I$1001,0),1)&gt;=100000,INDEX($P$1005:$S$1005,1,MATCH(COLUMNS($P$1006:P1006),$P$1006:$S$1006,0))&gt;=100000), " ",IF(INDEX($P$2:$S$1001,MATCH(ROWS($I$2:I343),$I$2:$I$1001,0),MATCH(COLUMNS($P$1006:P1006),$P$1006:$S$1006,0)), HYPERLINK("#",""), HYPERLINK(CONCATENATE("#metadata!", ADDRESS(INDEX($K$2:$K$1001,MATCH(ROWS($I$2:I343),$I$2:$I$1001,0),0), INDEX($P$1004:$S$1004,1,MATCH(COLUMNS($P$1006:P1006),$P$1006:$S$1006,0)))),"Fix")))</f>
        <v>0</v>
      </c>
      <c r="C343" s="3">
        <f>IF(OR(INDEX($J$2:$J$1001,MATCH(ROWS($I$2:I343),$I$2:$I$1001,0),1)&gt;=100000,INDEX($P$1005:$S$1005,1,MATCH(COLUMNS($P$1006:Q1006),$P$1006:$S$1006,0))&gt;=100000), " ",IF(INDEX($P$2:$S$1001,MATCH(ROWS($I$2:I343),$I$2:$I$1001,0),MATCH(COLUMNS($P$1006:Q1006),$P$1006:$S$1006,0)), HYPERLINK("#",""), HYPERLINK(CONCATENATE("#metadata!", ADDRESS(INDEX($K$2:$K$1001,MATCH(ROWS($I$2:I343),$I$2:$I$1001,0),0), INDEX($P$1004:$S$1004,1,MATCH(COLUMNS($P$1006:Q1006),$P$1006:$S$1006,0)))),"Fix")))</f>
        <v>0</v>
      </c>
      <c r="D343" s="3">
        <f>IF(OR(INDEX($J$2:$J$1001,MATCH(ROWS($I$2:I343),$I$2:$I$1001,0),1)&gt;=100000,INDEX($P$1005:$S$1005,1,MATCH(COLUMNS($P$1006:R1006),$P$1006:$S$1006,0))&gt;=100000), " ",IF(INDEX($P$2:$S$1001,MATCH(ROWS($I$2:I343),$I$2:$I$1001,0),MATCH(COLUMNS($P$1006:R1006),$P$1006:$S$1006,0)), HYPERLINK("#",""), HYPERLINK(CONCATENATE("#metadata!", ADDRESS(INDEX($K$2:$K$1001,MATCH(ROWS($I$2:I343),$I$2:$I$1001,0),0), INDEX($P$1004:$S$1004,1,MATCH(COLUMNS($P$1006:R1006),$P$1006:$S$1006,0)))),"Fix")))</f>
        <v>0</v>
      </c>
      <c r="E343" s="3">
        <f>IF(OR(INDEX($J$2:$J$1001,MATCH(ROWS($I$2:I343),$I$2:$I$1001,0),1)&gt;=100000,INDEX($P$1005:$S$1005,1,MATCH(COLUMNS($P$1006:S1006),$P$1006:$S$1006,0))&gt;=100000), " ",IF(INDEX($P$2:$S$1001,MATCH(ROWS($I$2:I343),$I$2:$I$1001,0),MATCH(COLUMNS($P$1006:S1006),$P$1006:$S$1006,0)), HYPERLINK("#",""), HYPERLINK(CONCATENATE("#metadata!", ADDRESS(INDEX($K$2:$K$1001,MATCH(ROWS($I$2:I343),$I$2:$I$1001,0),0), INDEX($P$1004:$S$1004,1,MATCH(COLUMNS($P$1006:S1006),$P$1006:$S$1006,0)))),"Fix")))</f>
        <v>0</v>
      </c>
      <c r="I343">
        <v>0</v>
      </c>
      <c r="J343">
        <v>0</v>
      </c>
      <c r="K343">
        <v>0</v>
      </c>
      <c r="L343">
        <f>IF(M343,TRUE,AND(P343:S343))</f>
        <v>0</v>
      </c>
      <c r="M343">
        <f>COUNTBLANK(metadata!B343:E343)=COLUMNS(metadata!B343:E343)</f>
        <v>0</v>
      </c>
      <c r="N343">
        <v>0</v>
      </c>
      <c r="P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Q343">
        <f>AND(IF(metadata!C343="",FALSE,TRUE),exact(metadata!C343,"other"))</f>
        <v>0</v>
      </c>
      <c r="R343">
        <f>AND(IF(metadata!D343="",FALSE,TRUE),exact(metadata!D343,"metagenome"))</f>
        <v>0</v>
      </c>
      <c r="S343">
        <f>AND(IF(metadata!E343="",FALSE,TRUE),exact(metadata!E343,"256318"))</f>
        <v>0</v>
      </c>
    </row>
    <row r="344" spans="1:19">
      <c r="A344" s="4">
        <f>IF(B344=" "," ",HYPERLINK(CONCATENATE("#metadata!",ADDRESS(INDEX($K$2:$K$1001,MATCH(ROWS($I$2:I344),$I$2:$I$1001,0),0),1)),INDEX($N$2:$N$1001,MATCH(ROWS($I$2:I344),$I$2:$I$1001,0),0)))</f>
        <v>0</v>
      </c>
      <c r="B344" s="3">
        <f>IF(OR(INDEX($J$2:$J$1001,MATCH(ROWS($I$2:I344),$I$2:$I$1001,0),1)&gt;=100000,INDEX($P$1005:$S$1005,1,MATCH(COLUMNS($P$1006:P1006),$P$1006:$S$1006,0))&gt;=100000), " ",IF(INDEX($P$2:$S$1001,MATCH(ROWS($I$2:I344),$I$2:$I$1001,0),MATCH(COLUMNS($P$1006:P1006),$P$1006:$S$1006,0)), HYPERLINK("#",""), HYPERLINK(CONCATENATE("#metadata!", ADDRESS(INDEX($K$2:$K$1001,MATCH(ROWS($I$2:I344),$I$2:$I$1001,0),0), INDEX($P$1004:$S$1004,1,MATCH(COLUMNS($P$1006:P1006),$P$1006:$S$1006,0)))),"Fix")))</f>
        <v>0</v>
      </c>
      <c r="C344" s="3">
        <f>IF(OR(INDEX($J$2:$J$1001,MATCH(ROWS($I$2:I344),$I$2:$I$1001,0),1)&gt;=100000,INDEX($P$1005:$S$1005,1,MATCH(COLUMNS($P$1006:Q1006),$P$1006:$S$1006,0))&gt;=100000), " ",IF(INDEX($P$2:$S$1001,MATCH(ROWS($I$2:I344),$I$2:$I$1001,0),MATCH(COLUMNS($P$1006:Q1006),$P$1006:$S$1006,0)), HYPERLINK("#",""), HYPERLINK(CONCATENATE("#metadata!", ADDRESS(INDEX($K$2:$K$1001,MATCH(ROWS($I$2:I344),$I$2:$I$1001,0),0), INDEX($P$1004:$S$1004,1,MATCH(COLUMNS($P$1006:Q1006),$P$1006:$S$1006,0)))),"Fix")))</f>
        <v>0</v>
      </c>
      <c r="D344" s="3">
        <f>IF(OR(INDEX($J$2:$J$1001,MATCH(ROWS($I$2:I344),$I$2:$I$1001,0),1)&gt;=100000,INDEX($P$1005:$S$1005,1,MATCH(COLUMNS($P$1006:R1006),$P$1006:$S$1006,0))&gt;=100000), " ",IF(INDEX($P$2:$S$1001,MATCH(ROWS($I$2:I344),$I$2:$I$1001,0),MATCH(COLUMNS($P$1006:R1006),$P$1006:$S$1006,0)), HYPERLINK("#",""), HYPERLINK(CONCATENATE("#metadata!", ADDRESS(INDEX($K$2:$K$1001,MATCH(ROWS($I$2:I344),$I$2:$I$1001,0),0), INDEX($P$1004:$S$1004,1,MATCH(COLUMNS($P$1006:R1006),$P$1006:$S$1006,0)))),"Fix")))</f>
        <v>0</v>
      </c>
      <c r="E344" s="3">
        <f>IF(OR(INDEX($J$2:$J$1001,MATCH(ROWS($I$2:I344),$I$2:$I$1001,0),1)&gt;=100000,INDEX($P$1005:$S$1005,1,MATCH(COLUMNS($P$1006:S1006),$P$1006:$S$1006,0))&gt;=100000), " ",IF(INDEX($P$2:$S$1001,MATCH(ROWS($I$2:I344),$I$2:$I$1001,0),MATCH(COLUMNS($P$1006:S1006),$P$1006:$S$1006,0)), HYPERLINK("#",""), HYPERLINK(CONCATENATE("#metadata!", ADDRESS(INDEX($K$2:$K$1001,MATCH(ROWS($I$2:I344),$I$2:$I$1001,0),0), INDEX($P$1004:$S$1004,1,MATCH(COLUMNS($P$1006:S1006),$P$1006:$S$1006,0)))),"Fix")))</f>
        <v>0</v>
      </c>
      <c r="I344">
        <v>0</v>
      </c>
      <c r="J344">
        <v>0</v>
      </c>
      <c r="K344">
        <v>0</v>
      </c>
      <c r="L344">
        <f>IF(M344,TRUE,AND(P344:S344))</f>
        <v>0</v>
      </c>
      <c r="M344">
        <f>COUNTBLANK(metadata!B344:E344)=COLUMNS(metadata!B344:E344)</f>
        <v>0</v>
      </c>
      <c r="N344">
        <v>0</v>
      </c>
      <c r="P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Q344">
        <f>AND(IF(metadata!C344="",FALSE,TRUE),exact(metadata!C344,"other"))</f>
        <v>0</v>
      </c>
      <c r="R344">
        <f>AND(IF(metadata!D344="",FALSE,TRUE),exact(metadata!D344,"metagenome"))</f>
        <v>0</v>
      </c>
      <c r="S344">
        <f>AND(IF(metadata!E344="",FALSE,TRUE),exact(metadata!E344,"256318"))</f>
        <v>0</v>
      </c>
    </row>
    <row r="345" spans="1:19">
      <c r="A345" s="4">
        <f>IF(B345=" "," ",HYPERLINK(CONCATENATE("#metadata!",ADDRESS(INDEX($K$2:$K$1001,MATCH(ROWS($I$2:I345),$I$2:$I$1001,0),0),1)),INDEX($N$2:$N$1001,MATCH(ROWS($I$2:I345),$I$2:$I$1001,0),0)))</f>
        <v>0</v>
      </c>
      <c r="B345" s="3">
        <f>IF(OR(INDEX($J$2:$J$1001,MATCH(ROWS($I$2:I345),$I$2:$I$1001,0),1)&gt;=100000,INDEX($P$1005:$S$1005,1,MATCH(COLUMNS($P$1006:P1006),$P$1006:$S$1006,0))&gt;=100000), " ",IF(INDEX($P$2:$S$1001,MATCH(ROWS($I$2:I345),$I$2:$I$1001,0),MATCH(COLUMNS($P$1006:P1006),$P$1006:$S$1006,0)), HYPERLINK("#",""), HYPERLINK(CONCATENATE("#metadata!", ADDRESS(INDEX($K$2:$K$1001,MATCH(ROWS($I$2:I345),$I$2:$I$1001,0),0), INDEX($P$1004:$S$1004,1,MATCH(COLUMNS($P$1006:P1006),$P$1006:$S$1006,0)))),"Fix")))</f>
        <v>0</v>
      </c>
      <c r="C345" s="3">
        <f>IF(OR(INDEX($J$2:$J$1001,MATCH(ROWS($I$2:I345),$I$2:$I$1001,0),1)&gt;=100000,INDEX($P$1005:$S$1005,1,MATCH(COLUMNS($P$1006:Q1006),$P$1006:$S$1006,0))&gt;=100000), " ",IF(INDEX($P$2:$S$1001,MATCH(ROWS($I$2:I345),$I$2:$I$1001,0),MATCH(COLUMNS($P$1006:Q1006),$P$1006:$S$1006,0)), HYPERLINK("#",""), HYPERLINK(CONCATENATE("#metadata!", ADDRESS(INDEX($K$2:$K$1001,MATCH(ROWS($I$2:I345),$I$2:$I$1001,0),0), INDEX($P$1004:$S$1004,1,MATCH(COLUMNS($P$1006:Q1006),$P$1006:$S$1006,0)))),"Fix")))</f>
        <v>0</v>
      </c>
      <c r="D345" s="3">
        <f>IF(OR(INDEX($J$2:$J$1001,MATCH(ROWS($I$2:I345),$I$2:$I$1001,0),1)&gt;=100000,INDEX($P$1005:$S$1005,1,MATCH(COLUMNS($P$1006:R1006),$P$1006:$S$1006,0))&gt;=100000), " ",IF(INDEX($P$2:$S$1001,MATCH(ROWS($I$2:I345),$I$2:$I$1001,0),MATCH(COLUMNS($P$1006:R1006),$P$1006:$S$1006,0)), HYPERLINK("#",""), HYPERLINK(CONCATENATE("#metadata!", ADDRESS(INDEX($K$2:$K$1001,MATCH(ROWS($I$2:I345),$I$2:$I$1001,0),0), INDEX($P$1004:$S$1004,1,MATCH(COLUMNS($P$1006:R1006),$P$1006:$S$1006,0)))),"Fix")))</f>
        <v>0</v>
      </c>
      <c r="E345" s="3">
        <f>IF(OR(INDEX($J$2:$J$1001,MATCH(ROWS($I$2:I345),$I$2:$I$1001,0),1)&gt;=100000,INDEX($P$1005:$S$1005,1,MATCH(COLUMNS($P$1006:S1006),$P$1006:$S$1006,0))&gt;=100000), " ",IF(INDEX($P$2:$S$1001,MATCH(ROWS($I$2:I345),$I$2:$I$1001,0),MATCH(COLUMNS($P$1006:S1006),$P$1006:$S$1006,0)), HYPERLINK("#",""), HYPERLINK(CONCATENATE("#metadata!", ADDRESS(INDEX($K$2:$K$1001,MATCH(ROWS($I$2:I345),$I$2:$I$1001,0),0), INDEX($P$1004:$S$1004,1,MATCH(COLUMNS($P$1006:S1006),$P$1006:$S$1006,0)))),"Fix")))</f>
        <v>0</v>
      </c>
      <c r="I345">
        <v>0</v>
      </c>
      <c r="J345">
        <v>0</v>
      </c>
      <c r="K345">
        <v>0</v>
      </c>
      <c r="L345">
        <f>IF(M345,TRUE,AND(P345:S345))</f>
        <v>0</v>
      </c>
      <c r="M345">
        <f>COUNTBLANK(metadata!B345:E345)=COLUMNS(metadata!B345:E345)</f>
        <v>0</v>
      </c>
      <c r="N345">
        <v>0</v>
      </c>
      <c r="P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Q345">
        <f>AND(IF(metadata!C345="",FALSE,TRUE),exact(metadata!C345,"other"))</f>
        <v>0</v>
      </c>
      <c r="R345">
        <f>AND(IF(metadata!D345="",FALSE,TRUE),exact(metadata!D345,"metagenome"))</f>
        <v>0</v>
      </c>
      <c r="S345">
        <f>AND(IF(metadata!E345="",FALSE,TRUE),exact(metadata!E345,"256318"))</f>
        <v>0</v>
      </c>
    </row>
    <row r="346" spans="1:19">
      <c r="A346" s="4">
        <f>IF(B346=" "," ",HYPERLINK(CONCATENATE("#metadata!",ADDRESS(INDEX($K$2:$K$1001,MATCH(ROWS($I$2:I346),$I$2:$I$1001,0),0),1)),INDEX($N$2:$N$1001,MATCH(ROWS($I$2:I346),$I$2:$I$1001,0),0)))</f>
        <v>0</v>
      </c>
      <c r="B346" s="3">
        <f>IF(OR(INDEX($J$2:$J$1001,MATCH(ROWS($I$2:I346),$I$2:$I$1001,0),1)&gt;=100000,INDEX($P$1005:$S$1005,1,MATCH(COLUMNS($P$1006:P1006),$P$1006:$S$1006,0))&gt;=100000), " ",IF(INDEX($P$2:$S$1001,MATCH(ROWS($I$2:I346),$I$2:$I$1001,0),MATCH(COLUMNS($P$1006:P1006),$P$1006:$S$1006,0)), HYPERLINK("#",""), HYPERLINK(CONCATENATE("#metadata!", ADDRESS(INDEX($K$2:$K$1001,MATCH(ROWS($I$2:I346),$I$2:$I$1001,0),0), INDEX($P$1004:$S$1004,1,MATCH(COLUMNS($P$1006:P1006),$P$1006:$S$1006,0)))),"Fix")))</f>
        <v>0</v>
      </c>
      <c r="C346" s="3">
        <f>IF(OR(INDEX($J$2:$J$1001,MATCH(ROWS($I$2:I346),$I$2:$I$1001,0),1)&gt;=100000,INDEX($P$1005:$S$1005,1,MATCH(COLUMNS($P$1006:Q1006),$P$1006:$S$1006,0))&gt;=100000), " ",IF(INDEX($P$2:$S$1001,MATCH(ROWS($I$2:I346),$I$2:$I$1001,0),MATCH(COLUMNS($P$1006:Q1006),$P$1006:$S$1006,0)), HYPERLINK("#",""), HYPERLINK(CONCATENATE("#metadata!", ADDRESS(INDEX($K$2:$K$1001,MATCH(ROWS($I$2:I346),$I$2:$I$1001,0),0), INDEX($P$1004:$S$1004,1,MATCH(COLUMNS($P$1006:Q1006),$P$1006:$S$1006,0)))),"Fix")))</f>
        <v>0</v>
      </c>
      <c r="D346" s="3">
        <f>IF(OR(INDEX($J$2:$J$1001,MATCH(ROWS($I$2:I346),$I$2:$I$1001,0),1)&gt;=100000,INDEX($P$1005:$S$1005,1,MATCH(COLUMNS($P$1006:R1006),$P$1006:$S$1006,0))&gt;=100000), " ",IF(INDEX($P$2:$S$1001,MATCH(ROWS($I$2:I346),$I$2:$I$1001,0),MATCH(COLUMNS($P$1006:R1006),$P$1006:$S$1006,0)), HYPERLINK("#",""), HYPERLINK(CONCATENATE("#metadata!", ADDRESS(INDEX($K$2:$K$1001,MATCH(ROWS($I$2:I346),$I$2:$I$1001,0),0), INDEX($P$1004:$S$1004,1,MATCH(COLUMNS($P$1006:R1006),$P$1006:$S$1006,0)))),"Fix")))</f>
        <v>0</v>
      </c>
      <c r="E346" s="3">
        <f>IF(OR(INDEX($J$2:$J$1001,MATCH(ROWS($I$2:I346),$I$2:$I$1001,0),1)&gt;=100000,INDEX($P$1005:$S$1005,1,MATCH(COLUMNS($P$1006:S1006),$P$1006:$S$1006,0))&gt;=100000), " ",IF(INDEX($P$2:$S$1001,MATCH(ROWS($I$2:I346),$I$2:$I$1001,0),MATCH(COLUMNS($P$1006:S1006),$P$1006:$S$1006,0)), HYPERLINK("#",""), HYPERLINK(CONCATENATE("#metadata!", ADDRESS(INDEX($K$2:$K$1001,MATCH(ROWS($I$2:I346),$I$2:$I$1001,0),0), INDEX($P$1004:$S$1004,1,MATCH(COLUMNS($P$1006:S1006),$P$1006:$S$1006,0)))),"Fix")))</f>
        <v>0</v>
      </c>
      <c r="I346">
        <v>0</v>
      </c>
      <c r="J346">
        <v>0</v>
      </c>
      <c r="K346">
        <v>0</v>
      </c>
      <c r="L346">
        <f>IF(M346,TRUE,AND(P346:S346))</f>
        <v>0</v>
      </c>
      <c r="M346">
        <f>COUNTBLANK(metadata!B346:E346)=COLUMNS(metadata!B346:E346)</f>
        <v>0</v>
      </c>
      <c r="N346">
        <v>0</v>
      </c>
      <c r="P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Q346">
        <f>AND(IF(metadata!C346="",FALSE,TRUE),exact(metadata!C346,"other"))</f>
        <v>0</v>
      </c>
      <c r="R346">
        <f>AND(IF(metadata!D346="",FALSE,TRUE),exact(metadata!D346,"metagenome"))</f>
        <v>0</v>
      </c>
      <c r="S346">
        <f>AND(IF(metadata!E346="",FALSE,TRUE),exact(metadata!E346,"256318"))</f>
        <v>0</v>
      </c>
    </row>
    <row r="347" spans="1:19">
      <c r="A347" s="4">
        <f>IF(B347=" "," ",HYPERLINK(CONCATENATE("#metadata!",ADDRESS(INDEX($K$2:$K$1001,MATCH(ROWS($I$2:I347),$I$2:$I$1001,0),0),1)),INDEX($N$2:$N$1001,MATCH(ROWS($I$2:I347),$I$2:$I$1001,0),0)))</f>
        <v>0</v>
      </c>
      <c r="B347" s="3">
        <f>IF(OR(INDEX($J$2:$J$1001,MATCH(ROWS($I$2:I347),$I$2:$I$1001,0),1)&gt;=100000,INDEX($P$1005:$S$1005,1,MATCH(COLUMNS($P$1006:P1006),$P$1006:$S$1006,0))&gt;=100000), " ",IF(INDEX($P$2:$S$1001,MATCH(ROWS($I$2:I347),$I$2:$I$1001,0),MATCH(COLUMNS($P$1006:P1006),$P$1006:$S$1006,0)), HYPERLINK("#",""), HYPERLINK(CONCATENATE("#metadata!", ADDRESS(INDEX($K$2:$K$1001,MATCH(ROWS($I$2:I347),$I$2:$I$1001,0),0), INDEX($P$1004:$S$1004,1,MATCH(COLUMNS($P$1006:P1006),$P$1006:$S$1006,0)))),"Fix")))</f>
        <v>0</v>
      </c>
      <c r="C347" s="3">
        <f>IF(OR(INDEX($J$2:$J$1001,MATCH(ROWS($I$2:I347),$I$2:$I$1001,0),1)&gt;=100000,INDEX($P$1005:$S$1005,1,MATCH(COLUMNS($P$1006:Q1006),$P$1006:$S$1006,0))&gt;=100000), " ",IF(INDEX($P$2:$S$1001,MATCH(ROWS($I$2:I347),$I$2:$I$1001,0),MATCH(COLUMNS($P$1006:Q1006),$P$1006:$S$1006,0)), HYPERLINK("#",""), HYPERLINK(CONCATENATE("#metadata!", ADDRESS(INDEX($K$2:$K$1001,MATCH(ROWS($I$2:I347),$I$2:$I$1001,0),0), INDEX($P$1004:$S$1004,1,MATCH(COLUMNS($P$1006:Q1006),$P$1006:$S$1006,0)))),"Fix")))</f>
        <v>0</v>
      </c>
      <c r="D347" s="3">
        <f>IF(OR(INDEX($J$2:$J$1001,MATCH(ROWS($I$2:I347),$I$2:$I$1001,0),1)&gt;=100000,INDEX($P$1005:$S$1005,1,MATCH(COLUMNS($P$1006:R1006),$P$1006:$S$1006,0))&gt;=100000), " ",IF(INDEX($P$2:$S$1001,MATCH(ROWS($I$2:I347),$I$2:$I$1001,0),MATCH(COLUMNS($P$1006:R1006),$P$1006:$S$1006,0)), HYPERLINK("#",""), HYPERLINK(CONCATENATE("#metadata!", ADDRESS(INDEX($K$2:$K$1001,MATCH(ROWS($I$2:I347),$I$2:$I$1001,0),0), INDEX($P$1004:$S$1004,1,MATCH(COLUMNS($P$1006:R1006),$P$1006:$S$1006,0)))),"Fix")))</f>
        <v>0</v>
      </c>
      <c r="E347" s="3">
        <f>IF(OR(INDEX($J$2:$J$1001,MATCH(ROWS($I$2:I347),$I$2:$I$1001,0),1)&gt;=100000,INDEX($P$1005:$S$1005,1,MATCH(COLUMNS($P$1006:S1006),$P$1006:$S$1006,0))&gt;=100000), " ",IF(INDEX($P$2:$S$1001,MATCH(ROWS($I$2:I347),$I$2:$I$1001,0),MATCH(COLUMNS($P$1006:S1006),$P$1006:$S$1006,0)), HYPERLINK("#",""), HYPERLINK(CONCATENATE("#metadata!", ADDRESS(INDEX($K$2:$K$1001,MATCH(ROWS($I$2:I347),$I$2:$I$1001,0),0), INDEX($P$1004:$S$1004,1,MATCH(COLUMNS($P$1006:S1006),$P$1006:$S$1006,0)))),"Fix")))</f>
        <v>0</v>
      </c>
      <c r="I347">
        <v>0</v>
      </c>
      <c r="J347">
        <v>0</v>
      </c>
      <c r="K347">
        <v>0</v>
      </c>
      <c r="L347">
        <f>IF(M347,TRUE,AND(P347:S347))</f>
        <v>0</v>
      </c>
      <c r="M347">
        <f>COUNTBLANK(metadata!B347:E347)=COLUMNS(metadata!B347:E347)</f>
        <v>0</v>
      </c>
      <c r="N347">
        <v>0</v>
      </c>
      <c r="P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Q347">
        <f>AND(IF(metadata!C347="",FALSE,TRUE),exact(metadata!C347,"other"))</f>
        <v>0</v>
      </c>
      <c r="R347">
        <f>AND(IF(metadata!D347="",FALSE,TRUE),exact(metadata!D347,"metagenome"))</f>
        <v>0</v>
      </c>
      <c r="S347">
        <f>AND(IF(metadata!E347="",FALSE,TRUE),exact(metadata!E347,"256318"))</f>
        <v>0</v>
      </c>
    </row>
    <row r="348" spans="1:19">
      <c r="A348" s="4">
        <f>IF(B348=" "," ",HYPERLINK(CONCATENATE("#metadata!",ADDRESS(INDEX($K$2:$K$1001,MATCH(ROWS($I$2:I348),$I$2:$I$1001,0),0),1)),INDEX($N$2:$N$1001,MATCH(ROWS($I$2:I348),$I$2:$I$1001,0),0)))</f>
        <v>0</v>
      </c>
      <c r="B348" s="3">
        <f>IF(OR(INDEX($J$2:$J$1001,MATCH(ROWS($I$2:I348),$I$2:$I$1001,0),1)&gt;=100000,INDEX($P$1005:$S$1005,1,MATCH(COLUMNS($P$1006:P1006),$P$1006:$S$1006,0))&gt;=100000), " ",IF(INDEX($P$2:$S$1001,MATCH(ROWS($I$2:I348),$I$2:$I$1001,0),MATCH(COLUMNS($P$1006:P1006),$P$1006:$S$1006,0)), HYPERLINK("#",""), HYPERLINK(CONCATENATE("#metadata!", ADDRESS(INDEX($K$2:$K$1001,MATCH(ROWS($I$2:I348),$I$2:$I$1001,0),0), INDEX($P$1004:$S$1004,1,MATCH(COLUMNS($P$1006:P1006),$P$1006:$S$1006,0)))),"Fix")))</f>
        <v>0</v>
      </c>
      <c r="C348" s="3">
        <f>IF(OR(INDEX($J$2:$J$1001,MATCH(ROWS($I$2:I348),$I$2:$I$1001,0),1)&gt;=100000,INDEX($P$1005:$S$1005,1,MATCH(COLUMNS($P$1006:Q1006),$P$1006:$S$1006,0))&gt;=100000), " ",IF(INDEX($P$2:$S$1001,MATCH(ROWS($I$2:I348),$I$2:$I$1001,0),MATCH(COLUMNS($P$1006:Q1006),$P$1006:$S$1006,0)), HYPERLINK("#",""), HYPERLINK(CONCATENATE("#metadata!", ADDRESS(INDEX($K$2:$K$1001,MATCH(ROWS($I$2:I348),$I$2:$I$1001,0),0), INDEX($P$1004:$S$1004,1,MATCH(COLUMNS($P$1006:Q1006),$P$1006:$S$1006,0)))),"Fix")))</f>
        <v>0</v>
      </c>
      <c r="D348" s="3">
        <f>IF(OR(INDEX($J$2:$J$1001,MATCH(ROWS($I$2:I348),$I$2:$I$1001,0),1)&gt;=100000,INDEX($P$1005:$S$1005,1,MATCH(COLUMNS($P$1006:R1006),$P$1006:$S$1006,0))&gt;=100000), " ",IF(INDEX($P$2:$S$1001,MATCH(ROWS($I$2:I348),$I$2:$I$1001,0),MATCH(COLUMNS($P$1006:R1006),$P$1006:$S$1006,0)), HYPERLINK("#",""), HYPERLINK(CONCATENATE("#metadata!", ADDRESS(INDEX($K$2:$K$1001,MATCH(ROWS($I$2:I348),$I$2:$I$1001,0),0), INDEX($P$1004:$S$1004,1,MATCH(COLUMNS($P$1006:R1006),$P$1006:$S$1006,0)))),"Fix")))</f>
        <v>0</v>
      </c>
      <c r="E348" s="3">
        <f>IF(OR(INDEX($J$2:$J$1001,MATCH(ROWS($I$2:I348),$I$2:$I$1001,0),1)&gt;=100000,INDEX($P$1005:$S$1005,1,MATCH(COLUMNS($P$1006:S1006),$P$1006:$S$1006,0))&gt;=100000), " ",IF(INDEX($P$2:$S$1001,MATCH(ROWS($I$2:I348),$I$2:$I$1001,0),MATCH(COLUMNS($P$1006:S1006),$P$1006:$S$1006,0)), HYPERLINK("#",""), HYPERLINK(CONCATENATE("#metadata!", ADDRESS(INDEX($K$2:$K$1001,MATCH(ROWS($I$2:I348),$I$2:$I$1001,0),0), INDEX($P$1004:$S$1004,1,MATCH(COLUMNS($P$1006:S1006),$P$1006:$S$1006,0)))),"Fix")))</f>
        <v>0</v>
      </c>
      <c r="I348">
        <v>0</v>
      </c>
      <c r="J348">
        <v>0</v>
      </c>
      <c r="K348">
        <v>0</v>
      </c>
      <c r="L348">
        <f>IF(M348,TRUE,AND(P348:S348))</f>
        <v>0</v>
      </c>
      <c r="M348">
        <f>COUNTBLANK(metadata!B348:E348)=COLUMNS(metadata!B348:E348)</f>
        <v>0</v>
      </c>
      <c r="N348">
        <v>0</v>
      </c>
      <c r="P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Q348">
        <f>AND(IF(metadata!C348="",FALSE,TRUE),exact(metadata!C348,"other"))</f>
        <v>0</v>
      </c>
      <c r="R348">
        <f>AND(IF(metadata!D348="",FALSE,TRUE),exact(metadata!D348,"metagenome"))</f>
        <v>0</v>
      </c>
      <c r="S348">
        <f>AND(IF(metadata!E348="",FALSE,TRUE),exact(metadata!E348,"256318"))</f>
        <v>0</v>
      </c>
    </row>
    <row r="349" spans="1:19">
      <c r="A349" s="4">
        <f>IF(B349=" "," ",HYPERLINK(CONCATENATE("#metadata!",ADDRESS(INDEX($K$2:$K$1001,MATCH(ROWS($I$2:I349),$I$2:$I$1001,0),0),1)),INDEX($N$2:$N$1001,MATCH(ROWS($I$2:I349),$I$2:$I$1001,0),0)))</f>
        <v>0</v>
      </c>
      <c r="B349" s="3">
        <f>IF(OR(INDEX($J$2:$J$1001,MATCH(ROWS($I$2:I349),$I$2:$I$1001,0),1)&gt;=100000,INDEX($P$1005:$S$1005,1,MATCH(COLUMNS($P$1006:P1006),$P$1006:$S$1006,0))&gt;=100000), " ",IF(INDEX($P$2:$S$1001,MATCH(ROWS($I$2:I349),$I$2:$I$1001,0),MATCH(COLUMNS($P$1006:P1006),$P$1006:$S$1006,0)), HYPERLINK("#",""), HYPERLINK(CONCATENATE("#metadata!", ADDRESS(INDEX($K$2:$K$1001,MATCH(ROWS($I$2:I349),$I$2:$I$1001,0),0), INDEX($P$1004:$S$1004,1,MATCH(COLUMNS($P$1006:P1006),$P$1006:$S$1006,0)))),"Fix")))</f>
        <v>0</v>
      </c>
      <c r="C349" s="3">
        <f>IF(OR(INDEX($J$2:$J$1001,MATCH(ROWS($I$2:I349),$I$2:$I$1001,0),1)&gt;=100000,INDEX($P$1005:$S$1005,1,MATCH(COLUMNS($P$1006:Q1006),$P$1006:$S$1006,0))&gt;=100000), " ",IF(INDEX($P$2:$S$1001,MATCH(ROWS($I$2:I349),$I$2:$I$1001,0),MATCH(COLUMNS($P$1006:Q1006),$P$1006:$S$1006,0)), HYPERLINK("#",""), HYPERLINK(CONCATENATE("#metadata!", ADDRESS(INDEX($K$2:$K$1001,MATCH(ROWS($I$2:I349),$I$2:$I$1001,0),0), INDEX($P$1004:$S$1004,1,MATCH(COLUMNS($P$1006:Q1006),$P$1006:$S$1006,0)))),"Fix")))</f>
        <v>0</v>
      </c>
      <c r="D349" s="3">
        <f>IF(OR(INDEX($J$2:$J$1001,MATCH(ROWS($I$2:I349),$I$2:$I$1001,0),1)&gt;=100000,INDEX($P$1005:$S$1005,1,MATCH(COLUMNS($P$1006:R1006),$P$1006:$S$1006,0))&gt;=100000), " ",IF(INDEX($P$2:$S$1001,MATCH(ROWS($I$2:I349),$I$2:$I$1001,0),MATCH(COLUMNS($P$1006:R1006),$P$1006:$S$1006,0)), HYPERLINK("#",""), HYPERLINK(CONCATENATE("#metadata!", ADDRESS(INDEX($K$2:$K$1001,MATCH(ROWS($I$2:I349),$I$2:$I$1001,0),0), INDEX($P$1004:$S$1004,1,MATCH(COLUMNS($P$1006:R1006),$P$1006:$S$1006,0)))),"Fix")))</f>
        <v>0</v>
      </c>
      <c r="E349" s="3">
        <f>IF(OR(INDEX($J$2:$J$1001,MATCH(ROWS($I$2:I349),$I$2:$I$1001,0),1)&gt;=100000,INDEX($P$1005:$S$1005,1,MATCH(COLUMNS($P$1006:S1006),$P$1006:$S$1006,0))&gt;=100000), " ",IF(INDEX($P$2:$S$1001,MATCH(ROWS($I$2:I349),$I$2:$I$1001,0),MATCH(COLUMNS($P$1006:S1006),$P$1006:$S$1006,0)), HYPERLINK("#",""), HYPERLINK(CONCATENATE("#metadata!", ADDRESS(INDEX($K$2:$K$1001,MATCH(ROWS($I$2:I349),$I$2:$I$1001,0),0), INDEX($P$1004:$S$1004,1,MATCH(COLUMNS($P$1006:S1006),$P$1006:$S$1006,0)))),"Fix")))</f>
        <v>0</v>
      </c>
      <c r="I349">
        <v>0</v>
      </c>
      <c r="J349">
        <v>0</v>
      </c>
      <c r="K349">
        <v>0</v>
      </c>
      <c r="L349">
        <f>IF(M349,TRUE,AND(P349:S349))</f>
        <v>0</v>
      </c>
      <c r="M349">
        <f>COUNTBLANK(metadata!B349:E349)=COLUMNS(metadata!B349:E349)</f>
        <v>0</v>
      </c>
      <c r="N349">
        <v>0</v>
      </c>
      <c r="P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Q349">
        <f>AND(IF(metadata!C349="",FALSE,TRUE),exact(metadata!C349,"other"))</f>
        <v>0</v>
      </c>
      <c r="R349">
        <f>AND(IF(metadata!D349="",FALSE,TRUE),exact(metadata!D349,"metagenome"))</f>
        <v>0</v>
      </c>
      <c r="S349">
        <f>AND(IF(metadata!E349="",FALSE,TRUE),exact(metadata!E349,"256318"))</f>
        <v>0</v>
      </c>
    </row>
    <row r="350" spans="1:19">
      <c r="A350" s="4">
        <f>IF(B350=" "," ",HYPERLINK(CONCATENATE("#metadata!",ADDRESS(INDEX($K$2:$K$1001,MATCH(ROWS($I$2:I350),$I$2:$I$1001,0),0),1)),INDEX($N$2:$N$1001,MATCH(ROWS($I$2:I350),$I$2:$I$1001,0),0)))</f>
        <v>0</v>
      </c>
      <c r="B350" s="3">
        <f>IF(OR(INDEX($J$2:$J$1001,MATCH(ROWS($I$2:I350),$I$2:$I$1001,0),1)&gt;=100000,INDEX($P$1005:$S$1005,1,MATCH(COLUMNS($P$1006:P1006),$P$1006:$S$1006,0))&gt;=100000), " ",IF(INDEX($P$2:$S$1001,MATCH(ROWS($I$2:I350),$I$2:$I$1001,0),MATCH(COLUMNS($P$1006:P1006),$P$1006:$S$1006,0)), HYPERLINK("#",""), HYPERLINK(CONCATENATE("#metadata!", ADDRESS(INDEX($K$2:$K$1001,MATCH(ROWS($I$2:I350),$I$2:$I$1001,0),0), INDEX($P$1004:$S$1004,1,MATCH(COLUMNS($P$1006:P1006),$P$1006:$S$1006,0)))),"Fix")))</f>
        <v>0</v>
      </c>
      <c r="C350" s="3">
        <f>IF(OR(INDEX($J$2:$J$1001,MATCH(ROWS($I$2:I350),$I$2:$I$1001,0),1)&gt;=100000,INDEX($P$1005:$S$1005,1,MATCH(COLUMNS($P$1006:Q1006),$P$1006:$S$1006,0))&gt;=100000), " ",IF(INDEX($P$2:$S$1001,MATCH(ROWS($I$2:I350),$I$2:$I$1001,0),MATCH(COLUMNS($P$1006:Q1006),$P$1006:$S$1006,0)), HYPERLINK("#",""), HYPERLINK(CONCATENATE("#metadata!", ADDRESS(INDEX($K$2:$K$1001,MATCH(ROWS($I$2:I350),$I$2:$I$1001,0),0), INDEX($P$1004:$S$1004,1,MATCH(COLUMNS($P$1006:Q1006),$P$1006:$S$1006,0)))),"Fix")))</f>
        <v>0</v>
      </c>
      <c r="D350" s="3">
        <f>IF(OR(INDEX($J$2:$J$1001,MATCH(ROWS($I$2:I350),$I$2:$I$1001,0),1)&gt;=100000,INDEX($P$1005:$S$1005,1,MATCH(COLUMNS($P$1006:R1006),$P$1006:$S$1006,0))&gt;=100000), " ",IF(INDEX($P$2:$S$1001,MATCH(ROWS($I$2:I350),$I$2:$I$1001,0),MATCH(COLUMNS($P$1006:R1006),$P$1006:$S$1006,0)), HYPERLINK("#",""), HYPERLINK(CONCATENATE("#metadata!", ADDRESS(INDEX($K$2:$K$1001,MATCH(ROWS($I$2:I350),$I$2:$I$1001,0),0), INDEX($P$1004:$S$1004,1,MATCH(COLUMNS($P$1006:R1006),$P$1006:$S$1006,0)))),"Fix")))</f>
        <v>0</v>
      </c>
      <c r="E350" s="3">
        <f>IF(OR(INDEX($J$2:$J$1001,MATCH(ROWS($I$2:I350),$I$2:$I$1001,0),1)&gt;=100000,INDEX($P$1005:$S$1005,1,MATCH(COLUMNS($P$1006:S1006),$P$1006:$S$1006,0))&gt;=100000), " ",IF(INDEX($P$2:$S$1001,MATCH(ROWS($I$2:I350),$I$2:$I$1001,0),MATCH(COLUMNS($P$1006:S1006),$P$1006:$S$1006,0)), HYPERLINK("#",""), HYPERLINK(CONCATENATE("#metadata!", ADDRESS(INDEX($K$2:$K$1001,MATCH(ROWS($I$2:I350),$I$2:$I$1001,0),0), INDEX($P$1004:$S$1004,1,MATCH(COLUMNS($P$1006:S1006),$P$1006:$S$1006,0)))),"Fix")))</f>
        <v>0</v>
      </c>
      <c r="I350">
        <v>0</v>
      </c>
      <c r="J350">
        <v>0</v>
      </c>
      <c r="K350">
        <v>0</v>
      </c>
      <c r="L350">
        <f>IF(M350,TRUE,AND(P350:S350))</f>
        <v>0</v>
      </c>
      <c r="M350">
        <f>COUNTBLANK(metadata!B350:E350)=COLUMNS(metadata!B350:E350)</f>
        <v>0</v>
      </c>
      <c r="N350">
        <v>0</v>
      </c>
      <c r="P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Q350">
        <f>AND(IF(metadata!C350="",FALSE,TRUE),exact(metadata!C350,"other"))</f>
        <v>0</v>
      </c>
      <c r="R350">
        <f>AND(IF(metadata!D350="",FALSE,TRUE),exact(metadata!D350,"metagenome"))</f>
        <v>0</v>
      </c>
      <c r="S350">
        <f>AND(IF(metadata!E350="",FALSE,TRUE),exact(metadata!E350,"256318"))</f>
        <v>0</v>
      </c>
    </row>
    <row r="351" spans="1:19">
      <c r="A351" s="4">
        <f>IF(B351=" "," ",HYPERLINK(CONCATENATE("#metadata!",ADDRESS(INDEX($K$2:$K$1001,MATCH(ROWS($I$2:I351),$I$2:$I$1001,0),0),1)),INDEX($N$2:$N$1001,MATCH(ROWS($I$2:I351),$I$2:$I$1001,0),0)))</f>
        <v>0</v>
      </c>
      <c r="B351" s="3">
        <f>IF(OR(INDEX($J$2:$J$1001,MATCH(ROWS($I$2:I351),$I$2:$I$1001,0),1)&gt;=100000,INDEX($P$1005:$S$1005,1,MATCH(COLUMNS($P$1006:P1006),$P$1006:$S$1006,0))&gt;=100000), " ",IF(INDEX($P$2:$S$1001,MATCH(ROWS($I$2:I351),$I$2:$I$1001,0),MATCH(COLUMNS($P$1006:P1006),$P$1006:$S$1006,0)), HYPERLINK("#",""), HYPERLINK(CONCATENATE("#metadata!", ADDRESS(INDEX($K$2:$K$1001,MATCH(ROWS($I$2:I351),$I$2:$I$1001,0),0), INDEX($P$1004:$S$1004,1,MATCH(COLUMNS($P$1006:P1006),$P$1006:$S$1006,0)))),"Fix")))</f>
        <v>0</v>
      </c>
      <c r="C351" s="3">
        <f>IF(OR(INDEX($J$2:$J$1001,MATCH(ROWS($I$2:I351),$I$2:$I$1001,0),1)&gt;=100000,INDEX($P$1005:$S$1005,1,MATCH(COLUMNS($P$1006:Q1006),$P$1006:$S$1006,0))&gt;=100000), " ",IF(INDEX($P$2:$S$1001,MATCH(ROWS($I$2:I351),$I$2:$I$1001,0),MATCH(COLUMNS($P$1006:Q1006),$P$1006:$S$1006,0)), HYPERLINK("#",""), HYPERLINK(CONCATENATE("#metadata!", ADDRESS(INDEX($K$2:$K$1001,MATCH(ROWS($I$2:I351),$I$2:$I$1001,0),0), INDEX($P$1004:$S$1004,1,MATCH(COLUMNS($P$1006:Q1006),$P$1006:$S$1006,0)))),"Fix")))</f>
        <v>0</v>
      </c>
      <c r="D351" s="3">
        <f>IF(OR(INDEX($J$2:$J$1001,MATCH(ROWS($I$2:I351),$I$2:$I$1001,0),1)&gt;=100000,INDEX($P$1005:$S$1005,1,MATCH(COLUMNS($P$1006:R1006),$P$1006:$S$1006,0))&gt;=100000), " ",IF(INDEX($P$2:$S$1001,MATCH(ROWS($I$2:I351),$I$2:$I$1001,0),MATCH(COLUMNS($P$1006:R1006),$P$1006:$S$1006,0)), HYPERLINK("#",""), HYPERLINK(CONCATENATE("#metadata!", ADDRESS(INDEX($K$2:$K$1001,MATCH(ROWS($I$2:I351),$I$2:$I$1001,0),0), INDEX($P$1004:$S$1004,1,MATCH(COLUMNS($P$1006:R1006),$P$1006:$S$1006,0)))),"Fix")))</f>
        <v>0</v>
      </c>
      <c r="E351" s="3">
        <f>IF(OR(INDEX($J$2:$J$1001,MATCH(ROWS($I$2:I351),$I$2:$I$1001,0),1)&gt;=100000,INDEX($P$1005:$S$1005,1,MATCH(COLUMNS($P$1006:S1006),$P$1006:$S$1006,0))&gt;=100000), " ",IF(INDEX($P$2:$S$1001,MATCH(ROWS($I$2:I351),$I$2:$I$1001,0),MATCH(COLUMNS($P$1006:S1006),$P$1006:$S$1006,0)), HYPERLINK("#",""), HYPERLINK(CONCATENATE("#metadata!", ADDRESS(INDEX($K$2:$K$1001,MATCH(ROWS($I$2:I351),$I$2:$I$1001,0),0), INDEX($P$1004:$S$1004,1,MATCH(COLUMNS($P$1006:S1006),$P$1006:$S$1006,0)))),"Fix")))</f>
        <v>0</v>
      </c>
      <c r="I351">
        <v>0</v>
      </c>
      <c r="J351">
        <v>0</v>
      </c>
      <c r="K351">
        <v>0</v>
      </c>
      <c r="L351">
        <f>IF(M351,TRUE,AND(P351:S351))</f>
        <v>0</v>
      </c>
      <c r="M351">
        <f>COUNTBLANK(metadata!B351:E351)=COLUMNS(metadata!B351:E351)</f>
        <v>0</v>
      </c>
      <c r="N351">
        <v>0</v>
      </c>
      <c r="P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Q351">
        <f>AND(IF(metadata!C351="",FALSE,TRUE),exact(metadata!C351,"other"))</f>
        <v>0</v>
      </c>
      <c r="R351">
        <f>AND(IF(metadata!D351="",FALSE,TRUE),exact(metadata!D351,"metagenome"))</f>
        <v>0</v>
      </c>
      <c r="S351">
        <f>AND(IF(metadata!E351="",FALSE,TRUE),exact(metadata!E351,"256318"))</f>
        <v>0</v>
      </c>
    </row>
    <row r="352" spans="1:19">
      <c r="A352" s="4">
        <f>IF(B352=" "," ",HYPERLINK(CONCATENATE("#metadata!",ADDRESS(INDEX($K$2:$K$1001,MATCH(ROWS($I$2:I352),$I$2:$I$1001,0),0),1)),INDEX($N$2:$N$1001,MATCH(ROWS($I$2:I352),$I$2:$I$1001,0),0)))</f>
        <v>0</v>
      </c>
      <c r="B352" s="3">
        <f>IF(OR(INDEX($J$2:$J$1001,MATCH(ROWS($I$2:I352),$I$2:$I$1001,0),1)&gt;=100000,INDEX($P$1005:$S$1005,1,MATCH(COLUMNS($P$1006:P1006),$P$1006:$S$1006,0))&gt;=100000), " ",IF(INDEX($P$2:$S$1001,MATCH(ROWS($I$2:I352),$I$2:$I$1001,0),MATCH(COLUMNS($P$1006:P1006),$P$1006:$S$1006,0)), HYPERLINK("#",""), HYPERLINK(CONCATENATE("#metadata!", ADDRESS(INDEX($K$2:$K$1001,MATCH(ROWS($I$2:I352),$I$2:$I$1001,0),0), INDEX($P$1004:$S$1004,1,MATCH(COLUMNS($P$1006:P1006),$P$1006:$S$1006,0)))),"Fix")))</f>
        <v>0</v>
      </c>
      <c r="C352" s="3">
        <f>IF(OR(INDEX($J$2:$J$1001,MATCH(ROWS($I$2:I352),$I$2:$I$1001,0),1)&gt;=100000,INDEX($P$1005:$S$1005,1,MATCH(COLUMNS($P$1006:Q1006),$P$1006:$S$1006,0))&gt;=100000), " ",IF(INDEX($P$2:$S$1001,MATCH(ROWS($I$2:I352),$I$2:$I$1001,0),MATCH(COLUMNS($P$1006:Q1006),$P$1006:$S$1006,0)), HYPERLINK("#",""), HYPERLINK(CONCATENATE("#metadata!", ADDRESS(INDEX($K$2:$K$1001,MATCH(ROWS($I$2:I352),$I$2:$I$1001,0),0), INDEX($P$1004:$S$1004,1,MATCH(COLUMNS($P$1006:Q1006),$P$1006:$S$1006,0)))),"Fix")))</f>
        <v>0</v>
      </c>
      <c r="D352" s="3">
        <f>IF(OR(INDEX($J$2:$J$1001,MATCH(ROWS($I$2:I352),$I$2:$I$1001,0),1)&gt;=100000,INDEX($P$1005:$S$1005,1,MATCH(COLUMNS($P$1006:R1006),$P$1006:$S$1006,0))&gt;=100000), " ",IF(INDEX($P$2:$S$1001,MATCH(ROWS($I$2:I352),$I$2:$I$1001,0),MATCH(COLUMNS($P$1006:R1006),$P$1006:$S$1006,0)), HYPERLINK("#",""), HYPERLINK(CONCATENATE("#metadata!", ADDRESS(INDEX($K$2:$K$1001,MATCH(ROWS($I$2:I352),$I$2:$I$1001,0),0), INDEX($P$1004:$S$1004,1,MATCH(COLUMNS($P$1006:R1006),$P$1006:$S$1006,0)))),"Fix")))</f>
        <v>0</v>
      </c>
      <c r="E352" s="3">
        <f>IF(OR(INDEX($J$2:$J$1001,MATCH(ROWS($I$2:I352),$I$2:$I$1001,0),1)&gt;=100000,INDEX($P$1005:$S$1005,1,MATCH(COLUMNS($P$1006:S1006),$P$1006:$S$1006,0))&gt;=100000), " ",IF(INDEX($P$2:$S$1001,MATCH(ROWS($I$2:I352),$I$2:$I$1001,0),MATCH(COLUMNS($P$1006:S1006),$P$1006:$S$1006,0)), HYPERLINK("#",""), HYPERLINK(CONCATENATE("#metadata!", ADDRESS(INDEX($K$2:$K$1001,MATCH(ROWS($I$2:I352),$I$2:$I$1001,0),0), INDEX($P$1004:$S$1004,1,MATCH(COLUMNS($P$1006:S1006),$P$1006:$S$1006,0)))),"Fix")))</f>
        <v>0</v>
      </c>
      <c r="I352">
        <v>0</v>
      </c>
      <c r="J352">
        <v>0</v>
      </c>
      <c r="K352">
        <v>0</v>
      </c>
      <c r="L352">
        <f>IF(M352,TRUE,AND(P352:S352))</f>
        <v>0</v>
      </c>
      <c r="M352">
        <f>COUNTBLANK(metadata!B352:E352)=COLUMNS(metadata!B352:E352)</f>
        <v>0</v>
      </c>
      <c r="N352">
        <v>0</v>
      </c>
      <c r="P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Q352">
        <f>AND(IF(metadata!C352="",FALSE,TRUE),exact(metadata!C352,"other"))</f>
        <v>0</v>
      </c>
      <c r="R352">
        <f>AND(IF(metadata!D352="",FALSE,TRUE),exact(metadata!D352,"metagenome"))</f>
        <v>0</v>
      </c>
      <c r="S352">
        <f>AND(IF(metadata!E352="",FALSE,TRUE),exact(metadata!E352,"256318"))</f>
        <v>0</v>
      </c>
    </row>
    <row r="353" spans="1:19">
      <c r="A353" s="4">
        <f>IF(B353=" "," ",HYPERLINK(CONCATENATE("#metadata!",ADDRESS(INDEX($K$2:$K$1001,MATCH(ROWS($I$2:I353),$I$2:$I$1001,0),0),1)),INDEX($N$2:$N$1001,MATCH(ROWS($I$2:I353),$I$2:$I$1001,0),0)))</f>
        <v>0</v>
      </c>
      <c r="B353" s="3">
        <f>IF(OR(INDEX($J$2:$J$1001,MATCH(ROWS($I$2:I353),$I$2:$I$1001,0),1)&gt;=100000,INDEX($P$1005:$S$1005,1,MATCH(COLUMNS($P$1006:P1006),$P$1006:$S$1006,0))&gt;=100000), " ",IF(INDEX($P$2:$S$1001,MATCH(ROWS($I$2:I353),$I$2:$I$1001,0),MATCH(COLUMNS($P$1006:P1006),$P$1006:$S$1006,0)), HYPERLINK("#",""), HYPERLINK(CONCATENATE("#metadata!", ADDRESS(INDEX($K$2:$K$1001,MATCH(ROWS($I$2:I353),$I$2:$I$1001,0),0), INDEX($P$1004:$S$1004,1,MATCH(COLUMNS($P$1006:P1006),$P$1006:$S$1006,0)))),"Fix")))</f>
        <v>0</v>
      </c>
      <c r="C353" s="3">
        <f>IF(OR(INDEX($J$2:$J$1001,MATCH(ROWS($I$2:I353),$I$2:$I$1001,0),1)&gt;=100000,INDEX($P$1005:$S$1005,1,MATCH(COLUMNS($P$1006:Q1006),$P$1006:$S$1006,0))&gt;=100000), " ",IF(INDEX($P$2:$S$1001,MATCH(ROWS($I$2:I353),$I$2:$I$1001,0),MATCH(COLUMNS($P$1006:Q1006),$P$1006:$S$1006,0)), HYPERLINK("#",""), HYPERLINK(CONCATENATE("#metadata!", ADDRESS(INDEX($K$2:$K$1001,MATCH(ROWS($I$2:I353),$I$2:$I$1001,0),0), INDEX($P$1004:$S$1004,1,MATCH(COLUMNS($P$1006:Q1006),$P$1006:$S$1006,0)))),"Fix")))</f>
        <v>0</v>
      </c>
      <c r="D353" s="3">
        <f>IF(OR(INDEX($J$2:$J$1001,MATCH(ROWS($I$2:I353),$I$2:$I$1001,0),1)&gt;=100000,INDEX($P$1005:$S$1005,1,MATCH(COLUMNS($P$1006:R1006),$P$1006:$S$1006,0))&gt;=100000), " ",IF(INDEX($P$2:$S$1001,MATCH(ROWS($I$2:I353),$I$2:$I$1001,0),MATCH(COLUMNS($P$1006:R1006),$P$1006:$S$1006,0)), HYPERLINK("#",""), HYPERLINK(CONCATENATE("#metadata!", ADDRESS(INDEX($K$2:$K$1001,MATCH(ROWS($I$2:I353),$I$2:$I$1001,0),0), INDEX($P$1004:$S$1004,1,MATCH(COLUMNS($P$1006:R1006),$P$1006:$S$1006,0)))),"Fix")))</f>
        <v>0</v>
      </c>
      <c r="E353" s="3">
        <f>IF(OR(INDEX($J$2:$J$1001,MATCH(ROWS($I$2:I353),$I$2:$I$1001,0),1)&gt;=100000,INDEX($P$1005:$S$1005,1,MATCH(COLUMNS($P$1006:S1006),$P$1006:$S$1006,0))&gt;=100000), " ",IF(INDEX($P$2:$S$1001,MATCH(ROWS($I$2:I353),$I$2:$I$1001,0),MATCH(COLUMNS($P$1006:S1006),$P$1006:$S$1006,0)), HYPERLINK("#",""), HYPERLINK(CONCATENATE("#metadata!", ADDRESS(INDEX($K$2:$K$1001,MATCH(ROWS($I$2:I353),$I$2:$I$1001,0),0), INDEX($P$1004:$S$1004,1,MATCH(COLUMNS($P$1006:S1006),$P$1006:$S$1006,0)))),"Fix")))</f>
        <v>0</v>
      </c>
      <c r="I353">
        <v>0</v>
      </c>
      <c r="J353">
        <v>0</v>
      </c>
      <c r="K353">
        <v>0</v>
      </c>
      <c r="L353">
        <f>IF(M353,TRUE,AND(P353:S353))</f>
        <v>0</v>
      </c>
      <c r="M353">
        <f>COUNTBLANK(metadata!B353:E353)=COLUMNS(metadata!B353:E353)</f>
        <v>0</v>
      </c>
      <c r="N353">
        <v>0</v>
      </c>
      <c r="P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Q353">
        <f>AND(IF(metadata!C353="",FALSE,TRUE),exact(metadata!C353,"other"))</f>
        <v>0</v>
      </c>
      <c r="R353">
        <f>AND(IF(metadata!D353="",FALSE,TRUE),exact(metadata!D353,"metagenome"))</f>
        <v>0</v>
      </c>
      <c r="S353">
        <f>AND(IF(metadata!E353="",FALSE,TRUE),exact(metadata!E353,"256318"))</f>
        <v>0</v>
      </c>
    </row>
    <row r="354" spans="1:19">
      <c r="A354" s="4">
        <f>IF(B354=" "," ",HYPERLINK(CONCATENATE("#metadata!",ADDRESS(INDEX($K$2:$K$1001,MATCH(ROWS($I$2:I354),$I$2:$I$1001,0),0),1)),INDEX($N$2:$N$1001,MATCH(ROWS($I$2:I354),$I$2:$I$1001,0),0)))</f>
        <v>0</v>
      </c>
      <c r="B354" s="3">
        <f>IF(OR(INDEX($J$2:$J$1001,MATCH(ROWS($I$2:I354),$I$2:$I$1001,0),1)&gt;=100000,INDEX($P$1005:$S$1005,1,MATCH(COLUMNS($P$1006:P1006),$P$1006:$S$1006,0))&gt;=100000), " ",IF(INDEX($P$2:$S$1001,MATCH(ROWS($I$2:I354),$I$2:$I$1001,0),MATCH(COLUMNS($P$1006:P1006),$P$1006:$S$1006,0)), HYPERLINK("#",""), HYPERLINK(CONCATENATE("#metadata!", ADDRESS(INDEX($K$2:$K$1001,MATCH(ROWS($I$2:I354),$I$2:$I$1001,0),0), INDEX($P$1004:$S$1004,1,MATCH(COLUMNS($P$1006:P1006),$P$1006:$S$1006,0)))),"Fix")))</f>
        <v>0</v>
      </c>
      <c r="C354" s="3">
        <f>IF(OR(INDEX($J$2:$J$1001,MATCH(ROWS($I$2:I354),$I$2:$I$1001,0),1)&gt;=100000,INDEX($P$1005:$S$1005,1,MATCH(COLUMNS($P$1006:Q1006),$P$1006:$S$1006,0))&gt;=100000), " ",IF(INDEX($P$2:$S$1001,MATCH(ROWS($I$2:I354),$I$2:$I$1001,0),MATCH(COLUMNS($P$1006:Q1006),$P$1006:$S$1006,0)), HYPERLINK("#",""), HYPERLINK(CONCATENATE("#metadata!", ADDRESS(INDEX($K$2:$K$1001,MATCH(ROWS($I$2:I354),$I$2:$I$1001,0),0), INDEX($P$1004:$S$1004,1,MATCH(COLUMNS($P$1006:Q1006),$P$1006:$S$1006,0)))),"Fix")))</f>
        <v>0</v>
      </c>
      <c r="D354" s="3">
        <f>IF(OR(INDEX($J$2:$J$1001,MATCH(ROWS($I$2:I354),$I$2:$I$1001,0),1)&gt;=100000,INDEX($P$1005:$S$1005,1,MATCH(COLUMNS($P$1006:R1006),$P$1006:$S$1006,0))&gt;=100000), " ",IF(INDEX($P$2:$S$1001,MATCH(ROWS($I$2:I354),$I$2:$I$1001,0),MATCH(COLUMNS($P$1006:R1006),$P$1006:$S$1006,0)), HYPERLINK("#",""), HYPERLINK(CONCATENATE("#metadata!", ADDRESS(INDEX($K$2:$K$1001,MATCH(ROWS($I$2:I354),$I$2:$I$1001,0),0), INDEX($P$1004:$S$1004,1,MATCH(COLUMNS($P$1006:R1006),$P$1006:$S$1006,0)))),"Fix")))</f>
        <v>0</v>
      </c>
      <c r="E354" s="3">
        <f>IF(OR(INDEX($J$2:$J$1001,MATCH(ROWS($I$2:I354),$I$2:$I$1001,0),1)&gt;=100000,INDEX($P$1005:$S$1005,1,MATCH(COLUMNS($P$1006:S1006),$P$1006:$S$1006,0))&gt;=100000), " ",IF(INDEX($P$2:$S$1001,MATCH(ROWS($I$2:I354),$I$2:$I$1001,0),MATCH(COLUMNS($P$1006:S1006),$P$1006:$S$1006,0)), HYPERLINK("#",""), HYPERLINK(CONCATENATE("#metadata!", ADDRESS(INDEX($K$2:$K$1001,MATCH(ROWS($I$2:I354),$I$2:$I$1001,0),0), INDEX($P$1004:$S$1004,1,MATCH(COLUMNS($P$1006:S1006),$P$1006:$S$1006,0)))),"Fix")))</f>
        <v>0</v>
      </c>
      <c r="I354">
        <v>0</v>
      </c>
      <c r="J354">
        <v>0</v>
      </c>
      <c r="K354">
        <v>0</v>
      </c>
      <c r="L354">
        <f>IF(M354,TRUE,AND(P354:S354))</f>
        <v>0</v>
      </c>
      <c r="M354">
        <f>COUNTBLANK(metadata!B354:E354)=COLUMNS(metadata!B354:E354)</f>
        <v>0</v>
      </c>
      <c r="N354">
        <v>0</v>
      </c>
      <c r="P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Q354">
        <f>AND(IF(metadata!C354="",FALSE,TRUE),exact(metadata!C354,"other"))</f>
        <v>0</v>
      </c>
      <c r="R354">
        <f>AND(IF(metadata!D354="",FALSE,TRUE),exact(metadata!D354,"metagenome"))</f>
        <v>0</v>
      </c>
      <c r="S354">
        <f>AND(IF(metadata!E354="",FALSE,TRUE),exact(metadata!E354,"256318"))</f>
        <v>0</v>
      </c>
    </row>
    <row r="355" spans="1:19">
      <c r="A355" s="4">
        <f>IF(B355=" "," ",HYPERLINK(CONCATENATE("#metadata!",ADDRESS(INDEX($K$2:$K$1001,MATCH(ROWS($I$2:I355),$I$2:$I$1001,0),0),1)),INDEX($N$2:$N$1001,MATCH(ROWS($I$2:I355),$I$2:$I$1001,0),0)))</f>
        <v>0</v>
      </c>
      <c r="B355" s="3">
        <f>IF(OR(INDEX($J$2:$J$1001,MATCH(ROWS($I$2:I355),$I$2:$I$1001,0),1)&gt;=100000,INDEX($P$1005:$S$1005,1,MATCH(COLUMNS($P$1006:P1006),$P$1006:$S$1006,0))&gt;=100000), " ",IF(INDEX($P$2:$S$1001,MATCH(ROWS($I$2:I355),$I$2:$I$1001,0),MATCH(COLUMNS($P$1006:P1006),$P$1006:$S$1006,0)), HYPERLINK("#",""), HYPERLINK(CONCATENATE("#metadata!", ADDRESS(INDEX($K$2:$K$1001,MATCH(ROWS($I$2:I355),$I$2:$I$1001,0),0), INDEX($P$1004:$S$1004,1,MATCH(COLUMNS($P$1006:P1006),$P$1006:$S$1006,0)))),"Fix")))</f>
        <v>0</v>
      </c>
      <c r="C355" s="3">
        <f>IF(OR(INDEX($J$2:$J$1001,MATCH(ROWS($I$2:I355),$I$2:$I$1001,0),1)&gt;=100000,INDEX($P$1005:$S$1005,1,MATCH(COLUMNS($P$1006:Q1006),$P$1006:$S$1006,0))&gt;=100000), " ",IF(INDEX($P$2:$S$1001,MATCH(ROWS($I$2:I355),$I$2:$I$1001,0),MATCH(COLUMNS($P$1006:Q1006),$P$1006:$S$1006,0)), HYPERLINK("#",""), HYPERLINK(CONCATENATE("#metadata!", ADDRESS(INDEX($K$2:$K$1001,MATCH(ROWS($I$2:I355),$I$2:$I$1001,0),0), INDEX($P$1004:$S$1004,1,MATCH(COLUMNS($P$1006:Q1006),$P$1006:$S$1006,0)))),"Fix")))</f>
        <v>0</v>
      </c>
      <c r="D355" s="3">
        <f>IF(OR(INDEX($J$2:$J$1001,MATCH(ROWS($I$2:I355),$I$2:$I$1001,0),1)&gt;=100000,INDEX($P$1005:$S$1005,1,MATCH(COLUMNS($P$1006:R1006),$P$1006:$S$1006,0))&gt;=100000), " ",IF(INDEX($P$2:$S$1001,MATCH(ROWS($I$2:I355),$I$2:$I$1001,0),MATCH(COLUMNS($P$1006:R1006),$P$1006:$S$1006,0)), HYPERLINK("#",""), HYPERLINK(CONCATENATE("#metadata!", ADDRESS(INDEX($K$2:$K$1001,MATCH(ROWS($I$2:I355),$I$2:$I$1001,0),0), INDEX($P$1004:$S$1004,1,MATCH(COLUMNS($P$1006:R1006),$P$1006:$S$1006,0)))),"Fix")))</f>
        <v>0</v>
      </c>
      <c r="E355" s="3">
        <f>IF(OR(INDEX($J$2:$J$1001,MATCH(ROWS($I$2:I355),$I$2:$I$1001,0),1)&gt;=100000,INDEX($P$1005:$S$1005,1,MATCH(COLUMNS($P$1006:S1006),$P$1006:$S$1006,0))&gt;=100000), " ",IF(INDEX($P$2:$S$1001,MATCH(ROWS($I$2:I355),$I$2:$I$1001,0),MATCH(COLUMNS($P$1006:S1006),$P$1006:$S$1006,0)), HYPERLINK("#",""), HYPERLINK(CONCATENATE("#metadata!", ADDRESS(INDEX($K$2:$K$1001,MATCH(ROWS($I$2:I355),$I$2:$I$1001,0),0), INDEX($P$1004:$S$1004,1,MATCH(COLUMNS($P$1006:S1006),$P$1006:$S$1006,0)))),"Fix")))</f>
        <v>0</v>
      </c>
      <c r="I355">
        <v>0</v>
      </c>
      <c r="J355">
        <v>0</v>
      </c>
      <c r="K355">
        <v>0</v>
      </c>
      <c r="L355">
        <f>IF(M355,TRUE,AND(P355:S355))</f>
        <v>0</v>
      </c>
      <c r="M355">
        <f>COUNTBLANK(metadata!B355:E355)=COLUMNS(metadata!B355:E355)</f>
        <v>0</v>
      </c>
      <c r="N355">
        <v>0</v>
      </c>
      <c r="P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Q355">
        <f>AND(IF(metadata!C355="",FALSE,TRUE),exact(metadata!C355,"other"))</f>
        <v>0</v>
      </c>
      <c r="R355">
        <f>AND(IF(metadata!D355="",FALSE,TRUE),exact(metadata!D355,"metagenome"))</f>
        <v>0</v>
      </c>
      <c r="S355">
        <f>AND(IF(metadata!E355="",FALSE,TRUE),exact(metadata!E355,"256318"))</f>
        <v>0</v>
      </c>
    </row>
    <row r="356" spans="1:19">
      <c r="A356" s="4">
        <f>IF(B356=" "," ",HYPERLINK(CONCATENATE("#metadata!",ADDRESS(INDEX($K$2:$K$1001,MATCH(ROWS($I$2:I356),$I$2:$I$1001,0),0),1)),INDEX($N$2:$N$1001,MATCH(ROWS($I$2:I356),$I$2:$I$1001,0),0)))</f>
        <v>0</v>
      </c>
      <c r="B356" s="3">
        <f>IF(OR(INDEX($J$2:$J$1001,MATCH(ROWS($I$2:I356),$I$2:$I$1001,0),1)&gt;=100000,INDEX($P$1005:$S$1005,1,MATCH(COLUMNS($P$1006:P1006),$P$1006:$S$1006,0))&gt;=100000), " ",IF(INDEX($P$2:$S$1001,MATCH(ROWS($I$2:I356),$I$2:$I$1001,0),MATCH(COLUMNS($P$1006:P1006),$P$1006:$S$1006,0)), HYPERLINK("#",""), HYPERLINK(CONCATENATE("#metadata!", ADDRESS(INDEX($K$2:$K$1001,MATCH(ROWS($I$2:I356),$I$2:$I$1001,0),0), INDEX($P$1004:$S$1004,1,MATCH(COLUMNS($P$1006:P1006),$P$1006:$S$1006,0)))),"Fix")))</f>
        <v>0</v>
      </c>
      <c r="C356" s="3">
        <f>IF(OR(INDEX($J$2:$J$1001,MATCH(ROWS($I$2:I356),$I$2:$I$1001,0),1)&gt;=100000,INDEX($P$1005:$S$1005,1,MATCH(COLUMNS($P$1006:Q1006),$P$1006:$S$1006,0))&gt;=100000), " ",IF(INDEX($P$2:$S$1001,MATCH(ROWS($I$2:I356),$I$2:$I$1001,0),MATCH(COLUMNS($P$1006:Q1006),$P$1006:$S$1006,0)), HYPERLINK("#",""), HYPERLINK(CONCATENATE("#metadata!", ADDRESS(INDEX($K$2:$K$1001,MATCH(ROWS($I$2:I356),$I$2:$I$1001,0),0), INDEX($P$1004:$S$1004,1,MATCH(COLUMNS($P$1006:Q1006),$P$1006:$S$1006,0)))),"Fix")))</f>
        <v>0</v>
      </c>
      <c r="D356" s="3">
        <f>IF(OR(INDEX($J$2:$J$1001,MATCH(ROWS($I$2:I356),$I$2:$I$1001,0),1)&gt;=100000,INDEX($P$1005:$S$1005,1,MATCH(COLUMNS($P$1006:R1006),$P$1006:$S$1006,0))&gt;=100000), " ",IF(INDEX($P$2:$S$1001,MATCH(ROWS($I$2:I356),$I$2:$I$1001,0),MATCH(COLUMNS($P$1006:R1006),$P$1006:$S$1006,0)), HYPERLINK("#",""), HYPERLINK(CONCATENATE("#metadata!", ADDRESS(INDEX($K$2:$K$1001,MATCH(ROWS($I$2:I356),$I$2:$I$1001,0),0), INDEX($P$1004:$S$1004,1,MATCH(COLUMNS($P$1006:R1006),$P$1006:$S$1006,0)))),"Fix")))</f>
        <v>0</v>
      </c>
      <c r="E356" s="3">
        <f>IF(OR(INDEX($J$2:$J$1001,MATCH(ROWS($I$2:I356),$I$2:$I$1001,0),1)&gt;=100000,INDEX($P$1005:$S$1005,1,MATCH(COLUMNS($P$1006:S1006),$P$1006:$S$1006,0))&gt;=100000), " ",IF(INDEX($P$2:$S$1001,MATCH(ROWS($I$2:I356),$I$2:$I$1001,0),MATCH(COLUMNS($P$1006:S1006),$P$1006:$S$1006,0)), HYPERLINK("#",""), HYPERLINK(CONCATENATE("#metadata!", ADDRESS(INDEX($K$2:$K$1001,MATCH(ROWS($I$2:I356),$I$2:$I$1001,0),0), INDEX($P$1004:$S$1004,1,MATCH(COLUMNS($P$1006:S1006),$P$1006:$S$1006,0)))),"Fix")))</f>
        <v>0</v>
      </c>
      <c r="I356">
        <v>0</v>
      </c>
      <c r="J356">
        <v>0</v>
      </c>
      <c r="K356">
        <v>0</v>
      </c>
      <c r="L356">
        <f>IF(M356,TRUE,AND(P356:S356))</f>
        <v>0</v>
      </c>
      <c r="M356">
        <f>COUNTBLANK(metadata!B356:E356)=COLUMNS(metadata!B356:E356)</f>
        <v>0</v>
      </c>
      <c r="N356">
        <v>0</v>
      </c>
      <c r="P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Q356">
        <f>AND(IF(metadata!C356="",FALSE,TRUE),exact(metadata!C356,"other"))</f>
        <v>0</v>
      </c>
      <c r="R356">
        <f>AND(IF(metadata!D356="",FALSE,TRUE),exact(metadata!D356,"metagenome"))</f>
        <v>0</v>
      </c>
      <c r="S356">
        <f>AND(IF(metadata!E356="",FALSE,TRUE),exact(metadata!E356,"256318"))</f>
        <v>0</v>
      </c>
    </row>
    <row r="357" spans="1:19">
      <c r="A357" s="4">
        <f>IF(B357=" "," ",HYPERLINK(CONCATENATE("#metadata!",ADDRESS(INDEX($K$2:$K$1001,MATCH(ROWS($I$2:I357),$I$2:$I$1001,0),0),1)),INDEX($N$2:$N$1001,MATCH(ROWS($I$2:I357),$I$2:$I$1001,0),0)))</f>
        <v>0</v>
      </c>
      <c r="B357" s="3">
        <f>IF(OR(INDEX($J$2:$J$1001,MATCH(ROWS($I$2:I357),$I$2:$I$1001,0),1)&gt;=100000,INDEX($P$1005:$S$1005,1,MATCH(COLUMNS($P$1006:P1006),$P$1006:$S$1006,0))&gt;=100000), " ",IF(INDEX($P$2:$S$1001,MATCH(ROWS($I$2:I357),$I$2:$I$1001,0),MATCH(COLUMNS($P$1006:P1006),$P$1006:$S$1006,0)), HYPERLINK("#",""), HYPERLINK(CONCATENATE("#metadata!", ADDRESS(INDEX($K$2:$K$1001,MATCH(ROWS($I$2:I357),$I$2:$I$1001,0),0), INDEX($P$1004:$S$1004,1,MATCH(COLUMNS($P$1006:P1006),$P$1006:$S$1006,0)))),"Fix")))</f>
        <v>0</v>
      </c>
      <c r="C357" s="3">
        <f>IF(OR(INDEX($J$2:$J$1001,MATCH(ROWS($I$2:I357),$I$2:$I$1001,0),1)&gt;=100000,INDEX($P$1005:$S$1005,1,MATCH(COLUMNS($P$1006:Q1006),$P$1006:$S$1006,0))&gt;=100000), " ",IF(INDEX($P$2:$S$1001,MATCH(ROWS($I$2:I357),$I$2:$I$1001,0),MATCH(COLUMNS($P$1006:Q1006),$P$1006:$S$1006,0)), HYPERLINK("#",""), HYPERLINK(CONCATENATE("#metadata!", ADDRESS(INDEX($K$2:$K$1001,MATCH(ROWS($I$2:I357),$I$2:$I$1001,0),0), INDEX($P$1004:$S$1004,1,MATCH(COLUMNS($P$1006:Q1006),$P$1006:$S$1006,0)))),"Fix")))</f>
        <v>0</v>
      </c>
      <c r="D357" s="3">
        <f>IF(OR(INDEX($J$2:$J$1001,MATCH(ROWS($I$2:I357),$I$2:$I$1001,0),1)&gt;=100000,INDEX($P$1005:$S$1005,1,MATCH(COLUMNS($P$1006:R1006),$P$1006:$S$1006,0))&gt;=100000), " ",IF(INDEX($P$2:$S$1001,MATCH(ROWS($I$2:I357),$I$2:$I$1001,0),MATCH(COLUMNS($P$1006:R1006),$P$1006:$S$1006,0)), HYPERLINK("#",""), HYPERLINK(CONCATENATE("#metadata!", ADDRESS(INDEX($K$2:$K$1001,MATCH(ROWS($I$2:I357),$I$2:$I$1001,0),0), INDEX($P$1004:$S$1004,1,MATCH(COLUMNS($P$1006:R1006),$P$1006:$S$1006,0)))),"Fix")))</f>
        <v>0</v>
      </c>
      <c r="E357" s="3">
        <f>IF(OR(INDEX($J$2:$J$1001,MATCH(ROWS($I$2:I357),$I$2:$I$1001,0),1)&gt;=100000,INDEX($P$1005:$S$1005,1,MATCH(COLUMNS($P$1006:S1006),$P$1006:$S$1006,0))&gt;=100000), " ",IF(INDEX($P$2:$S$1001,MATCH(ROWS($I$2:I357),$I$2:$I$1001,0),MATCH(COLUMNS($P$1006:S1006),$P$1006:$S$1006,0)), HYPERLINK("#",""), HYPERLINK(CONCATENATE("#metadata!", ADDRESS(INDEX($K$2:$K$1001,MATCH(ROWS($I$2:I357),$I$2:$I$1001,0),0), INDEX($P$1004:$S$1004,1,MATCH(COLUMNS($P$1006:S1006),$P$1006:$S$1006,0)))),"Fix")))</f>
        <v>0</v>
      </c>
      <c r="I357">
        <v>0</v>
      </c>
      <c r="J357">
        <v>0</v>
      </c>
      <c r="K357">
        <v>0</v>
      </c>
      <c r="L357">
        <f>IF(M357,TRUE,AND(P357:S357))</f>
        <v>0</v>
      </c>
      <c r="M357">
        <f>COUNTBLANK(metadata!B357:E357)=COLUMNS(metadata!B357:E357)</f>
        <v>0</v>
      </c>
      <c r="N357">
        <v>0</v>
      </c>
      <c r="P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Q357">
        <f>AND(IF(metadata!C357="",FALSE,TRUE),exact(metadata!C357,"other"))</f>
        <v>0</v>
      </c>
      <c r="R357">
        <f>AND(IF(metadata!D357="",FALSE,TRUE),exact(metadata!D357,"metagenome"))</f>
        <v>0</v>
      </c>
      <c r="S357">
        <f>AND(IF(metadata!E357="",FALSE,TRUE),exact(metadata!E357,"256318"))</f>
        <v>0</v>
      </c>
    </row>
    <row r="358" spans="1:19">
      <c r="A358" s="4">
        <f>IF(B358=" "," ",HYPERLINK(CONCATENATE("#metadata!",ADDRESS(INDEX($K$2:$K$1001,MATCH(ROWS($I$2:I358),$I$2:$I$1001,0),0),1)),INDEX($N$2:$N$1001,MATCH(ROWS($I$2:I358),$I$2:$I$1001,0),0)))</f>
        <v>0</v>
      </c>
      <c r="B358" s="3">
        <f>IF(OR(INDEX($J$2:$J$1001,MATCH(ROWS($I$2:I358),$I$2:$I$1001,0),1)&gt;=100000,INDEX($P$1005:$S$1005,1,MATCH(COLUMNS($P$1006:P1006),$P$1006:$S$1006,0))&gt;=100000), " ",IF(INDEX($P$2:$S$1001,MATCH(ROWS($I$2:I358),$I$2:$I$1001,0),MATCH(COLUMNS($P$1006:P1006),$P$1006:$S$1006,0)), HYPERLINK("#",""), HYPERLINK(CONCATENATE("#metadata!", ADDRESS(INDEX($K$2:$K$1001,MATCH(ROWS($I$2:I358),$I$2:$I$1001,0),0), INDEX($P$1004:$S$1004,1,MATCH(COLUMNS($P$1006:P1006),$P$1006:$S$1006,0)))),"Fix")))</f>
        <v>0</v>
      </c>
      <c r="C358" s="3">
        <f>IF(OR(INDEX($J$2:$J$1001,MATCH(ROWS($I$2:I358),$I$2:$I$1001,0),1)&gt;=100000,INDEX($P$1005:$S$1005,1,MATCH(COLUMNS($P$1006:Q1006),$P$1006:$S$1006,0))&gt;=100000), " ",IF(INDEX($P$2:$S$1001,MATCH(ROWS($I$2:I358),$I$2:$I$1001,0),MATCH(COLUMNS($P$1006:Q1006),$P$1006:$S$1006,0)), HYPERLINK("#",""), HYPERLINK(CONCATENATE("#metadata!", ADDRESS(INDEX($K$2:$K$1001,MATCH(ROWS($I$2:I358),$I$2:$I$1001,0),0), INDEX($P$1004:$S$1004,1,MATCH(COLUMNS($P$1006:Q1006),$P$1006:$S$1006,0)))),"Fix")))</f>
        <v>0</v>
      </c>
      <c r="D358" s="3">
        <f>IF(OR(INDEX($J$2:$J$1001,MATCH(ROWS($I$2:I358),$I$2:$I$1001,0),1)&gt;=100000,INDEX($P$1005:$S$1005,1,MATCH(COLUMNS($P$1006:R1006),$P$1006:$S$1006,0))&gt;=100000), " ",IF(INDEX($P$2:$S$1001,MATCH(ROWS($I$2:I358),$I$2:$I$1001,0),MATCH(COLUMNS($P$1006:R1006),$P$1006:$S$1006,0)), HYPERLINK("#",""), HYPERLINK(CONCATENATE("#metadata!", ADDRESS(INDEX($K$2:$K$1001,MATCH(ROWS($I$2:I358),$I$2:$I$1001,0),0), INDEX($P$1004:$S$1004,1,MATCH(COLUMNS($P$1006:R1006),$P$1006:$S$1006,0)))),"Fix")))</f>
        <v>0</v>
      </c>
      <c r="E358" s="3">
        <f>IF(OR(INDEX($J$2:$J$1001,MATCH(ROWS($I$2:I358),$I$2:$I$1001,0),1)&gt;=100000,INDEX($P$1005:$S$1005,1,MATCH(COLUMNS($P$1006:S1006),$P$1006:$S$1006,0))&gt;=100000), " ",IF(INDEX($P$2:$S$1001,MATCH(ROWS($I$2:I358),$I$2:$I$1001,0),MATCH(COLUMNS($P$1006:S1006),$P$1006:$S$1006,0)), HYPERLINK("#",""), HYPERLINK(CONCATENATE("#metadata!", ADDRESS(INDEX($K$2:$K$1001,MATCH(ROWS($I$2:I358),$I$2:$I$1001,0),0), INDEX($P$1004:$S$1004,1,MATCH(COLUMNS($P$1006:S1006),$P$1006:$S$1006,0)))),"Fix")))</f>
        <v>0</v>
      </c>
      <c r="I358">
        <v>0</v>
      </c>
      <c r="J358">
        <v>0</v>
      </c>
      <c r="K358">
        <v>0</v>
      </c>
      <c r="L358">
        <f>IF(M358,TRUE,AND(P358:S358))</f>
        <v>0</v>
      </c>
      <c r="M358">
        <f>COUNTBLANK(metadata!B358:E358)=COLUMNS(metadata!B358:E358)</f>
        <v>0</v>
      </c>
      <c r="N358">
        <v>0</v>
      </c>
      <c r="P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Q358">
        <f>AND(IF(metadata!C358="",FALSE,TRUE),exact(metadata!C358,"other"))</f>
        <v>0</v>
      </c>
      <c r="R358">
        <f>AND(IF(metadata!D358="",FALSE,TRUE),exact(metadata!D358,"metagenome"))</f>
        <v>0</v>
      </c>
      <c r="S358">
        <f>AND(IF(metadata!E358="",FALSE,TRUE),exact(metadata!E358,"256318"))</f>
        <v>0</v>
      </c>
    </row>
    <row r="359" spans="1:19">
      <c r="A359" s="4">
        <f>IF(B359=" "," ",HYPERLINK(CONCATENATE("#metadata!",ADDRESS(INDEX($K$2:$K$1001,MATCH(ROWS($I$2:I359),$I$2:$I$1001,0),0),1)),INDEX($N$2:$N$1001,MATCH(ROWS($I$2:I359),$I$2:$I$1001,0),0)))</f>
        <v>0</v>
      </c>
      <c r="B359" s="3">
        <f>IF(OR(INDEX($J$2:$J$1001,MATCH(ROWS($I$2:I359),$I$2:$I$1001,0),1)&gt;=100000,INDEX($P$1005:$S$1005,1,MATCH(COLUMNS($P$1006:P1006),$P$1006:$S$1006,0))&gt;=100000), " ",IF(INDEX($P$2:$S$1001,MATCH(ROWS($I$2:I359),$I$2:$I$1001,0),MATCH(COLUMNS($P$1006:P1006),$P$1006:$S$1006,0)), HYPERLINK("#",""), HYPERLINK(CONCATENATE("#metadata!", ADDRESS(INDEX($K$2:$K$1001,MATCH(ROWS($I$2:I359),$I$2:$I$1001,0),0), INDEX($P$1004:$S$1004,1,MATCH(COLUMNS($P$1006:P1006),$P$1006:$S$1006,0)))),"Fix")))</f>
        <v>0</v>
      </c>
      <c r="C359" s="3">
        <f>IF(OR(INDEX($J$2:$J$1001,MATCH(ROWS($I$2:I359),$I$2:$I$1001,0),1)&gt;=100000,INDEX($P$1005:$S$1005,1,MATCH(COLUMNS($P$1006:Q1006),$P$1006:$S$1006,0))&gt;=100000), " ",IF(INDEX($P$2:$S$1001,MATCH(ROWS($I$2:I359),$I$2:$I$1001,0),MATCH(COLUMNS($P$1006:Q1006),$P$1006:$S$1006,0)), HYPERLINK("#",""), HYPERLINK(CONCATENATE("#metadata!", ADDRESS(INDEX($K$2:$K$1001,MATCH(ROWS($I$2:I359),$I$2:$I$1001,0),0), INDEX($P$1004:$S$1004,1,MATCH(COLUMNS($P$1006:Q1006),$P$1006:$S$1006,0)))),"Fix")))</f>
        <v>0</v>
      </c>
      <c r="D359" s="3">
        <f>IF(OR(INDEX($J$2:$J$1001,MATCH(ROWS($I$2:I359),$I$2:$I$1001,0),1)&gt;=100000,INDEX($P$1005:$S$1005,1,MATCH(COLUMNS($P$1006:R1006),$P$1006:$S$1006,0))&gt;=100000), " ",IF(INDEX($P$2:$S$1001,MATCH(ROWS($I$2:I359),$I$2:$I$1001,0),MATCH(COLUMNS($P$1006:R1006),$P$1006:$S$1006,0)), HYPERLINK("#",""), HYPERLINK(CONCATENATE("#metadata!", ADDRESS(INDEX($K$2:$K$1001,MATCH(ROWS($I$2:I359),$I$2:$I$1001,0),0), INDEX($P$1004:$S$1004,1,MATCH(COLUMNS($P$1006:R1006),$P$1006:$S$1006,0)))),"Fix")))</f>
        <v>0</v>
      </c>
      <c r="E359" s="3">
        <f>IF(OR(INDEX($J$2:$J$1001,MATCH(ROWS($I$2:I359),$I$2:$I$1001,0),1)&gt;=100000,INDEX($P$1005:$S$1005,1,MATCH(COLUMNS($P$1006:S1006),$P$1006:$S$1006,0))&gt;=100000), " ",IF(INDEX($P$2:$S$1001,MATCH(ROWS($I$2:I359),$I$2:$I$1001,0),MATCH(COLUMNS($P$1006:S1006),$P$1006:$S$1006,0)), HYPERLINK("#",""), HYPERLINK(CONCATENATE("#metadata!", ADDRESS(INDEX($K$2:$K$1001,MATCH(ROWS($I$2:I359),$I$2:$I$1001,0),0), INDEX($P$1004:$S$1004,1,MATCH(COLUMNS($P$1006:S1006),$P$1006:$S$1006,0)))),"Fix")))</f>
        <v>0</v>
      </c>
      <c r="I359">
        <v>0</v>
      </c>
      <c r="J359">
        <v>0</v>
      </c>
      <c r="K359">
        <v>0</v>
      </c>
      <c r="L359">
        <f>IF(M359,TRUE,AND(P359:S359))</f>
        <v>0</v>
      </c>
      <c r="M359">
        <f>COUNTBLANK(metadata!B359:E359)=COLUMNS(metadata!B359:E359)</f>
        <v>0</v>
      </c>
      <c r="N359">
        <v>0</v>
      </c>
      <c r="P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Q359">
        <f>AND(IF(metadata!C359="",FALSE,TRUE),exact(metadata!C359,"other"))</f>
        <v>0</v>
      </c>
      <c r="R359">
        <f>AND(IF(metadata!D359="",FALSE,TRUE),exact(metadata!D359,"metagenome"))</f>
        <v>0</v>
      </c>
      <c r="S359">
        <f>AND(IF(metadata!E359="",FALSE,TRUE),exact(metadata!E359,"256318"))</f>
        <v>0</v>
      </c>
    </row>
    <row r="360" spans="1:19">
      <c r="A360" s="4">
        <f>IF(B360=" "," ",HYPERLINK(CONCATENATE("#metadata!",ADDRESS(INDEX($K$2:$K$1001,MATCH(ROWS($I$2:I360),$I$2:$I$1001,0),0),1)),INDEX($N$2:$N$1001,MATCH(ROWS($I$2:I360),$I$2:$I$1001,0),0)))</f>
        <v>0</v>
      </c>
      <c r="B360" s="3">
        <f>IF(OR(INDEX($J$2:$J$1001,MATCH(ROWS($I$2:I360),$I$2:$I$1001,0),1)&gt;=100000,INDEX($P$1005:$S$1005,1,MATCH(COLUMNS($P$1006:P1006),$P$1006:$S$1006,0))&gt;=100000), " ",IF(INDEX($P$2:$S$1001,MATCH(ROWS($I$2:I360),$I$2:$I$1001,0),MATCH(COLUMNS($P$1006:P1006),$P$1006:$S$1006,0)), HYPERLINK("#",""), HYPERLINK(CONCATENATE("#metadata!", ADDRESS(INDEX($K$2:$K$1001,MATCH(ROWS($I$2:I360),$I$2:$I$1001,0),0), INDEX($P$1004:$S$1004,1,MATCH(COLUMNS($P$1006:P1006),$P$1006:$S$1006,0)))),"Fix")))</f>
        <v>0</v>
      </c>
      <c r="C360" s="3">
        <f>IF(OR(INDEX($J$2:$J$1001,MATCH(ROWS($I$2:I360),$I$2:$I$1001,0),1)&gt;=100000,INDEX($P$1005:$S$1005,1,MATCH(COLUMNS($P$1006:Q1006),$P$1006:$S$1006,0))&gt;=100000), " ",IF(INDEX($P$2:$S$1001,MATCH(ROWS($I$2:I360),$I$2:$I$1001,0),MATCH(COLUMNS($P$1006:Q1006),$P$1006:$S$1006,0)), HYPERLINK("#",""), HYPERLINK(CONCATENATE("#metadata!", ADDRESS(INDEX($K$2:$K$1001,MATCH(ROWS($I$2:I360),$I$2:$I$1001,0),0), INDEX($P$1004:$S$1004,1,MATCH(COLUMNS($P$1006:Q1006),$P$1006:$S$1006,0)))),"Fix")))</f>
        <v>0</v>
      </c>
      <c r="D360" s="3">
        <f>IF(OR(INDEX($J$2:$J$1001,MATCH(ROWS($I$2:I360),$I$2:$I$1001,0),1)&gt;=100000,INDEX($P$1005:$S$1005,1,MATCH(COLUMNS($P$1006:R1006),$P$1006:$S$1006,0))&gt;=100000), " ",IF(INDEX($P$2:$S$1001,MATCH(ROWS($I$2:I360),$I$2:$I$1001,0),MATCH(COLUMNS($P$1006:R1006),$P$1006:$S$1006,0)), HYPERLINK("#",""), HYPERLINK(CONCATENATE("#metadata!", ADDRESS(INDEX($K$2:$K$1001,MATCH(ROWS($I$2:I360),$I$2:$I$1001,0),0), INDEX($P$1004:$S$1004,1,MATCH(COLUMNS($P$1006:R1006),$P$1006:$S$1006,0)))),"Fix")))</f>
        <v>0</v>
      </c>
      <c r="E360" s="3">
        <f>IF(OR(INDEX($J$2:$J$1001,MATCH(ROWS($I$2:I360),$I$2:$I$1001,0),1)&gt;=100000,INDEX($P$1005:$S$1005,1,MATCH(COLUMNS($P$1006:S1006),$P$1006:$S$1006,0))&gt;=100000), " ",IF(INDEX($P$2:$S$1001,MATCH(ROWS($I$2:I360),$I$2:$I$1001,0),MATCH(COLUMNS($P$1006:S1006),$P$1006:$S$1006,0)), HYPERLINK("#",""), HYPERLINK(CONCATENATE("#metadata!", ADDRESS(INDEX($K$2:$K$1001,MATCH(ROWS($I$2:I360),$I$2:$I$1001,0),0), INDEX($P$1004:$S$1004,1,MATCH(COLUMNS($P$1006:S1006),$P$1006:$S$1006,0)))),"Fix")))</f>
        <v>0</v>
      </c>
      <c r="I360">
        <v>0</v>
      </c>
      <c r="J360">
        <v>0</v>
      </c>
      <c r="K360">
        <v>0</v>
      </c>
      <c r="L360">
        <f>IF(M360,TRUE,AND(P360:S360))</f>
        <v>0</v>
      </c>
      <c r="M360">
        <f>COUNTBLANK(metadata!B360:E360)=COLUMNS(metadata!B360:E360)</f>
        <v>0</v>
      </c>
      <c r="N360">
        <v>0</v>
      </c>
      <c r="P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Q360">
        <f>AND(IF(metadata!C360="",FALSE,TRUE),exact(metadata!C360,"other"))</f>
        <v>0</v>
      </c>
      <c r="R360">
        <f>AND(IF(metadata!D360="",FALSE,TRUE),exact(metadata!D360,"metagenome"))</f>
        <v>0</v>
      </c>
      <c r="S360">
        <f>AND(IF(metadata!E360="",FALSE,TRUE),exact(metadata!E360,"256318"))</f>
        <v>0</v>
      </c>
    </row>
    <row r="361" spans="1:19">
      <c r="A361" s="4">
        <f>IF(B361=" "," ",HYPERLINK(CONCATENATE("#metadata!",ADDRESS(INDEX($K$2:$K$1001,MATCH(ROWS($I$2:I361),$I$2:$I$1001,0),0),1)),INDEX($N$2:$N$1001,MATCH(ROWS($I$2:I361),$I$2:$I$1001,0),0)))</f>
        <v>0</v>
      </c>
      <c r="B361" s="3">
        <f>IF(OR(INDEX($J$2:$J$1001,MATCH(ROWS($I$2:I361),$I$2:$I$1001,0),1)&gt;=100000,INDEX($P$1005:$S$1005,1,MATCH(COLUMNS($P$1006:P1006),$P$1006:$S$1006,0))&gt;=100000), " ",IF(INDEX($P$2:$S$1001,MATCH(ROWS($I$2:I361),$I$2:$I$1001,0),MATCH(COLUMNS($P$1006:P1006),$P$1006:$S$1006,0)), HYPERLINK("#",""), HYPERLINK(CONCATENATE("#metadata!", ADDRESS(INDEX($K$2:$K$1001,MATCH(ROWS($I$2:I361),$I$2:$I$1001,0),0), INDEX($P$1004:$S$1004,1,MATCH(COLUMNS($P$1006:P1006),$P$1006:$S$1006,0)))),"Fix")))</f>
        <v>0</v>
      </c>
      <c r="C361" s="3">
        <f>IF(OR(INDEX($J$2:$J$1001,MATCH(ROWS($I$2:I361),$I$2:$I$1001,0),1)&gt;=100000,INDEX($P$1005:$S$1005,1,MATCH(COLUMNS($P$1006:Q1006),$P$1006:$S$1006,0))&gt;=100000), " ",IF(INDEX($P$2:$S$1001,MATCH(ROWS($I$2:I361),$I$2:$I$1001,0),MATCH(COLUMNS($P$1006:Q1006),$P$1006:$S$1006,0)), HYPERLINK("#",""), HYPERLINK(CONCATENATE("#metadata!", ADDRESS(INDEX($K$2:$K$1001,MATCH(ROWS($I$2:I361),$I$2:$I$1001,0),0), INDEX($P$1004:$S$1004,1,MATCH(COLUMNS($P$1006:Q1006),$P$1006:$S$1006,0)))),"Fix")))</f>
        <v>0</v>
      </c>
      <c r="D361" s="3">
        <f>IF(OR(INDEX($J$2:$J$1001,MATCH(ROWS($I$2:I361),$I$2:$I$1001,0),1)&gt;=100000,INDEX($P$1005:$S$1005,1,MATCH(COLUMNS($P$1006:R1006),$P$1006:$S$1006,0))&gt;=100000), " ",IF(INDEX($P$2:$S$1001,MATCH(ROWS($I$2:I361),$I$2:$I$1001,0),MATCH(COLUMNS($P$1006:R1006),$P$1006:$S$1006,0)), HYPERLINK("#",""), HYPERLINK(CONCATENATE("#metadata!", ADDRESS(INDEX($K$2:$K$1001,MATCH(ROWS($I$2:I361),$I$2:$I$1001,0),0), INDEX($P$1004:$S$1004,1,MATCH(COLUMNS($P$1006:R1006),$P$1006:$S$1006,0)))),"Fix")))</f>
        <v>0</v>
      </c>
      <c r="E361" s="3">
        <f>IF(OR(INDEX($J$2:$J$1001,MATCH(ROWS($I$2:I361),$I$2:$I$1001,0),1)&gt;=100000,INDEX($P$1005:$S$1005,1,MATCH(COLUMNS($P$1006:S1006),$P$1006:$S$1006,0))&gt;=100000), " ",IF(INDEX($P$2:$S$1001,MATCH(ROWS($I$2:I361),$I$2:$I$1001,0),MATCH(COLUMNS($P$1006:S1006),$P$1006:$S$1006,0)), HYPERLINK("#",""), HYPERLINK(CONCATENATE("#metadata!", ADDRESS(INDEX($K$2:$K$1001,MATCH(ROWS($I$2:I361),$I$2:$I$1001,0),0), INDEX($P$1004:$S$1004,1,MATCH(COLUMNS($P$1006:S1006),$P$1006:$S$1006,0)))),"Fix")))</f>
        <v>0</v>
      </c>
      <c r="I361">
        <v>0</v>
      </c>
      <c r="J361">
        <v>0</v>
      </c>
      <c r="K361">
        <v>0</v>
      </c>
      <c r="L361">
        <f>IF(M361,TRUE,AND(P361:S361))</f>
        <v>0</v>
      </c>
      <c r="M361">
        <f>COUNTBLANK(metadata!B361:E361)=COLUMNS(metadata!B361:E361)</f>
        <v>0</v>
      </c>
      <c r="N361">
        <v>0</v>
      </c>
      <c r="P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Q361">
        <f>AND(IF(metadata!C361="",FALSE,TRUE),exact(metadata!C361,"other"))</f>
        <v>0</v>
      </c>
      <c r="R361">
        <f>AND(IF(metadata!D361="",FALSE,TRUE),exact(metadata!D361,"metagenome"))</f>
        <v>0</v>
      </c>
      <c r="S361">
        <f>AND(IF(metadata!E361="",FALSE,TRUE),exact(metadata!E361,"256318"))</f>
        <v>0</v>
      </c>
    </row>
    <row r="362" spans="1:19">
      <c r="A362" s="4">
        <f>IF(B362=" "," ",HYPERLINK(CONCATENATE("#metadata!",ADDRESS(INDEX($K$2:$K$1001,MATCH(ROWS($I$2:I362),$I$2:$I$1001,0),0),1)),INDEX($N$2:$N$1001,MATCH(ROWS($I$2:I362),$I$2:$I$1001,0),0)))</f>
        <v>0</v>
      </c>
      <c r="B362" s="3">
        <f>IF(OR(INDEX($J$2:$J$1001,MATCH(ROWS($I$2:I362),$I$2:$I$1001,0),1)&gt;=100000,INDEX($P$1005:$S$1005,1,MATCH(COLUMNS($P$1006:P1006),$P$1006:$S$1006,0))&gt;=100000), " ",IF(INDEX($P$2:$S$1001,MATCH(ROWS($I$2:I362),$I$2:$I$1001,0),MATCH(COLUMNS($P$1006:P1006),$P$1006:$S$1006,0)), HYPERLINK("#",""), HYPERLINK(CONCATENATE("#metadata!", ADDRESS(INDEX($K$2:$K$1001,MATCH(ROWS($I$2:I362),$I$2:$I$1001,0),0), INDEX($P$1004:$S$1004,1,MATCH(COLUMNS($P$1006:P1006),$P$1006:$S$1006,0)))),"Fix")))</f>
        <v>0</v>
      </c>
      <c r="C362" s="3">
        <f>IF(OR(INDEX($J$2:$J$1001,MATCH(ROWS($I$2:I362),$I$2:$I$1001,0),1)&gt;=100000,INDEX($P$1005:$S$1005,1,MATCH(COLUMNS($P$1006:Q1006),$P$1006:$S$1006,0))&gt;=100000), " ",IF(INDEX($P$2:$S$1001,MATCH(ROWS($I$2:I362),$I$2:$I$1001,0),MATCH(COLUMNS($P$1006:Q1006),$P$1006:$S$1006,0)), HYPERLINK("#",""), HYPERLINK(CONCATENATE("#metadata!", ADDRESS(INDEX($K$2:$K$1001,MATCH(ROWS($I$2:I362),$I$2:$I$1001,0),0), INDEX($P$1004:$S$1004,1,MATCH(COLUMNS($P$1006:Q1006),$P$1006:$S$1006,0)))),"Fix")))</f>
        <v>0</v>
      </c>
      <c r="D362" s="3">
        <f>IF(OR(INDEX($J$2:$J$1001,MATCH(ROWS($I$2:I362),$I$2:$I$1001,0),1)&gt;=100000,INDEX($P$1005:$S$1005,1,MATCH(COLUMNS($P$1006:R1006),$P$1006:$S$1006,0))&gt;=100000), " ",IF(INDEX($P$2:$S$1001,MATCH(ROWS($I$2:I362),$I$2:$I$1001,0),MATCH(COLUMNS($P$1006:R1006),$P$1006:$S$1006,0)), HYPERLINK("#",""), HYPERLINK(CONCATENATE("#metadata!", ADDRESS(INDEX($K$2:$K$1001,MATCH(ROWS($I$2:I362),$I$2:$I$1001,0),0), INDEX($P$1004:$S$1004,1,MATCH(COLUMNS($P$1006:R1006),$P$1006:$S$1006,0)))),"Fix")))</f>
        <v>0</v>
      </c>
      <c r="E362" s="3">
        <f>IF(OR(INDEX($J$2:$J$1001,MATCH(ROWS($I$2:I362),$I$2:$I$1001,0),1)&gt;=100000,INDEX($P$1005:$S$1005,1,MATCH(COLUMNS($P$1006:S1006),$P$1006:$S$1006,0))&gt;=100000), " ",IF(INDEX($P$2:$S$1001,MATCH(ROWS($I$2:I362),$I$2:$I$1001,0),MATCH(COLUMNS($P$1006:S1006),$P$1006:$S$1006,0)), HYPERLINK("#",""), HYPERLINK(CONCATENATE("#metadata!", ADDRESS(INDEX($K$2:$K$1001,MATCH(ROWS($I$2:I362),$I$2:$I$1001,0),0), INDEX($P$1004:$S$1004,1,MATCH(COLUMNS($P$1006:S1006),$P$1006:$S$1006,0)))),"Fix")))</f>
        <v>0</v>
      </c>
      <c r="I362">
        <v>0</v>
      </c>
      <c r="J362">
        <v>0</v>
      </c>
      <c r="K362">
        <v>0</v>
      </c>
      <c r="L362">
        <f>IF(M362,TRUE,AND(P362:S362))</f>
        <v>0</v>
      </c>
      <c r="M362">
        <f>COUNTBLANK(metadata!B362:E362)=COLUMNS(metadata!B362:E362)</f>
        <v>0</v>
      </c>
      <c r="N362">
        <v>0</v>
      </c>
      <c r="P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Q362">
        <f>AND(IF(metadata!C362="",FALSE,TRUE),exact(metadata!C362,"other"))</f>
        <v>0</v>
      </c>
      <c r="R362">
        <f>AND(IF(metadata!D362="",FALSE,TRUE),exact(metadata!D362,"metagenome"))</f>
        <v>0</v>
      </c>
      <c r="S362">
        <f>AND(IF(metadata!E362="",FALSE,TRUE),exact(metadata!E362,"256318"))</f>
        <v>0</v>
      </c>
    </row>
    <row r="363" spans="1:19">
      <c r="A363" s="4">
        <f>IF(B363=" "," ",HYPERLINK(CONCATENATE("#metadata!",ADDRESS(INDEX($K$2:$K$1001,MATCH(ROWS($I$2:I363),$I$2:$I$1001,0),0),1)),INDEX($N$2:$N$1001,MATCH(ROWS($I$2:I363),$I$2:$I$1001,0),0)))</f>
        <v>0</v>
      </c>
      <c r="B363" s="3">
        <f>IF(OR(INDEX($J$2:$J$1001,MATCH(ROWS($I$2:I363),$I$2:$I$1001,0),1)&gt;=100000,INDEX($P$1005:$S$1005,1,MATCH(COLUMNS($P$1006:P1006),$P$1006:$S$1006,0))&gt;=100000), " ",IF(INDEX($P$2:$S$1001,MATCH(ROWS($I$2:I363),$I$2:$I$1001,0),MATCH(COLUMNS($P$1006:P1006),$P$1006:$S$1006,0)), HYPERLINK("#",""), HYPERLINK(CONCATENATE("#metadata!", ADDRESS(INDEX($K$2:$K$1001,MATCH(ROWS($I$2:I363),$I$2:$I$1001,0),0), INDEX($P$1004:$S$1004,1,MATCH(COLUMNS($P$1006:P1006),$P$1006:$S$1006,0)))),"Fix")))</f>
        <v>0</v>
      </c>
      <c r="C363" s="3">
        <f>IF(OR(INDEX($J$2:$J$1001,MATCH(ROWS($I$2:I363),$I$2:$I$1001,0),1)&gt;=100000,INDEX($P$1005:$S$1005,1,MATCH(COLUMNS($P$1006:Q1006),$P$1006:$S$1006,0))&gt;=100000), " ",IF(INDEX($P$2:$S$1001,MATCH(ROWS($I$2:I363),$I$2:$I$1001,0),MATCH(COLUMNS($P$1006:Q1006),$P$1006:$S$1006,0)), HYPERLINK("#",""), HYPERLINK(CONCATENATE("#metadata!", ADDRESS(INDEX($K$2:$K$1001,MATCH(ROWS($I$2:I363),$I$2:$I$1001,0),0), INDEX($P$1004:$S$1004,1,MATCH(COLUMNS($P$1006:Q1006),$P$1006:$S$1006,0)))),"Fix")))</f>
        <v>0</v>
      </c>
      <c r="D363" s="3">
        <f>IF(OR(INDEX($J$2:$J$1001,MATCH(ROWS($I$2:I363),$I$2:$I$1001,0),1)&gt;=100000,INDEX($P$1005:$S$1005,1,MATCH(COLUMNS($P$1006:R1006),$P$1006:$S$1006,0))&gt;=100000), " ",IF(INDEX($P$2:$S$1001,MATCH(ROWS($I$2:I363),$I$2:$I$1001,0),MATCH(COLUMNS($P$1006:R1006),$P$1006:$S$1006,0)), HYPERLINK("#",""), HYPERLINK(CONCATENATE("#metadata!", ADDRESS(INDEX($K$2:$K$1001,MATCH(ROWS($I$2:I363),$I$2:$I$1001,0),0), INDEX($P$1004:$S$1004,1,MATCH(COLUMNS($P$1006:R1006),$P$1006:$S$1006,0)))),"Fix")))</f>
        <v>0</v>
      </c>
      <c r="E363" s="3">
        <f>IF(OR(INDEX($J$2:$J$1001,MATCH(ROWS($I$2:I363),$I$2:$I$1001,0),1)&gt;=100000,INDEX($P$1005:$S$1005,1,MATCH(COLUMNS($P$1006:S1006),$P$1006:$S$1006,0))&gt;=100000), " ",IF(INDEX($P$2:$S$1001,MATCH(ROWS($I$2:I363),$I$2:$I$1001,0),MATCH(COLUMNS($P$1006:S1006),$P$1006:$S$1006,0)), HYPERLINK("#",""), HYPERLINK(CONCATENATE("#metadata!", ADDRESS(INDEX($K$2:$K$1001,MATCH(ROWS($I$2:I363),$I$2:$I$1001,0),0), INDEX($P$1004:$S$1004,1,MATCH(COLUMNS($P$1006:S1006),$P$1006:$S$1006,0)))),"Fix")))</f>
        <v>0</v>
      </c>
      <c r="I363">
        <v>0</v>
      </c>
      <c r="J363">
        <v>0</v>
      </c>
      <c r="K363">
        <v>0</v>
      </c>
      <c r="L363">
        <f>IF(M363,TRUE,AND(P363:S363))</f>
        <v>0</v>
      </c>
      <c r="M363">
        <f>COUNTBLANK(metadata!B363:E363)=COLUMNS(metadata!B363:E363)</f>
        <v>0</v>
      </c>
      <c r="N363">
        <v>0</v>
      </c>
      <c r="P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Q363">
        <f>AND(IF(metadata!C363="",FALSE,TRUE),exact(metadata!C363,"other"))</f>
        <v>0</v>
      </c>
      <c r="R363">
        <f>AND(IF(metadata!D363="",FALSE,TRUE),exact(metadata!D363,"metagenome"))</f>
        <v>0</v>
      </c>
      <c r="S363">
        <f>AND(IF(metadata!E363="",FALSE,TRUE),exact(metadata!E363,"256318"))</f>
        <v>0</v>
      </c>
    </row>
    <row r="364" spans="1:19">
      <c r="A364" s="4">
        <f>IF(B364=" "," ",HYPERLINK(CONCATENATE("#metadata!",ADDRESS(INDEX($K$2:$K$1001,MATCH(ROWS($I$2:I364),$I$2:$I$1001,0),0),1)),INDEX($N$2:$N$1001,MATCH(ROWS($I$2:I364),$I$2:$I$1001,0),0)))</f>
        <v>0</v>
      </c>
      <c r="B364" s="3">
        <f>IF(OR(INDEX($J$2:$J$1001,MATCH(ROWS($I$2:I364),$I$2:$I$1001,0),1)&gt;=100000,INDEX($P$1005:$S$1005,1,MATCH(COLUMNS($P$1006:P1006),$P$1006:$S$1006,0))&gt;=100000), " ",IF(INDEX($P$2:$S$1001,MATCH(ROWS($I$2:I364),$I$2:$I$1001,0),MATCH(COLUMNS($P$1006:P1006),$P$1006:$S$1006,0)), HYPERLINK("#",""), HYPERLINK(CONCATENATE("#metadata!", ADDRESS(INDEX($K$2:$K$1001,MATCH(ROWS($I$2:I364),$I$2:$I$1001,0),0), INDEX($P$1004:$S$1004,1,MATCH(COLUMNS($P$1006:P1006),$P$1006:$S$1006,0)))),"Fix")))</f>
        <v>0</v>
      </c>
      <c r="C364" s="3">
        <f>IF(OR(INDEX($J$2:$J$1001,MATCH(ROWS($I$2:I364),$I$2:$I$1001,0),1)&gt;=100000,INDEX($P$1005:$S$1005,1,MATCH(COLUMNS($P$1006:Q1006),$P$1006:$S$1006,0))&gt;=100000), " ",IF(INDEX($P$2:$S$1001,MATCH(ROWS($I$2:I364),$I$2:$I$1001,0),MATCH(COLUMNS($P$1006:Q1006),$P$1006:$S$1006,0)), HYPERLINK("#",""), HYPERLINK(CONCATENATE("#metadata!", ADDRESS(INDEX($K$2:$K$1001,MATCH(ROWS($I$2:I364),$I$2:$I$1001,0),0), INDEX($P$1004:$S$1004,1,MATCH(COLUMNS($P$1006:Q1006),$P$1006:$S$1006,0)))),"Fix")))</f>
        <v>0</v>
      </c>
      <c r="D364" s="3">
        <f>IF(OR(INDEX($J$2:$J$1001,MATCH(ROWS($I$2:I364),$I$2:$I$1001,0),1)&gt;=100000,INDEX($P$1005:$S$1005,1,MATCH(COLUMNS($P$1006:R1006),$P$1006:$S$1006,0))&gt;=100000), " ",IF(INDEX($P$2:$S$1001,MATCH(ROWS($I$2:I364),$I$2:$I$1001,0),MATCH(COLUMNS($P$1006:R1006),$P$1006:$S$1006,0)), HYPERLINK("#",""), HYPERLINK(CONCATENATE("#metadata!", ADDRESS(INDEX($K$2:$K$1001,MATCH(ROWS($I$2:I364),$I$2:$I$1001,0),0), INDEX($P$1004:$S$1004,1,MATCH(COLUMNS($P$1006:R1006),$P$1006:$S$1006,0)))),"Fix")))</f>
        <v>0</v>
      </c>
      <c r="E364" s="3">
        <f>IF(OR(INDEX($J$2:$J$1001,MATCH(ROWS($I$2:I364),$I$2:$I$1001,0),1)&gt;=100000,INDEX($P$1005:$S$1005,1,MATCH(COLUMNS($P$1006:S1006),$P$1006:$S$1006,0))&gt;=100000), " ",IF(INDEX($P$2:$S$1001,MATCH(ROWS($I$2:I364),$I$2:$I$1001,0),MATCH(COLUMNS($P$1006:S1006),$P$1006:$S$1006,0)), HYPERLINK("#",""), HYPERLINK(CONCATENATE("#metadata!", ADDRESS(INDEX($K$2:$K$1001,MATCH(ROWS($I$2:I364),$I$2:$I$1001,0),0), INDEX($P$1004:$S$1004,1,MATCH(COLUMNS($P$1006:S1006),$P$1006:$S$1006,0)))),"Fix")))</f>
        <v>0</v>
      </c>
      <c r="I364">
        <v>0</v>
      </c>
      <c r="J364">
        <v>0</v>
      </c>
      <c r="K364">
        <v>0</v>
      </c>
      <c r="L364">
        <f>IF(M364,TRUE,AND(P364:S364))</f>
        <v>0</v>
      </c>
      <c r="M364">
        <f>COUNTBLANK(metadata!B364:E364)=COLUMNS(metadata!B364:E364)</f>
        <v>0</v>
      </c>
      <c r="N364">
        <v>0</v>
      </c>
      <c r="P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Q364">
        <f>AND(IF(metadata!C364="",FALSE,TRUE),exact(metadata!C364,"other"))</f>
        <v>0</v>
      </c>
      <c r="R364">
        <f>AND(IF(metadata!D364="",FALSE,TRUE),exact(metadata!D364,"metagenome"))</f>
        <v>0</v>
      </c>
      <c r="S364">
        <f>AND(IF(metadata!E364="",FALSE,TRUE),exact(metadata!E364,"256318"))</f>
        <v>0</v>
      </c>
    </row>
    <row r="365" spans="1:19">
      <c r="A365" s="4">
        <f>IF(B365=" "," ",HYPERLINK(CONCATENATE("#metadata!",ADDRESS(INDEX($K$2:$K$1001,MATCH(ROWS($I$2:I365),$I$2:$I$1001,0),0),1)),INDEX($N$2:$N$1001,MATCH(ROWS($I$2:I365),$I$2:$I$1001,0),0)))</f>
        <v>0</v>
      </c>
      <c r="B365" s="3">
        <f>IF(OR(INDEX($J$2:$J$1001,MATCH(ROWS($I$2:I365),$I$2:$I$1001,0),1)&gt;=100000,INDEX($P$1005:$S$1005,1,MATCH(COLUMNS($P$1006:P1006),$P$1006:$S$1006,0))&gt;=100000), " ",IF(INDEX($P$2:$S$1001,MATCH(ROWS($I$2:I365),$I$2:$I$1001,0),MATCH(COLUMNS($P$1006:P1006),$P$1006:$S$1006,0)), HYPERLINK("#",""), HYPERLINK(CONCATENATE("#metadata!", ADDRESS(INDEX($K$2:$K$1001,MATCH(ROWS($I$2:I365),$I$2:$I$1001,0),0), INDEX($P$1004:$S$1004,1,MATCH(COLUMNS($P$1006:P1006),$P$1006:$S$1006,0)))),"Fix")))</f>
        <v>0</v>
      </c>
      <c r="C365" s="3">
        <f>IF(OR(INDEX($J$2:$J$1001,MATCH(ROWS($I$2:I365),$I$2:$I$1001,0),1)&gt;=100000,INDEX($P$1005:$S$1005,1,MATCH(COLUMNS($P$1006:Q1006),$P$1006:$S$1006,0))&gt;=100000), " ",IF(INDEX($P$2:$S$1001,MATCH(ROWS($I$2:I365),$I$2:$I$1001,0),MATCH(COLUMNS($P$1006:Q1006),$P$1006:$S$1006,0)), HYPERLINK("#",""), HYPERLINK(CONCATENATE("#metadata!", ADDRESS(INDEX($K$2:$K$1001,MATCH(ROWS($I$2:I365),$I$2:$I$1001,0),0), INDEX($P$1004:$S$1004,1,MATCH(COLUMNS($P$1006:Q1006),$P$1006:$S$1006,0)))),"Fix")))</f>
        <v>0</v>
      </c>
      <c r="D365" s="3">
        <f>IF(OR(INDEX($J$2:$J$1001,MATCH(ROWS($I$2:I365),$I$2:$I$1001,0),1)&gt;=100000,INDEX($P$1005:$S$1005,1,MATCH(COLUMNS($P$1006:R1006),$P$1006:$S$1006,0))&gt;=100000), " ",IF(INDEX($P$2:$S$1001,MATCH(ROWS($I$2:I365),$I$2:$I$1001,0),MATCH(COLUMNS($P$1006:R1006),$P$1006:$S$1006,0)), HYPERLINK("#",""), HYPERLINK(CONCATENATE("#metadata!", ADDRESS(INDEX($K$2:$K$1001,MATCH(ROWS($I$2:I365),$I$2:$I$1001,0),0), INDEX($P$1004:$S$1004,1,MATCH(COLUMNS($P$1006:R1006),$P$1006:$S$1006,0)))),"Fix")))</f>
        <v>0</v>
      </c>
      <c r="E365" s="3">
        <f>IF(OR(INDEX($J$2:$J$1001,MATCH(ROWS($I$2:I365),$I$2:$I$1001,0),1)&gt;=100000,INDEX($P$1005:$S$1005,1,MATCH(COLUMNS($P$1006:S1006),$P$1006:$S$1006,0))&gt;=100000), " ",IF(INDEX($P$2:$S$1001,MATCH(ROWS($I$2:I365),$I$2:$I$1001,0),MATCH(COLUMNS($P$1006:S1006),$P$1006:$S$1006,0)), HYPERLINK("#",""), HYPERLINK(CONCATENATE("#metadata!", ADDRESS(INDEX($K$2:$K$1001,MATCH(ROWS($I$2:I365),$I$2:$I$1001,0),0), INDEX($P$1004:$S$1004,1,MATCH(COLUMNS($P$1006:S1006),$P$1006:$S$1006,0)))),"Fix")))</f>
        <v>0</v>
      </c>
      <c r="I365">
        <v>0</v>
      </c>
      <c r="J365">
        <v>0</v>
      </c>
      <c r="K365">
        <v>0</v>
      </c>
      <c r="L365">
        <f>IF(M365,TRUE,AND(P365:S365))</f>
        <v>0</v>
      </c>
      <c r="M365">
        <f>COUNTBLANK(metadata!B365:E365)=COLUMNS(metadata!B365:E365)</f>
        <v>0</v>
      </c>
      <c r="N365">
        <v>0</v>
      </c>
      <c r="P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Q365">
        <f>AND(IF(metadata!C365="",FALSE,TRUE),exact(metadata!C365,"other"))</f>
        <v>0</v>
      </c>
      <c r="R365">
        <f>AND(IF(metadata!D365="",FALSE,TRUE),exact(metadata!D365,"metagenome"))</f>
        <v>0</v>
      </c>
      <c r="S365">
        <f>AND(IF(metadata!E365="",FALSE,TRUE),exact(metadata!E365,"256318"))</f>
        <v>0</v>
      </c>
    </row>
    <row r="366" spans="1:19">
      <c r="A366" s="4">
        <f>IF(B366=" "," ",HYPERLINK(CONCATENATE("#metadata!",ADDRESS(INDEX($K$2:$K$1001,MATCH(ROWS($I$2:I366),$I$2:$I$1001,0),0),1)),INDEX($N$2:$N$1001,MATCH(ROWS($I$2:I366),$I$2:$I$1001,0),0)))</f>
        <v>0</v>
      </c>
      <c r="B366" s="3">
        <f>IF(OR(INDEX($J$2:$J$1001,MATCH(ROWS($I$2:I366),$I$2:$I$1001,0),1)&gt;=100000,INDEX($P$1005:$S$1005,1,MATCH(COLUMNS($P$1006:P1006),$P$1006:$S$1006,0))&gt;=100000), " ",IF(INDEX($P$2:$S$1001,MATCH(ROWS($I$2:I366),$I$2:$I$1001,0),MATCH(COLUMNS($P$1006:P1006),$P$1006:$S$1006,0)), HYPERLINK("#",""), HYPERLINK(CONCATENATE("#metadata!", ADDRESS(INDEX($K$2:$K$1001,MATCH(ROWS($I$2:I366),$I$2:$I$1001,0),0), INDEX($P$1004:$S$1004,1,MATCH(COLUMNS($P$1006:P1006),$P$1006:$S$1006,0)))),"Fix")))</f>
        <v>0</v>
      </c>
      <c r="C366" s="3">
        <f>IF(OR(INDEX($J$2:$J$1001,MATCH(ROWS($I$2:I366),$I$2:$I$1001,0),1)&gt;=100000,INDEX($P$1005:$S$1005,1,MATCH(COLUMNS($P$1006:Q1006),$P$1006:$S$1006,0))&gt;=100000), " ",IF(INDEX($P$2:$S$1001,MATCH(ROWS($I$2:I366),$I$2:$I$1001,0),MATCH(COLUMNS($P$1006:Q1006),$P$1006:$S$1006,0)), HYPERLINK("#",""), HYPERLINK(CONCATENATE("#metadata!", ADDRESS(INDEX($K$2:$K$1001,MATCH(ROWS($I$2:I366),$I$2:$I$1001,0),0), INDEX($P$1004:$S$1004,1,MATCH(COLUMNS($P$1006:Q1006),$P$1006:$S$1006,0)))),"Fix")))</f>
        <v>0</v>
      </c>
      <c r="D366" s="3">
        <f>IF(OR(INDEX($J$2:$J$1001,MATCH(ROWS($I$2:I366),$I$2:$I$1001,0),1)&gt;=100000,INDEX($P$1005:$S$1005,1,MATCH(COLUMNS($P$1006:R1006),$P$1006:$S$1006,0))&gt;=100000), " ",IF(INDEX($P$2:$S$1001,MATCH(ROWS($I$2:I366),$I$2:$I$1001,0),MATCH(COLUMNS($P$1006:R1006),$P$1006:$S$1006,0)), HYPERLINK("#",""), HYPERLINK(CONCATENATE("#metadata!", ADDRESS(INDEX($K$2:$K$1001,MATCH(ROWS($I$2:I366),$I$2:$I$1001,0),0), INDEX($P$1004:$S$1004,1,MATCH(COLUMNS($P$1006:R1006),$P$1006:$S$1006,0)))),"Fix")))</f>
        <v>0</v>
      </c>
      <c r="E366" s="3">
        <f>IF(OR(INDEX($J$2:$J$1001,MATCH(ROWS($I$2:I366),$I$2:$I$1001,0),1)&gt;=100000,INDEX($P$1005:$S$1005,1,MATCH(COLUMNS($P$1006:S1006),$P$1006:$S$1006,0))&gt;=100000), " ",IF(INDEX($P$2:$S$1001,MATCH(ROWS($I$2:I366),$I$2:$I$1001,0),MATCH(COLUMNS($P$1006:S1006),$P$1006:$S$1006,0)), HYPERLINK("#",""), HYPERLINK(CONCATENATE("#metadata!", ADDRESS(INDEX($K$2:$K$1001,MATCH(ROWS($I$2:I366),$I$2:$I$1001,0),0), INDEX($P$1004:$S$1004,1,MATCH(COLUMNS($P$1006:S1006),$P$1006:$S$1006,0)))),"Fix")))</f>
        <v>0</v>
      </c>
      <c r="I366">
        <v>0</v>
      </c>
      <c r="J366">
        <v>0</v>
      </c>
      <c r="K366">
        <v>0</v>
      </c>
      <c r="L366">
        <f>IF(M366,TRUE,AND(P366:S366))</f>
        <v>0</v>
      </c>
      <c r="M366">
        <f>COUNTBLANK(metadata!B366:E366)=COLUMNS(metadata!B366:E366)</f>
        <v>0</v>
      </c>
      <c r="N366">
        <v>0</v>
      </c>
      <c r="P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Q366">
        <f>AND(IF(metadata!C366="",FALSE,TRUE),exact(metadata!C366,"other"))</f>
        <v>0</v>
      </c>
      <c r="R366">
        <f>AND(IF(metadata!D366="",FALSE,TRUE),exact(metadata!D366,"metagenome"))</f>
        <v>0</v>
      </c>
      <c r="S366">
        <f>AND(IF(metadata!E366="",FALSE,TRUE),exact(metadata!E366,"256318"))</f>
        <v>0</v>
      </c>
    </row>
    <row r="367" spans="1:19">
      <c r="A367" s="4">
        <f>IF(B367=" "," ",HYPERLINK(CONCATENATE("#metadata!",ADDRESS(INDEX($K$2:$K$1001,MATCH(ROWS($I$2:I367),$I$2:$I$1001,0),0),1)),INDEX($N$2:$N$1001,MATCH(ROWS($I$2:I367),$I$2:$I$1001,0),0)))</f>
        <v>0</v>
      </c>
      <c r="B367" s="3">
        <f>IF(OR(INDEX($J$2:$J$1001,MATCH(ROWS($I$2:I367),$I$2:$I$1001,0),1)&gt;=100000,INDEX($P$1005:$S$1005,1,MATCH(COLUMNS($P$1006:P1006),$P$1006:$S$1006,0))&gt;=100000), " ",IF(INDEX($P$2:$S$1001,MATCH(ROWS($I$2:I367),$I$2:$I$1001,0),MATCH(COLUMNS($P$1006:P1006),$P$1006:$S$1006,0)), HYPERLINK("#",""), HYPERLINK(CONCATENATE("#metadata!", ADDRESS(INDEX($K$2:$K$1001,MATCH(ROWS($I$2:I367),$I$2:$I$1001,0),0), INDEX($P$1004:$S$1004,1,MATCH(COLUMNS($P$1006:P1006),$P$1006:$S$1006,0)))),"Fix")))</f>
        <v>0</v>
      </c>
      <c r="C367" s="3">
        <f>IF(OR(INDEX($J$2:$J$1001,MATCH(ROWS($I$2:I367),$I$2:$I$1001,0),1)&gt;=100000,INDEX($P$1005:$S$1005,1,MATCH(COLUMNS($P$1006:Q1006),$P$1006:$S$1006,0))&gt;=100000), " ",IF(INDEX($P$2:$S$1001,MATCH(ROWS($I$2:I367),$I$2:$I$1001,0),MATCH(COLUMNS($P$1006:Q1006),$P$1006:$S$1006,0)), HYPERLINK("#",""), HYPERLINK(CONCATENATE("#metadata!", ADDRESS(INDEX($K$2:$K$1001,MATCH(ROWS($I$2:I367),$I$2:$I$1001,0),0), INDEX($P$1004:$S$1004,1,MATCH(COLUMNS($P$1006:Q1006),$P$1006:$S$1006,0)))),"Fix")))</f>
        <v>0</v>
      </c>
      <c r="D367" s="3">
        <f>IF(OR(INDEX($J$2:$J$1001,MATCH(ROWS($I$2:I367),$I$2:$I$1001,0),1)&gt;=100000,INDEX($P$1005:$S$1005,1,MATCH(COLUMNS($P$1006:R1006),$P$1006:$S$1006,0))&gt;=100000), " ",IF(INDEX($P$2:$S$1001,MATCH(ROWS($I$2:I367),$I$2:$I$1001,0),MATCH(COLUMNS($P$1006:R1006),$P$1006:$S$1006,0)), HYPERLINK("#",""), HYPERLINK(CONCATENATE("#metadata!", ADDRESS(INDEX($K$2:$K$1001,MATCH(ROWS($I$2:I367),$I$2:$I$1001,0),0), INDEX($P$1004:$S$1004,1,MATCH(COLUMNS($P$1006:R1006),$P$1006:$S$1006,0)))),"Fix")))</f>
        <v>0</v>
      </c>
      <c r="E367" s="3">
        <f>IF(OR(INDEX($J$2:$J$1001,MATCH(ROWS($I$2:I367),$I$2:$I$1001,0),1)&gt;=100000,INDEX($P$1005:$S$1005,1,MATCH(COLUMNS($P$1006:S1006),$P$1006:$S$1006,0))&gt;=100000), " ",IF(INDEX($P$2:$S$1001,MATCH(ROWS($I$2:I367),$I$2:$I$1001,0),MATCH(COLUMNS($P$1006:S1006),$P$1006:$S$1006,0)), HYPERLINK("#",""), HYPERLINK(CONCATENATE("#metadata!", ADDRESS(INDEX($K$2:$K$1001,MATCH(ROWS($I$2:I367),$I$2:$I$1001,0),0), INDEX($P$1004:$S$1004,1,MATCH(COLUMNS($P$1006:S1006),$P$1006:$S$1006,0)))),"Fix")))</f>
        <v>0</v>
      </c>
      <c r="I367">
        <v>0</v>
      </c>
      <c r="J367">
        <v>0</v>
      </c>
      <c r="K367">
        <v>0</v>
      </c>
      <c r="L367">
        <f>IF(M367,TRUE,AND(P367:S367))</f>
        <v>0</v>
      </c>
      <c r="M367">
        <f>COUNTBLANK(metadata!B367:E367)=COLUMNS(metadata!B367:E367)</f>
        <v>0</v>
      </c>
      <c r="N367">
        <v>0</v>
      </c>
      <c r="P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Q367">
        <f>AND(IF(metadata!C367="",FALSE,TRUE),exact(metadata!C367,"other"))</f>
        <v>0</v>
      </c>
      <c r="R367">
        <f>AND(IF(metadata!D367="",FALSE,TRUE),exact(metadata!D367,"metagenome"))</f>
        <v>0</v>
      </c>
      <c r="S367">
        <f>AND(IF(metadata!E367="",FALSE,TRUE),exact(metadata!E367,"256318"))</f>
        <v>0</v>
      </c>
    </row>
    <row r="368" spans="1:19">
      <c r="A368" s="4">
        <f>IF(B368=" "," ",HYPERLINK(CONCATENATE("#metadata!",ADDRESS(INDEX($K$2:$K$1001,MATCH(ROWS($I$2:I368),$I$2:$I$1001,0),0),1)),INDEX($N$2:$N$1001,MATCH(ROWS($I$2:I368),$I$2:$I$1001,0),0)))</f>
        <v>0</v>
      </c>
      <c r="B368" s="3">
        <f>IF(OR(INDEX($J$2:$J$1001,MATCH(ROWS($I$2:I368),$I$2:$I$1001,0),1)&gt;=100000,INDEX($P$1005:$S$1005,1,MATCH(COLUMNS($P$1006:P1006),$P$1006:$S$1006,0))&gt;=100000), " ",IF(INDEX($P$2:$S$1001,MATCH(ROWS($I$2:I368),$I$2:$I$1001,0),MATCH(COLUMNS($P$1006:P1006),$P$1006:$S$1006,0)), HYPERLINK("#",""), HYPERLINK(CONCATENATE("#metadata!", ADDRESS(INDEX($K$2:$K$1001,MATCH(ROWS($I$2:I368),$I$2:$I$1001,0),0), INDEX($P$1004:$S$1004,1,MATCH(COLUMNS($P$1006:P1006),$P$1006:$S$1006,0)))),"Fix")))</f>
        <v>0</v>
      </c>
      <c r="C368" s="3">
        <f>IF(OR(INDEX($J$2:$J$1001,MATCH(ROWS($I$2:I368),$I$2:$I$1001,0),1)&gt;=100000,INDEX($P$1005:$S$1005,1,MATCH(COLUMNS($P$1006:Q1006),$P$1006:$S$1006,0))&gt;=100000), " ",IF(INDEX($P$2:$S$1001,MATCH(ROWS($I$2:I368),$I$2:$I$1001,0),MATCH(COLUMNS($P$1006:Q1006),$P$1006:$S$1006,0)), HYPERLINK("#",""), HYPERLINK(CONCATENATE("#metadata!", ADDRESS(INDEX($K$2:$K$1001,MATCH(ROWS($I$2:I368),$I$2:$I$1001,0),0), INDEX($P$1004:$S$1004,1,MATCH(COLUMNS($P$1006:Q1006),$P$1006:$S$1006,0)))),"Fix")))</f>
        <v>0</v>
      </c>
      <c r="D368" s="3">
        <f>IF(OR(INDEX($J$2:$J$1001,MATCH(ROWS($I$2:I368),$I$2:$I$1001,0),1)&gt;=100000,INDEX($P$1005:$S$1005,1,MATCH(COLUMNS($P$1006:R1006),$P$1006:$S$1006,0))&gt;=100000), " ",IF(INDEX($P$2:$S$1001,MATCH(ROWS($I$2:I368),$I$2:$I$1001,0),MATCH(COLUMNS($P$1006:R1006),$P$1006:$S$1006,0)), HYPERLINK("#",""), HYPERLINK(CONCATENATE("#metadata!", ADDRESS(INDEX($K$2:$K$1001,MATCH(ROWS($I$2:I368),$I$2:$I$1001,0),0), INDEX($P$1004:$S$1004,1,MATCH(COLUMNS($P$1006:R1006),$P$1006:$S$1006,0)))),"Fix")))</f>
        <v>0</v>
      </c>
      <c r="E368" s="3">
        <f>IF(OR(INDEX($J$2:$J$1001,MATCH(ROWS($I$2:I368),$I$2:$I$1001,0),1)&gt;=100000,INDEX($P$1005:$S$1005,1,MATCH(COLUMNS($P$1006:S1006),$P$1006:$S$1006,0))&gt;=100000), " ",IF(INDEX($P$2:$S$1001,MATCH(ROWS($I$2:I368),$I$2:$I$1001,0),MATCH(COLUMNS($P$1006:S1006),$P$1006:$S$1006,0)), HYPERLINK("#",""), HYPERLINK(CONCATENATE("#metadata!", ADDRESS(INDEX($K$2:$K$1001,MATCH(ROWS($I$2:I368),$I$2:$I$1001,0),0), INDEX($P$1004:$S$1004,1,MATCH(COLUMNS($P$1006:S1006),$P$1006:$S$1006,0)))),"Fix")))</f>
        <v>0</v>
      </c>
      <c r="I368">
        <v>0</v>
      </c>
      <c r="J368">
        <v>0</v>
      </c>
      <c r="K368">
        <v>0</v>
      </c>
      <c r="L368">
        <f>IF(M368,TRUE,AND(P368:S368))</f>
        <v>0</v>
      </c>
      <c r="M368">
        <f>COUNTBLANK(metadata!B368:E368)=COLUMNS(metadata!B368:E368)</f>
        <v>0</v>
      </c>
      <c r="N368">
        <v>0</v>
      </c>
      <c r="P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Q368">
        <f>AND(IF(metadata!C368="",FALSE,TRUE),exact(metadata!C368,"other"))</f>
        <v>0</v>
      </c>
      <c r="R368">
        <f>AND(IF(metadata!D368="",FALSE,TRUE),exact(metadata!D368,"metagenome"))</f>
        <v>0</v>
      </c>
      <c r="S368">
        <f>AND(IF(metadata!E368="",FALSE,TRUE),exact(metadata!E368,"256318"))</f>
        <v>0</v>
      </c>
    </row>
    <row r="369" spans="1:19">
      <c r="A369" s="4">
        <f>IF(B369=" "," ",HYPERLINK(CONCATENATE("#metadata!",ADDRESS(INDEX($K$2:$K$1001,MATCH(ROWS($I$2:I369),$I$2:$I$1001,0),0),1)),INDEX($N$2:$N$1001,MATCH(ROWS($I$2:I369),$I$2:$I$1001,0),0)))</f>
        <v>0</v>
      </c>
      <c r="B369" s="3">
        <f>IF(OR(INDEX($J$2:$J$1001,MATCH(ROWS($I$2:I369),$I$2:$I$1001,0),1)&gt;=100000,INDEX($P$1005:$S$1005,1,MATCH(COLUMNS($P$1006:P1006),$P$1006:$S$1006,0))&gt;=100000), " ",IF(INDEX($P$2:$S$1001,MATCH(ROWS($I$2:I369),$I$2:$I$1001,0),MATCH(COLUMNS($P$1006:P1006),$P$1006:$S$1006,0)), HYPERLINK("#",""), HYPERLINK(CONCATENATE("#metadata!", ADDRESS(INDEX($K$2:$K$1001,MATCH(ROWS($I$2:I369),$I$2:$I$1001,0),0), INDEX($P$1004:$S$1004,1,MATCH(COLUMNS($P$1006:P1006),$P$1006:$S$1006,0)))),"Fix")))</f>
        <v>0</v>
      </c>
      <c r="C369" s="3">
        <f>IF(OR(INDEX($J$2:$J$1001,MATCH(ROWS($I$2:I369),$I$2:$I$1001,0),1)&gt;=100000,INDEX($P$1005:$S$1005,1,MATCH(COLUMNS($P$1006:Q1006),$P$1006:$S$1006,0))&gt;=100000), " ",IF(INDEX($P$2:$S$1001,MATCH(ROWS($I$2:I369),$I$2:$I$1001,0),MATCH(COLUMNS($P$1006:Q1006),$P$1006:$S$1006,0)), HYPERLINK("#",""), HYPERLINK(CONCATENATE("#metadata!", ADDRESS(INDEX($K$2:$K$1001,MATCH(ROWS($I$2:I369),$I$2:$I$1001,0),0), INDEX($P$1004:$S$1004,1,MATCH(COLUMNS($P$1006:Q1006),$P$1006:$S$1006,0)))),"Fix")))</f>
        <v>0</v>
      </c>
      <c r="D369" s="3">
        <f>IF(OR(INDEX($J$2:$J$1001,MATCH(ROWS($I$2:I369),$I$2:$I$1001,0),1)&gt;=100000,INDEX($P$1005:$S$1005,1,MATCH(COLUMNS($P$1006:R1006),$P$1006:$S$1006,0))&gt;=100000), " ",IF(INDEX($P$2:$S$1001,MATCH(ROWS($I$2:I369),$I$2:$I$1001,0),MATCH(COLUMNS($P$1006:R1006),$P$1006:$S$1006,0)), HYPERLINK("#",""), HYPERLINK(CONCATENATE("#metadata!", ADDRESS(INDEX($K$2:$K$1001,MATCH(ROWS($I$2:I369),$I$2:$I$1001,0),0), INDEX($P$1004:$S$1004,1,MATCH(COLUMNS($P$1006:R1006),$P$1006:$S$1006,0)))),"Fix")))</f>
        <v>0</v>
      </c>
      <c r="E369" s="3">
        <f>IF(OR(INDEX($J$2:$J$1001,MATCH(ROWS($I$2:I369),$I$2:$I$1001,0),1)&gt;=100000,INDEX($P$1005:$S$1005,1,MATCH(COLUMNS($P$1006:S1006),$P$1006:$S$1006,0))&gt;=100000), " ",IF(INDEX($P$2:$S$1001,MATCH(ROWS($I$2:I369),$I$2:$I$1001,0),MATCH(COLUMNS($P$1006:S1006),$P$1006:$S$1006,0)), HYPERLINK("#",""), HYPERLINK(CONCATENATE("#metadata!", ADDRESS(INDEX($K$2:$K$1001,MATCH(ROWS($I$2:I369),$I$2:$I$1001,0),0), INDEX($P$1004:$S$1004,1,MATCH(COLUMNS($P$1006:S1006),$P$1006:$S$1006,0)))),"Fix")))</f>
        <v>0</v>
      </c>
      <c r="I369">
        <v>0</v>
      </c>
      <c r="J369">
        <v>0</v>
      </c>
      <c r="K369">
        <v>0</v>
      </c>
      <c r="L369">
        <f>IF(M369,TRUE,AND(P369:S369))</f>
        <v>0</v>
      </c>
      <c r="M369">
        <f>COUNTBLANK(metadata!B369:E369)=COLUMNS(metadata!B369:E369)</f>
        <v>0</v>
      </c>
      <c r="N369">
        <v>0</v>
      </c>
      <c r="P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Q369">
        <f>AND(IF(metadata!C369="",FALSE,TRUE),exact(metadata!C369,"other"))</f>
        <v>0</v>
      </c>
      <c r="R369">
        <f>AND(IF(metadata!D369="",FALSE,TRUE),exact(metadata!D369,"metagenome"))</f>
        <v>0</v>
      </c>
      <c r="S369">
        <f>AND(IF(metadata!E369="",FALSE,TRUE),exact(metadata!E369,"256318"))</f>
        <v>0</v>
      </c>
    </row>
    <row r="370" spans="1:19">
      <c r="A370" s="4">
        <f>IF(B370=" "," ",HYPERLINK(CONCATENATE("#metadata!",ADDRESS(INDEX($K$2:$K$1001,MATCH(ROWS($I$2:I370),$I$2:$I$1001,0),0),1)),INDEX($N$2:$N$1001,MATCH(ROWS($I$2:I370),$I$2:$I$1001,0),0)))</f>
        <v>0</v>
      </c>
      <c r="B370" s="3">
        <f>IF(OR(INDEX($J$2:$J$1001,MATCH(ROWS($I$2:I370),$I$2:$I$1001,0),1)&gt;=100000,INDEX($P$1005:$S$1005,1,MATCH(COLUMNS($P$1006:P1006),$P$1006:$S$1006,0))&gt;=100000), " ",IF(INDEX($P$2:$S$1001,MATCH(ROWS($I$2:I370),$I$2:$I$1001,0),MATCH(COLUMNS($P$1006:P1006),$P$1006:$S$1006,0)), HYPERLINK("#",""), HYPERLINK(CONCATENATE("#metadata!", ADDRESS(INDEX($K$2:$K$1001,MATCH(ROWS($I$2:I370),$I$2:$I$1001,0),0), INDEX($P$1004:$S$1004,1,MATCH(COLUMNS($P$1006:P1006),$P$1006:$S$1006,0)))),"Fix")))</f>
        <v>0</v>
      </c>
      <c r="C370" s="3">
        <f>IF(OR(INDEX($J$2:$J$1001,MATCH(ROWS($I$2:I370),$I$2:$I$1001,0),1)&gt;=100000,INDEX($P$1005:$S$1005,1,MATCH(COLUMNS($P$1006:Q1006),$P$1006:$S$1006,0))&gt;=100000), " ",IF(INDEX($P$2:$S$1001,MATCH(ROWS($I$2:I370),$I$2:$I$1001,0),MATCH(COLUMNS($P$1006:Q1006),$P$1006:$S$1006,0)), HYPERLINK("#",""), HYPERLINK(CONCATENATE("#metadata!", ADDRESS(INDEX($K$2:$K$1001,MATCH(ROWS($I$2:I370),$I$2:$I$1001,0),0), INDEX($P$1004:$S$1004,1,MATCH(COLUMNS($P$1006:Q1006),$P$1006:$S$1006,0)))),"Fix")))</f>
        <v>0</v>
      </c>
      <c r="D370" s="3">
        <f>IF(OR(INDEX($J$2:$J$1001,MATCH(ROWS($I$2:I370),$I$2:$I$1001,0),1)&gt;=100000,INDEX($P$1005:$S$1005,1,MATCH(COLUMNS($P$1006:R1006),$P$1006:$S$1006,0))&gt;=100000), " ",IF(INDEX($P$2:$S$1001,MATCH(ROWS($I$2:I370),$I$2:$I$1001,0),MATCH(COLUMNS($P$1006:R1006),$P$1006:$S$1006,0)), HYPERLINK("#",""), HYPERLINK(CONCATENATE("#metadata!", ADDRESS(INDEX($K$2:$K$1001,MATCH(ROWS($I$2:I370),$I$2:$I$1001,0),0), INDEX($P$1004:$S$1004,1,MATCH(COLUMNS($P$1006:R1006),$P$1006:$S$1006,0)))),"Fix")))</f>
        <v>0</v>
      </c>
      <c r="E370" s="3">
        <f>IF(OR(INDEX($J$2:$J$1001,MATCH(ROWS($I$2:I370),$I$2:$I$1001,0),1)&gt;=100000,INDEX($P$1005:$S$1005,1,MATCH(COLUMNS($P$1006:S1006),$P$1006:$S$1006,0))&gt;=100000), " ",IF(INDEX($P$2:$S$1001,MATCH(ROWS($I$2:I370),$I$2:$I$1001,0),MATCH(COLUMNS($P$1006:S1006),$P$1006:$S$1006,0)), HYPERLINK("#",""), HYPERLINK(CONCATENATE("#metadata!", ADDRESS(INDEX($K$2:$K$1001,MATCH(ROWS($I$2:I370),$I$2:$I$1001,0),0), INDEX($P$1004:$S$1004,1,MATCH(COLUMNS($P$1006:S1006),$P$1006:$S$1006,0)))),"Fix")))</f>
        <v>0</v>
      </c>
      <c r="I370">
        <v>0</v>
      </c>
      <c r="J370">
        <v>0</v>
      </c>
      <c r="K370">
        <v>0</v>
      </c>
      <c r="L370">
        <f>IF(M370,TRUE,AND(P370:S370))</f>
        <v>0</v>
      </c>
      <c r="M370">
        <f>COUNTBLANK(metadata!B370:E370)=COLUMNS(metadata!B370:E370)</f>
        <v>0</v>
      </c>
      <c r="N370">
        <v>0</v>
      </c>
      <c r="P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Q370">
        <f>AND(IF(metadata!C370="",FALSE,TRUE),exact(metadata!C370,"other"))</f>
        <v>0</v>
      </c>
      <c r="R370">
        <f>AND(IF(metadata!D370="",FALSE,TRUE),exact(metadata!D370,"metagenome"))</f>
        <v>0</v>
      </c>
      <c r="S370">
        <f>AND(IF(metadata!E370="",FALSE,TRUE),exact(metadata!E370,"256318"))</f>
        <v>0</v>
      </c>
    </row>
    <row r="371" spans="1:19">
      <c r="A371" s="4">
        <f>IF(B371=" "," ",HYPERLINK(CONCATENATE("#metadata!",ADDRESS(INDEX($K$2:$K$1001,MATCH(ROWS($I$2:I371),$I$2:$I$1001,0),0),1)),INDEX($N$2:$N$1001,MATCH(ROWS($I$2:I371),$I$2:$I$1001,0),0)))</f>
        <v>0</v>
      </c>
      <c r="B371" s="3">
        <f>IF(OR(INDEX($J$2:$J$1001,MATCH(ROWS($I$2:I371),$I$2:$I$1001,0),1)&gt;=100000,INDEX($P$1005:$S$1005,1,MATCH(COLUMNS($P$1006:P1006),$P$1006:$S$1006,0))&gt;=100000), " ",IF(INDEX($P$2:$S$1001,MATCH(ROWS($I$2:I371),$I$2:$I$1001,0),MATCH(COLUMNS($P$1006:P1006),$P$1006:$S$1006,0)), HYPERLINK("#",""), HYPERLINK(CONCATENATE("#metadata!", ADDRESS(INDEX($K$2:$K$1001,MATCH(ROWS($I$2:I371),$I$2:$I$1001,0),0), INDEX($P$1004:$S$1004,1,MATCH(COLUMNS($P$1006:P1006),$P$1006:$S$1006,0)))),"Fix")))</f>
        <v>0</v>
      </c>
      <c r="C371" s="3">
        <f>IF(OR(INDEX($J$2:$J$1001,MATCH(ROWS($I$2:I371),$I$2:$I$1001,0),1)&gt;=100000,INDEX($P$1005:$S$1005,1,MATCH(COLUMNS($P$1006:Q1006),$P$1006:$S$1006,0))&gt;=100000), " ",IF(INDEX($P$2:$S$1001,MATCH(ROWS($I$2:I371),$I$2:$I$1001,0),MATCH(COLUMNS($P$1006:Q1006),$P$1006:$S$1006,0)), HYPERLINK("#",""), HYPERLINK(CONCATENATE("#metadata!", ADDRESS(INDEX($K$2:$K$1001,MATCH(ROWS($I$2:I371),$I$2:$I$1001,0),0), INDEX($P$1004:$S$1004,1,MATCH(COLUMNS($P$1006:Q1006),$P$1006:$S$1006,0)))),"Fix")))</f>
        <v>0</v>
      </c>
      <c r="D371" s="3">
        <f>IF(OR(INDEX($J$2:$J$1001,MATCH(ROWS($I$2:I371),$I$2:$I$1001,0),1)&gt;=100000,INDEX($P$1005:$S$1005,1,MATCH(COLUMNS($P$1006:R1006),$P$1006:$S$1006,0))&gt;=100000), " ",IF(INDEX($P$2:$S$1001,MATCH(ROWS($I$2:I371),$I$2:$I$1001,0),MATCH(COLUMNS($P$1006:R1006),$P$1006:$S$1006,0)), HYPERLINK("#",""), HYPERLINK(CONCATENATE("#metadata!", ADDRESS(INDEX($K$2:$K$1001,MATCH(ROWS($I$2:I371),$I$2:$I$1001,0),0), INDEX($P$1004:$S$1004,1,MATCH(COLUMNS($P$1006:R1006),$P$1006:$S$1006,0)))),"Fix")))</f>
        <v>0</v>
      </c>
      <c r="E371" s="3">
        <f>IF(OR(INDEX($J$2:$J$1001,MATCH(ROWS($I$2:I371),$I$2:$I$1001,0),1)&gt;=100000,INDEX($P$1005:$S$1005,1,MATCH(COLUMNS($P$1006:S1006),$P$1006:$S$1006,0))&gt;=100000), " ",IF(INDEX($P$2:$S$1001,MATCH(ROWS($I$2:I371),$I$2:$I$1001,0),MATCH(COLUMNS($P$1006:S1006),$P$1006:$S$1006,0)), HYPERLINK("#",""), HYPERLINK(CONCATENATE("#metadata!", ADDRESS(INDEX($K$2:$K$1001,MATCH(ROWS($I$2:I371),$I$2:$I$1001,0),0), INDEX($P$1004:$S$1004,1,MATCH(COLUMNS($P$1006:S1006),$P$1006:$S$1006,0)))),"Fix")))</f>
        <v>0</v>
      </c>
      <c r="I371">
        <v>0</v>
      </c>
      <c r="J371">
        <v>0</v>
      </c>
      <c r="K371">
        <v>0</v>
      </c>
      <c r="L371">
        <f>IF(M371,TRUE,AND(P371:S371))</f>
        <v>0</v>
      </c>
      <c r="M371">
        <f>COUNTBLANK(metadata!B371:E371)=COLUMNS(metadata!B371:E371)</f>
        <v>0</v>
      </c>
      <c r="N371">
        <v>0</v>
      </c>
      <c r="P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Q371">
        <f>AND(IF(metadata!C371="",FALSE,TRUE),exact(metadata!C371,"other"))</f>
        <v>0</v>
      </c>
      <c r="R371">
        <f>AND(IF(metadata!D371="",FALSE,TRUE),exact(metadata!D371,"metagenome"))</f>
        <v>0</v>
      </c>
      <c r="S371">
        <f>AND(IF(metadata!E371="",FALSE,TRUE),exact(metadata!E371,"256318"))</f>
        <v>0</v>
      </c>
    </row>
    <row r="372" spans="1:19">
      <c r="A372" s="4">
        <f>IF(B372=" "," ",HYPERLINK(CONCATENATE("#metadata!",ADDRESS(INDEX($K$2:$K$1001,MATCH(ROWS($I$2:I372),$I$2:$I$1001,0),0),1)),INDEX($N$2:$N$1001,MATCH(ROWS($I$2:I372),$I$2:$I$1001,0),0)))</f>
        <v>0</v>
      </c>
      <c r="B372" s="3">
        <f>IF(OR(INDEX($J$2:$J$1001,MATCH(ROWS($I$2:I372),$I$2:$I$1001,0),1)&gt;=100000,INDEX($P$1005:$S$1005,1,MATCH(COLUMNS($P$1006:P1006),$P$1006:$S$1006,0))&gt;=100000), " ",IF(INDEX($P$2:$S$1001,MATCH(ROWS($I$2:I372),$I$2:$I$1001,0),MATCH(COLUMNS($P$1006:P1006),$P$1006:$S$1006,0)), HYPERLINK("#",""), HYPERLINK(CONCATENATE("#metadata!", ADDRESS(INDEX($K$2:$K$1001,MATCH(ROWS($I$2:I372),$I$2:$I$1001,0),0), INDEX($P$1004:$S$1004,1,MATCH(COLUMNS($P$1006:P1006),$P$1006:$S$1006,0)))),"Fix")))</f>
        <v>0</v>
      </c>
      <c r="C372" s="3">
        <f>IF(OR(INDEX($J$2:$J$1001,MATCH(ROWS($I$2:I372),$I$2:$I$1001,0),1)&gt;=100000,INDEX($P$1005:$S$1005,1,MATCH(COLUMNS($P$1006:Q1006),$P$1006:$S$1006,0))&gt;=100000), " ",IF(INDEX($P$2:$S$1001,MATCH(ROWS($I$2:I372),$I$2:$I$1001,0),MATCH(COLUMNS($P$1006:Q1006),$P$1006:$S$1006,0)), HYPERLINK("#",""), HYPERLINK(CONCATENATE("#metadata!", ADDRESS(INDEX($K$2:$K$1001,MATCH(ROWS($I$2:I372),$I$2:$I$1001,0),0), INDEX($P$1004:$S$1004,1,MATCH(COLUMNS($P$1006:Q1006),$P$1006:$S$1006,0)))),"Fix")))</f>
        <v>0</v>
      </c>
      <c r="D372" s="3">
        <f>IF(OR(INDEX($J$2:$J$1001,MATCH(ROWS($I$2:I372),$I$2:$I$1001,0),1)&gt;=100000,INDEX($P$1005:$S$1005,1,MATCH(COLUMNS($P$1006:R1006),$P$1006:$S$1006,0))&gt;=100000), " ",IF(INDEX($P$2:$S$1001,MATCH(ROWS($I$2:I372),$I$2:$I$1001,0),MATCH(COLUMNS($P$1006:R1006),$P$1006:$S$1006,0)), HYPERLINK("#",""), HYPERLINK(CONCATENATE("#metadata!", ADDRESS(INDEX($K$2:$K$1001,MATCH(ROWS($I$2:I372),$I$2:$I$1001,0),0), INDEX($P$1004:$S$1004,1,MATCH(COLUMNS($P$1006:R1006),$P$1006:$S$1006,0)))),"Fix")))</f>
        <v>0</v>
      </c>
      <c r="E372" s="3">
        <f>IF(OR(INDEX($J$2:$J$1001,MATCH(ROWS($I$2:I372),$I$2:$I$1001,0),1)&gt;=100000,INDEX($P$1005:$S$1005,1,MATCH(COLUMNS($P$1006:S1006),$P$1006:$S$1006,0))&gt;=100000), " ",IF(INDEX($P$2:$S$1001,MATCH(ROWS($I$2:I372),$I$2:$I$1001,0),MATCH(COLUMNS($P$1006:S1006),$P$1006:$S$1006,0)), HYPERLINK("#",""), HYPERLINK(CONCATENATE("#metadata!", ADDRESS(INDEX($K$2:$K$1001,MATCH(ROWS($I$2:I372),$I$2:$I$1001,0),0), INDEX($P$1004:$S$1004,1,MATCH(COLUMNS($P$1006:S1006),$P$1006:$S$1006,0)))),"Fix")))</f>
        <v>0</v>
      </c>
      <c r="I372">
        <v>0</v>
      </c>
      <c r="J372">
        <v>0</v>
      </c>
      <c r="K372">
        <v>0</v>
      </c>
      <c r="L372">
        <f>IF(M372,TRUE,AND(P372:S372))</f>
        <v>0</v>
      </c>
      <c r="M372">
        <f>COUNTBLANK(metadata!B372:E372)=COLUMNS(metadata!B372:E372)</f>
        <v>0</v>
      </c>
      <c r="N372">
        <v>0</v>
      </c>
      <c r="P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Q372">
        <f>AND(IF(metadata!C372="",FALSE,TRUE),exact(metadata!C372,"other"))</f>
        <v>0</v>
      </c>
      <c r="R372">
        <f>AND(IF(metadata!D372="",FALSE,TRUE),exact(metadata!D372,"metagenome"))</f>
        <v>0</v>
      </c>
      <c r="S372">
        <f>AND(IF(metadata!E372="",FALSE,TRUE),exact(metadata!E372,"256318"))</f>
        <v>0</v>
      </c>
    </row>
    <row r="373" spans="1:19">
      <c r="A373" s="4">
        <f>IF(B373=" "," ",HYPERLINK(CONCATENATE("#metadata!",ADDRESS(INDEX($K$2:$K$1001,MATCH(ROWS($I$2:I373),$I$2:$I$1001,0),0),1)),INDEX($N$2:$N$1001,MATCH(ROWS($I$2:I373),$I$2:$I$1001,0),0)))</f>
        <v>0</v>
      </c>
      <c r="B373" s="3">
        <f>IF(OR(INDEX($J$2:$J$1001,MATCH(ROWS($I$2:I373),$I$2:$I$1001,0),1)&gt;=100000,INDEX($P$1005:$S$1005,1,MATCH(COLUMNS($P$1006:P1006),$P$1006:$S$1006,0))&gt;=100000), " ",IF(INDEX($P$2:$S$1001,MATCH(ROWS($I$2:I373),$I$2:$I$1001,0),MATCH(COLUMNS($P$1006:P1006),$P$1006:$S$1006,0)), HYPERLINK("#",""), HYPERLINK(CONCATENATE("#metadata!", ADDRESS(INDEX($K$2:$K$1001,MATCH(ROWS($I$2:I373),$I$2:$I$1001,0),0), INDEX($P$1004:$S$1004,1,MATCH(COLUMNS($P$1006:P1006),$P$1006:$S$1006,0)))),"Fix")))</f>
        <v>0</v>
      </c>
      <c r="C373" s="3">
        <f>IF(OR(INDEX($J$2:$J$1001,MATCH(ROWS($I$2:I373),$I$2:$I$1001,0),1)&gt;=100000,INDEX($P$1005:$S$1005,1,MATCH(COLUMNS($P$1006:Q1006),$P$1006:$S$1006,0))&gt;=100000), " ",IF(INDEX($P$2:$S$1001,MATCH(ROWS($I$2:I373),$I$2:$I$1001,0),MATCH(COLUMNS($P$1006:Q1006),$P$1006:$S$1006,0)), HYPERLINK("#",""), HYPERLINK(CONCATENATE("#metadata!", ADDRESS(INDEX($K$2:$K$1001,MATCH(ROWS($I$2:I373),$I$2:$I$1001,0),0), INDEX($P$1004:$S$1004,1,MATCH(COLUMNS($P$1006:Q1006),$P$1006:$S$1006,0)))),"Fix")))</f>
        <v>0</v>
      </c>
      <c r="D373" s="3">
        <f>IF(OR(INDEX($J$2:$J$1001,MATCH(ROWS($I$2:I373),$I$2:$I$1001,0),1)&gt;=100000,INDEX($P$1005:$S$1005,1,MATCH(COLUMNS($P$1006:R1006),$P$1006:$S$1006,0))&gt;=100000), " ",IF(INDEX($P$2:$S$1001,MATCH(ROWS($I$2:I373),$I$2:$I$1001,0),MATCH(COLUMNS($P$1006:R1006),$P$1006:$S$1006,0)), HYPERLINK("#",""), HYPERLINK(CONCATENATE("#metadata!", ADDRESS(INDEX($K$2:$K$1001,MATCH(ROWS($I$2:I373),$I$2:$I$1001,0),0), INDEX($P$1004:$S$1004,1,MATCH(COLUMNS($P$1006:R1006),$P$1006:$S$1006,0)))),"Fix")))</f>
        <v>0</v>
      </c>
      <c r="E373" s="3">
        <f>IF(OR(INDEX($J$2:$J$1001,MATCH(ROWS($I$2:I373),$I$2:$I$1001,0),1)&gt;=100000,INDEX($P$1005:$S$1005,1,MATCH(COLUMNS($P$1006:S1006),$P$1006:$S$1006,0))&gt;=100000), " ",IF(INDEX($P$2:$S$1001,MATCH(ROWS($I$2:I373),$I$2:$I$1001,0),MATCH(COLUMNS($P$1006:S1006),$P$1006:$S$1006,0)), HYPERLINK("#",""), HYPERLINK(CONCATENATE("#metadata!", ADDRESS(INDEX($K$2:$K$1001,MATCH(ROWS($I$2:I373),$I$2:$I$1001,0),0), INDEX($P$1004:$S$1004,1,MATCH(COLUMNS($P$1006:S1006),$P$1006:$S$1006,0)))),"Fix")))</f>
        <v>0</v>
      </c>
      <c r="I373">
        <v>0</v>
      </c>
      <c r="J373">
        <v>0</v>
      </c>
      <c r="K373">
        <v>0</v>
      </c>
      <c r="L373">
        <f>IF(M373,TRUE,AND(P373:S373))</f>
        <v>0</v>
      </c>
      <c r="M373">
        <f>COUNTBLANK(metadata!B373:E373)=COLUMNS(metadata!B373:E373)</f>
        <v>0</v>
      </c>
      <c r="N373">
        <v>0</v>
      </c>
      <c r="P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Q373">
        <f>AND(IF(metadata!C373="",FALSE,TRUE),exact(metadata!C373,"other"))</f>
        <v>0</v>
      </c>
      <c r="R373">
        <f>AND(IF(metadata!D373="",FALSE,TRUE),exact(metadata!D373,"metagenome"))</f>
        <v>0</v>
      </c>
      <c r="S373">
        <f>AND(IF(metadata!E373="",FALSE,TRUE),exact(metadata!E373,"256318"))</f>
        <v>0</v>
      </c>
    </row>
    <row r="374" spans="1:19">
      <c r="A374" s="4">
        <f>IF(B374=" "," ",HYPERLINK(CONCATENATE("#metadata!",ADDRESS(INDEX($K$2:$K$1001,MATCH(ROWS($I$2:I374),$I$2:$I$1001,0),0),1)),INDEX($N$2:$N$1001,MATCH(ROWS($I$2:I374),$I$2:$I$1001,0),0)))</f>
        <v>0</v>
      </c>
      <c r="B374" s="3">
        <f>IF(OR(INDEX($J$2:$J$1001,MATCH(ROWS($I$2:I374),$I$2:$I$1001,0),1)&gt;=100000,INDEX($P$1005:$S$1005,1,MATCH(COLUMNS($P$1006:P1006),$P$1006:$S$1006,0))&gt;=100000), " ",IF(INDEX($P$2:$S$1001,MATCH(ROWS($I$2:I374),$I$2:$I$1001,0),MATCH(COLUMNS($P$1006:P1006),$P$1006:$S$1006,0)), HYPERLINK("#",""), HYPERLINK(CONCATENATE("#metadata!", ADDRESS(INDEX($K$2:$K$1001,MATCH(ROWS($I$2:I374),$I$2:$I$1001,0),0), INDEX($P$1004:$S$1004,1,MATCH(COLUMNS($P$1006:P1006),$P$1006:$S$1006,0)))),"Fix")))</f>
        <v>0</v>
      </c>
      <c r="C374" s="3">
        <f>IF(OR(INDEX($J$2:$J$1001,MATCH(ROWS($I$2:I374),$I$2:$I$1001,0),1)&gt;=100000,INDEX($P$1005:$S$1005,1,MATCH(COLUMNS($P$1006:Q1006),$P$1006:$S$1006,0))&gt;=100000), " ",IF(INDEX($P$2:$S$1001,MATCH(ROWS($I$2:I374),$I$2:$I$1001,0),MATCH(COLUMNS($P$1006:Q1006),$P$1006:$S$1006,0)), HYPERLINK("#",""), HYPERLINK(CONCATENATE("#metadata!", ADDRESS(INDEX($K$2:$K$1001,MATCH(ROWS($I$2:I374),$I$2:$I$1001,0),0), INDEX($P$1004:$S$1004,1,MATCH(COLUMNS($P$1006:Q1006),$P$1006:$S$1006,0)))),"Fix")))</f>
        <v>0</v>
      </c>
      <c r="D374" s="3">
        <f>IF(OR(INDEX($J$2:$J$1001,MATCH(ROWS($I$2:I374),$I$2:$I$1001,0),1)&gt;=100000,INDEX($P$1005:$S$1005,1,MATCH(COLUMNS($P$1006:R1006),$P$1006:$S$1006,0))&gt;=100000), " ",IF(INDEX($P$2:$S$1001,MATCH(ROWS($I$2:I374),$I$2:$I$1001,0),MATCH(COLUMNS($P$1006:R1006),$P$1006:$S$1006,0)), HYPERLINK("#",""), HYPERLINK(CONCATENATE("#metadata!", ADDRESS(INDEX($K$2:$K$1001,MATCH(ROWS($I$2:I374),$I$2:$I$1001,0),0), INDEX($P$1004:$S$1004,1,MATCH(COLUMNS($P$1006:R1006),$P$1006:$S$1006,0)))),"Fix")))</f>
        <v>0</v>
      </c>
      <c r="E374" s="3">
        <f>IF(OR(INDEX($J$2:$J$1001,MATCH(ROWS($I$2:I374),$I$2:$I$1001,0),1)&gt;=100000,INDEX($P$1005:$S$1005,1,MATCH(COLUMNS($P$1006:S1006),$P$1006:$S$1006,0))&gt;=100000), " ",IF(INDEX($P$2:$S$1001,MATCH(ROWS($I$2:I374),$I$2:$I$1001,0),MATCH(COLUMNS($P$1006:S1006),$P$1006:$S$1006,0)), HYPERLINK("#",""), HYPERLINK(CONCATENATE("#metadata!", ADDRESS(INDEX($K$2:$K$1001,MATCH(ROWS($I$2:I374),$I$2:$I$1001,0),0), INDEX($P$1004:$S$1004,1,MATCH(COLUMNS($P$1006:S1006),$P$1006:$S$1006,0)))),"Fix")))</f>
        <v>0</v>
      </c>
      <c r="I374">
        <v>0</v>
      </c>
      <c r="J374">
        <v>0</v>
      </c>
      <c r="K374">
        <v>0</v>
      </c>
      <c r="L374">
        <f>IF(M374,TRUE,AND(P374:S374))</f>
        <v>0</v>
      </c>
      <c r="M374">
        <f>COUNTBLANK(metadata!B374:E374)=COLUMNS(metadata!B374:E374)</f>
        <v>0</v>
      </c>
      <c r="N374">
        <v>0</v>
      </c>
      <c r="P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Q374">
        <f>AND(IF(metadata!C374="",FALSE,TRUE),exact(metadata!C374,"other"))</f>
        <v>0</v>
      </c>
      <c r="R374">
        <f>AND(IF(metadata!D374="",FALSE,TRUE),exact(metadata!D374,"metagenome"))</f>
        <v>0</v>
      </c>
      <c r="S374">
        <f>AND(IF(metadata!E374="",FALSE,TRUE),exact(metadata!E374,"256318"))</f>
        <v>0</v>
      </c>
    </row>
    <row r="375" spans="1:19">
      <c r="A375" s="4">
        <f>IF(B375=" "," ",HYPERLINK(CONCATENATE("#metadata!",ADDRESS(INDEX($K$2:$K$1001,MATCH(ROWS($I$2:I375),$I$2:$I$1001,0),0),1)),INDEX($N$2:$N$1001,MATCH(ROWS($I$2:I375),$I$2:$I$1001,0),0)))</f>
        <v>0</v>
      </c>
      <c r="B375" s="3">
        <f>IF(OR(INDEX($J$2:$J$1001,MATCH(ROWS($I$2:I375),$I$2:$I$1001,0),1)&gt;=100000,INDEX($P$1005:$S$1005,1,MATCH(COLUMNS($P$1006:P1006),$P$1006:$S$1006,0))&gt;=100000), " ",IF(INDEX($P$2:$S$1001,MATCH(ROWS($I$2:I375),$I$2:$I$1001,0),MATCH(COLUMNS($P$1006:P1006),$P$1006:$S$1006,0)), HYPERLINK("#",""), HYPERLINK(CONCATENATE("#metadata!", ADDRESS(INDEX($K$2:$K$1001,MATCH(ROWS($I$2:I375),$I$2:$I$1001,0),0), INDEX($P$1004:$S$1004,1,MATCH(COLUMNS($P$1006:P1006),$P$1006:$S$1006,0)))),"Fix")))</f>
        <v>0</v>
      </c>
      <c r="C375" s="3">
        <f>IF(OR(INDEX($J$2:$J$1001,MATCH(ROWS($I$2:I375),$I$2:$I$1001,0),1)&gt;=100000,INDEX($P$1005:$S$1005,1,MATCH(COLUMNS($P$1006:Q1006),$P$1006:$S$1006,0))&gt;=100000), " ",IF(INDEX($P$2:$S$1001,MATCH(ROWS($I$2:I375),$I$2:$I$1001,0),MATCH(COLUMNS($P$1006:Q1006),$P$1006:$S$1006,0)), HYPERLINK("#",""), HYPERLINK(CONCATENATE("#metadata!", ADDRESS(INDEX($K$2:$K$1001,MATCH(ROWS($I$2:I375),$I$2:$I$1001,0),0), INDEX($P$1004:$S$1004,1,MATCH(COLUMNS($P$1006:Q1006),$P$1006:$S$1006,0)))),"Fix")))</f>
        <v>0</v>
      </c>
      <c r="D375" s="3">
        <f>IF(OR(INDEX($J$2:$J$1001,MATCH(ROWS($I$2:I375),$I$2:$I$1001,0),1)&gt;=100000,INDEX($P$1005:$S$1005,1,MATCH(COLUMNS($P$1006:R1006),$P$1006:$S$1006,0))&gt;=100000), " ",IF(INDEX($P$2:$S$1001,MATCH(ROWS($I$2:I375),$I$2:$I$1001,0),MATCH(COLUMNS($P$1006:R1006),$P$1006:$S$1006,0)), HYPERLINK("#",""), HYPERLINK(CONCATENATE("#metadata!", ADDRESS(INDEX($K$2:$K$1001,MATCH(ROWS($I$2:I375),$I$2:$I$1001,0),0), INDEX($P$1004:$S$1004,1,MATCH(COLUMNS($P$1006:R1006),$P$1006:$S$1006,0)))),"Fix")))</f>
        <v>0</v>
      </c>
      <c r="E375" s="3">
        <f>IF(OR(INDEX($J$2:$J$1001,MATCH(ROWS($I$2:I375),$I$2:$I$1001,0),1)&gt;=100000,INDEX($P$1005:$S$1005,1,MATCH(COLUMNS($P$1006:S1006),$P$1006:$S$1006,0))&gt;=100000), " ",IF(INDEX($P$2:$S$1001,MATCH(ROWS($I$2:I375),$I$2:$I$1001,0),MATCH(COLUMNS($P$1006:S1006),$P$1006:$S$1006,0)), HYPERLINK("#",""), HYPERLINK(CONCATENATE("#metadata!", ADDRESS(INDEX($K$2:$K$1001,MATCH(ROWS($I$2:I375),$I$2:$I$1001,0),0), INDEX($P$1004:$S$1004,1,MATCH(COLUMNS($P$1006:S1006),$P$1006:$S$1006,0)))),"Fix")))</f>
        <v>0</v>
      </c>
      <c r="I375">
        <v>0</v>
      </c>
      <c r="J375">
        <v>0</v>
      </c>
      <c r="K375">
        <v>0</v>
      </c>
      <c r="L375">
        <f>IF(M375,TRUE,AND(P375:S375))</f>
        <v>0</v>
      </c>
      <c r="M375">
        <f>COUNTBLANK(metadata!B375:E375)=COLUMNS(metadata!B375:E375)</f>
        <v>0</v>
      </c>
      <c r="N375">
        <v>0</v>
      </c>
      <c r="P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Q375">
        <f>AND(IF(metadata!C375="",FALSE,TRUE),exact(metadata!C375,"other"))</f>
        <v>0</v>
      </c>
      <c r="R375">
        <f>AND(IF(metadata!D375="",FALSE,TRUE),exact(metadata!D375,"metagenome"))</f>
        <v>0</v>
      </c>
      <c r="S375">
        <f>AND(IF(metadata!E375="",FALSE,TRUE),exact(metadata!E375,"256318"))</f>
        <v>0</v>
      </c>
    </row>
    <row r="376" spans="1:19">
      <c r="A376" s="4">
        <f>IF(B376=" "," ",HYPERLINK(CONCATENATE("#metadata!",ADDRESS(INDEX($K$2:$K$1001,MATCH(ROWS($I$2:I376),$I$2:$I$1001,0),0),1)),INDEX($N$2:$N$1001,MATCH(ROWS($I$2:I376),$I$2:$I$1001,0),0)))</f>
        <v>0</v>
      </c>
      <c r="B376" s="3">
        <f>IF(OR(INDEX($J$2:$J$1001,MATCH(ROWS($I$2:I376),$I$2:$I$1001,0),1)&gt;=100000,INDEX($P$1005:$S$1005,1,MATCH(COLUMNS($P$1006:P1006),$P$1006:$S$1006,0))&gt;=100000), " ",IF(INDEX($P$2:$S$1001,MATCH(ROWS($I$2:I376),$I$2:$I$1001,0),MATCH(COLUMNS($P$1006:P1006),$P$1006:$S$1006,0)), HYPERLINK("#",""), HYPERLINK(CONCATENATE("#metadata!", ADDRESS(INDEX($K$2:$K$1001,MATCH(ROWS($I$2:I376),$I$2:$I$1001,0),0), INDEX($P$1004:$S$1004,1,MATCH(COLUMNS($P$1006:P1006),$P$1006:$S$1006,0)))),"Fix")))</f>
        <v>0</v>
      </c>
      <c r="C376" s="3">
        <f>IF(OR(INDEX($J$2:$J$1001,MATCH(ROWS($I$2:I376),$I$2:$I$1001,0),1)&gt;=100000,INDEX($P$1005:$S$1005,1,MATCH(COLUMNS($P$1006:Q1006),$P$1006:$S$1006,0))&gt;=100000), " ",IF(INDEX($P$2:$S$1001,MATCH(ROWS($I$2:I376),$I$2:$I$1001,0),MATCH(COLUMNS($P$1006:Q1006),$P$1006:$S$1006,0)), HYPERLINK("#",""), HYPERLINK(CONCATENATE("#metadata!", ADDRESS(INDEX($K$2:$K$1001,MATCH(ROWS($I$2:I376),$I$2:$I$1001,0),0), INDEX($P$1004:$S$1004,1,MATCH(COLUMNS($P$1006:Q1006),$P$1006:$S$1006,0)))),"Fix")))</f>
        <v>0</v>
      </c>
      <c r="D376" s="3">
        <f>IF(OR(INDEX($J$2:$J$1001,MATCH(ROWS($I$2:I376),$I$2:$I$1001,0),1)&gt;=100000,INDEX($P$1005:$S$1005,1,MATCH(COLUMNS($P$1006:R1006),$P$1006:$S$1006,0))&gt;=100000), " ",IF(INDEX($P$2:$S$1001,MATCH(ROWS($I$2:I376),$I$2:$I$1001,0),MATCH(COLUMNS($P$1006:R1006),$P$1006:$S$1006,0)), HYPERLINK("#",""), HYPERLINK(CONCATENATE("#metadata!", ADDRESS(INDEX($K$2:$K$1001,MATCH(ROWS($I$2:I376),$I$2:$I$1001,0),0), INDEX($P$1004:$S$1004,1,MATCH(COLUMNS($P$1006:R1006),$P$1006:$S$1006,0)))),"Fix")))</f>
        <v>0</v>
      </c>
      <c r="E376" s="3">
        <f>IF(OR(INDEX($J$2:$J$1001,MATCH(ROWS($I$2:I376),$I$2:$I$1001,0),1)&gt;=100000,INDEX($P$1005:$S$1005,1,MATCH(COLUMNS($P$1006:S1006),$P$1006:$S$1006,0))&gt;=100000), " ",IF(INDEX($P$2:$S$1001,MATCH(ROWS($I$2:I376),$I$2:$I$1001,0),MATCH(COLUMNS($P$1006:S1006),$P$1006:$S$1006,0)), HYPERLINK("#",""), HYPERLINK(CONCATENATE("#metadata!", ADDRESS(INDEX($K$2:$K$1001,MATCH(ROWS($I$2:I376),$I$2:$I$1001,0),0), INDEX($P$1004:$S$1004,1,MATCH(COLUMNS($P$1006:S1006),$P$1006:$S$1006,0)))),"Fix")))</f>
        <v>0</v>
      </c>
      <c r="I376">
        <v>0</v>
      </c>
      <c r="J376">
        <v>0</v>
      </c>
      <c r="K376">
        <v>0</v>
      </c>
      <c r="L376">
        <f>IF(M376,TRUE,AND(P376:S376))</f>
        <v>0</v>
      </c>
      <c r="M376">
        <f>COUNTBLANK(metadata!B376:E376)=COLUMNS(metadata!B376:E376)</f>
        <v>0</v>
      </c>
      <c r="N376">
        <v>0</v>
      </c>
      <c r="P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Q376">
        <f>AND(IF(metadata!C376="",FALSE,TRUE),exact(metadata!C376,"other"))</f>
        <v>0</v>
      </c>
      <c r="R376">
        <f>AND(IF(metadata!D376="",FALSE,TRUE),exact(metadata!D376,"metagenome"))</f>
        <v>0</v>
      </c>
      <c r="S376">
        <f>AND(IF(metadata!E376="",FALSE,TRUE),exact(metadata!E376,"256318"))</f>
        <v>0</v>
      </c>
    </row>
    <row r="377" spans="1:19">
      <c r="A377" s="4">
        <f>IF(B377=" "," ",HYPERLINK(CONCATENATE("#metadata!",ADDRESS(INDEX($K$2:$K$1001,MATCH(ROWS($I$2:I377),$I$2:$I$1001,0),0),1)),INDEX($N$2:$N$1001,MATCH(ROWS($I$2:I377),$I$2:$I$1001,0),0)))</f>
        <v>0</v>
      </c>
      <c r="B377" s="3">
        <f>IF(OR(INDEX($J$2:$J$1001,MATCH(ROWS($I$2:I377),$I$2:$I$1001,0),1)&gt;=100000,INDEX($P$1005:$S$1005,1,MATCH(COLUMNS($P$1006:P1006),$P$1006:$S$1006,0))&gt;=100000), " ",IF(INDEX($P$2:$S$1001,MATCH(ROWS($I$2:I377),$I$2:$I$1001,0),MATCH(COLUMNS($P$1006:P1006),$P$1006:$S$1006,0)), HYPERLINK("#",""), HYPERLINK(CONCATENATE("#metadata!", ADDRESS(INDEX($K$2:$K$1001,MATCH(ROWS($I$2:I377),$I$2:$I$1001,0),0), INDEX($P$1004:$S$1004,1,MATCH(COLUMNS($P$1006:P1006),$P$1006:$S$1006,0)))),"Fix")))</f>
        <v>0</v>
      </c>
      <c r="C377" s="3">
        <f>IF(OR(INDEX($J$2:$J$1001,MATCH(ROWS($I$2:I377),$I$2:$I$1001,0),1)&gt;=100000,INDEX($P$1005:$S$1005,1,MATCH(COLUMNS($P$1006:Q1006),$P$1006:$S$1006,0))&gt;=100000), " ",IF(INDEX($P$2:$S$1001,MATCH(ROWS($I$2:I377),$I$2:$I$1001,0),MATCH(COLUMNS($P$1006:Q1006),$P$1006:$S$1006,0)), HYPERLINK("#",""), HYPERLINK(CONCATENATE("#metadata!", ADDRESS(INDEX($K$2:$K$1001,MATCH(ROWS($I$2:I377),$I$2:$I$1001,0),0), INDEX($P$1004:$S$1004,1,MATCH(COLUMNS($P$1006:Q1006),$P$1006:$S$1006,0)))),"Fix")))</f>
        <v>0</v>
      </c>
      <c r="D377" s="3">
        <f>IF(OR(INDEX($J$2:$J$1001,MATCH(ROWS($I$2:I377),$I$2:$I$1001,0),1)&gt;=100000,INDEX($P$1005:$S$1005,1,MATCH(COLUMNS($P$1006:R1006),$P$1006:$S$1006,0))&gt;=100000), " ",IF(INDEX($P$2:$S$1001,MATCH(ROWS($I$2:I377),$I$2:$I$1001,0),MATCH(COLUMNS($P$1006:R1006),$P$1006:$S$1006,0)), HYPERLINK("#",""), HYPERLINK(CONCATENATE("#metadata!", ADDRESS(INDEX($K$2:$K$1001,MATCH(ROWS($I$2:I377),$I$2:$I$1001,0),0), INDEX($P$1004:$S$1004,1,MATCH(COLUMNS($P$1006:R1006),$P$1006:$S$1006,0)))),"Fix")))</f>
        <v>0</v>
      </c>
      <c r="E377" s="3">
        <f>IF(OR(INDEX($J$2:$J$1001,MATCH(ROWS($I$2:I377),$I$2:$I$1001,0),1)&gt;=100000,INDEX($P$1005:$S$1005,1,MATCH(COLUMNS($P$1006:S1006),$P$1006:$S$1006,0))&gt;=100000), " ",IF(INDEX($P$2:$S$1001,MATCH(ROWS($I$2:I377),$I$2:$I$1001,0),MATCH(COLUMNS($P$1006:S1006),$P$1006:$S$1006,0)), HYPERLINK("#",""), HYPERLINK(CONCATENATE("#metadata!", ADDRESS(INDEX($K$2:$K$1001,MATCH(ROWS($I$2:I377),$I$2:$I$1001,0),0), INDEX($P$1004:$S$1004,1,MATCH(COLUMNS($P$1006:S1006),$P$1006:$S$1006,0)))),"Fix")))</f>
        <v>0</v>
      </c>
      <c r="I377">
        <v>0</v>
      </c>
      <c r="J377">
        <v>0</v>
      </c>
      <c r="K377">
        <v>0</v>
      </c>
      <c r="L377">
        <f>IF(M377,TRUE,AND(P377:S377))</f>
        <v>0</v>
      </c>
      <c r="M377">
        <f>COUNTBLANK(metadata!B377:E377)=COLUMNS(metadata!B377:E377)</f>
        <v>0</v>
      </c>
      <c r="N377">
        <v>0</v>
      </c>
      <c r="P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Q377">
        <f>AND(IF(metadata!C377="",FALSE,TRUE),exact(metadata!C377,"other"))</f>
        <v>0</v>
      </c>
      <c r="R377">
        <f>AND(IF(metadata!D377="",FALSE,TRUE),exact(metadata!D377,"metagenome"))</f>
        <v>0</v>
      </c>
      <c r="S377">
        <f>AND(IF(metadata!E377="",FALSE,TRUE),exact(metadata!E377,"256318"))</f>
        <v>0</v>
      </c>
    </row>
    <row r="378" spans="1:19">
      <c r="A378" s="4">
        <f>IF(B378=" "," ",HYPERLINK(CONCATENATE("#metadata!",ADDRESS(INDEX($K$2:$K$1001,MATCH(ROWS($I$2:I378),$I$2:$I$1001,0),0),1)),INDEX($N$2:$N$1001,MATCH(ROWS($I$2:I378),$I$2:$I$1001,0),0)))</f>
        <v>0</v>
      </c>
      <c r="B378" s="3">
        <f>IF(OR(INDEX($J$2:$J$1001,MATCH(ROWS($I$2:I378),$I$2:$I$1001,0),1)&gt;=100000,INDEX($P$1005:$S$1005,1,MATCH(COLUMNS($P$1006:P1006),$P$1006:$S$1006,0))&gt;=100000), " ",IF(INDEX($P$2:$S$1001,MATCH(ROWS($I$2:I378),$I$2:$I$1001,0),MATCH(COLUMNS($P$1006:P1006),$P$1006:$S$1006,0)), HYPERLINK("#",""), HYPERLINK(CONCATENATE("#metadata!", ADDRESS(INDEX($K$2:$K$1001,MATCH(ROWS($I$2:I378),$I$2:$I$1001,0),0), INDEX($P$1004:$S$1004,1,MATCH(COLUMNS($P$1006:P1006),$P$1006:$S$1006,0)))),"Fix")))</f>
        <v>0</v>
      </c>
      <c r="C378" s="3">
        <f>IF(OR(INDEX($J$2:$J$1001,MATCH(ROWS($I$2:I378),$I$2:$I$1001,0),1)&gt;=100000,INDEX($P$1005:$S$1005,1,MATCH(COLUMNS($P$1006:Q1006),$P$1006:$S$1006,0))&gt;=100000), " ",IF(INDEX($P$2:$S$1001,MATCH(ROWS($I$2:I378),$I$2:$I$1001,0),MATCH(COLUMNS($P$1006:Q1006),$P$1006:$S$1006,0)), HYPERLINK("#",""), HYPERLINK(CONCATENATE("#metadata!", ADDRESS(INDEX($K$2:$K$1001,MATCH(ROWS($I$2:I378),$I$2:$I$1001,0),0), INDEX($P$1004:$S$1004,1,MATCH(COLUMNS($P$1006:Q1006),$P$1006:$S$1006,0)))),"Fix")))</f>
        <v>0</v>
      </c>
      <c r="D378" s="3">
        <f>IF(OR(INDEX($J$2:$J$1001,MATCH(ROWS($I$2:I378),$I$2:$I$1001,0),1)&gt;=100000,INDEX($P$1005:$S$1005,1,MATCH(COLUMNS($P$1006:R1006),$P$1006:$S$1006,0))&gt;=100000), " ",IF(INDEX($P$2:$S$1001,MATCH(ROWS($I$2:I378),$I$2:$I$1001,0),MATCH(COLUMNS($P$1006:R1006),$P$1006:$S$1006,0)), HYPERLINK("#",""), HYPERLINK(CONCATENATE("#metadata!", ADDRESS(INDEX($K$2:$K$1001,MATCH(ROWS($I$2:I378),$I$2:$I$1001,0),0), INDEX($P$1004:$S$1004,1,MATCH(COLUMNS($P$1006:R1006),$P$1006:$S$1006,0)))),"Fix")))</f>
        <v>0</v>
      </c>
      <c r="E378" s="3">
        <f>IF(OR(INDEX($J$2:$J$1001,MATCH(ROWS($I$2:I378),$I$2:$I$1001,0),1)&gt;=100000,INDEX($P$1005:$S$1005,1,MATCH(COLUMNS($P$1006:S1006),$P$1006:$S$1006,0))&gt;=100000), " ",IF(INDEX($P$2:$S$1001,MATCH(ROWS($I$2:I378),$I$2:$I$1001,0),MATCH(COLUMNS($P$1006:S1006),$P$1006:$S$1006,0)), HYPERLINK("#",""), HYPERLINK(CONCATENATE("#metadata!", ADDRESS(INDEX($K$2:$K$1001,MATCH(ROWS($I$2:I378),$I$2:$I$1001,0),0), INDEX($P$1004:$S$1004,1,MATCH(COLUMNS($P$1006:S1006),$P$1006:$S$1006,0)))),"Fix")))</f>
        <v>0</v>
      </c>
      <c r="I378">
        <v>0</v>
      </c>
      <c r="J378">
        <v>0</v>
      </c>
      <c r="K378">
        <v>0</v>
      </c>
      <c r="L378">
        <f>IF(M378,TRUE,AND(P378:S378))</f>
        <v>0</v>
      </c>
      <c r="M378">
        <f>COUNTBLANK(metadata!B378:E378)=COLUMNS(metadata!B378:E378)</f>
        <v>0</v>
      </c>
      <c r="N378">
        <v>0</v>
      </c>
      <c r="P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Q378">
        <f>AND(IF(metadata!C378="",FALSE,TRUE),exact(metadata!C378,"other"))</f>
        <v>0</v>
      </c>
      <c r="R378">
        <f>AND(IF(metadata!D378="",FALSE,TRUE),exact(metadata!D378,"metagenome"))</f>
        <v>0</v>
      </c>
      <c r="S378">
        <f>AND(IF(metadata!E378="",FALSE,TRUE),exact(metadata!E378,"256318"))</f>
        <v>0</v>
      </c>
    </row>
    <row r="379" spans="1:19">
      <c r="A379" s="4">
        <f>IF(B379=" "," ",HYPERLINK(CONCATENATE("#metadata!",ADDRESS(INDEX($K$2:$K$1001,MATCH(ROWS($I$2:I379),$I$2:$I$1001,0),0),1)),INDEX($N$2:$N$1001,MATCH(ROWS($I$2:I379),$I$2:$I$1001,0),0)))</f>
        <v>0</v>
      </c>
      <c r="B379" s="3">
        <f>IF(OR(INDEX($J$2:$J$1001,MATCH(ROWS($I$2:I379),$I$2:$I$1001,0),1)&gt;=100000,INDEX($P$1005:$S$1005,1,MATCH(COLUMNS($P$1006:P1006),$P$1006:$S$1006,0))&gt;=100000), " ",IF(INDEX($P$2:$S$1001,MATCH(ROWS($I$2:I379),$I$2:$I$1001,0),MATCH(COLUMNS($P$1006:P1006),$P$1006:$S$1006,0)), HYPERLINK("#",""), HYPERLINK(CONCATENATE("#metadata!", ADDRESS(INDEX($K$2:$K$1001,MATCH(ROWS($I$2:I379),$I$2:$I$1001,0),0), INDEX($P$1004:$S$1004,1,MATCH(COLUMNS($P$1006:P1006),$P$1006:$S$1006,0)))),"Fix")))</f>
        <v>0</v>
      </c>
      <c r="C379" s="3">
        <f>IF(OR(INDEX($J$2:$J$1001,MATCH(ROWS($I$2:I379),$I$2:$I$1001,0),1)&gt;=100000,INDEX($P$1005:$S$1005,1,MATCH(COLUMNS($P$1006:Q1006),$P$1006:$S$1006,0))&gt;=100000), " ",IF(INDEX($P$2:$S$1001,MATCH(ROWS($I$2:I379),$I$2:$I$1001,0),MATCH(COLUMNS($P$1006:Q1006),$P$1006:$S$1006,0)), HYPERLINK("#",""), HYPERLINK(CONCATENATE("#metadata!", ADDRESS(INDEX($K$2:$K$1001,MATCH(ROWS($I$2:I379),$I$2:$I$1001,0),0), INDEX($P$1004:$S$1004,1,MATCH(COLUMNS($P$1006:Q1006),$P$1006:$S$1006,0)))),"Fix")))</f>
        <v>0</v>
      </c>
      <c r="D379" s="3">
        <f>IF(OR(INDEX($J$2:$J$1001,MATCH(ROWS($I$2:I379),$I$2:$I$1001,0),1)&gt;=100000,INDEX($P$1005:$S$1005,1,MATCH(COLUMNS($P$1006:R1006),$P$1006:$S$1006,0))&gt;=100000), " ",IF(INDEX($P$2:$S$1001,MATCH(ROWS($I$2:I379),$I$2:$I$1001,0),MATCH(COLUMNS($P$1006:R1006),$P$1006:$S$1006,0)), HYPERLINK("#",""), HYPERLINK(CONCATENATE("#metadata!", ADDRESS(INDEX($K$2:$K$1001,MATCH(ROWS($I$2:I379),$I$2:$I$1001,0),0), INDEX($P$1004:$S$1004,1,MATCH(COLUMNS($P$1006:R1006),$P$1006:$S$1006,0)))),"Fix")))</f>
        <v>0</v>
      </c>
      <c r="E379" s="3">
        <f>IF(OR(INDEX($J$2:$J$1001,MATCH(ROWS($I$2:I379),$I$2:$I$1001,0),1)&gt;=100000,INDEX($P$1005:$S$1005,1,MATCH(COLUMNS($P$1006:S1006),$P$1006:$S$1006,0))&gt;=100000), " ",IF(INDEX($P$2:$S$1001,MATCH(ROWS($I$2:I379),$I$2:$I$1001,0),MATCH(COLUMNS($P$1006:S1006),$P$1006:$S$1006,0)), HYPERLINK("#",""), HYPERLINK(CONCATENATE("#metadata!", ADDRESS(INDEX($K$2:$K$1001,MATCH(ROWS($I$2:I379),$I$2:$I$1001,0),0), INDEX($P$1004:$S$1004,1,MATCH(COLUMNS($P$1006:S1006),$P$1006:$S$1006,0)))),"Fix")))</f>
        <v>0</v>
      </c>
      <c r="I379">
        <v>0</v>
      </c>
      <c r="J379">
        <v>0</v>
      </c>
      <c r="K379">
        <v>0</v>
      </c>
      <c r="L379">
        <f>IF(M379,TRUE,AND(P379:S379))</f>
        <v>0</v>
      </c>
      <c r="M379">
        <f>COUNTBLANK(metadata!B379:E379)=COLUMNS(metadata!B379:E379)</f>
        <v>0</v>
      </c>
      <c r="N379">
        <v>0</v>
      </c>
      <c r="P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Q379">
        <f>AND(IF(metadata!C379="",FALSE,TRUE),exact(metadata!C379,"other"))</f>
        <v>0</v>
      </c>
      <c r="R379">
        <f>AND(IF(metadata!D379="",FALSE,TRUE),exact(metadata!D379,"metagenome"))</f>
        <v>0</v>
      </c>
      <c r="S379">
        <f>AND(IF(metadata!E379="",FALSE,TRUE),exact(metadata!E379,"256318"))</f>
        <v>0</v>
      </c>
    </row>
    <row r="380" spans="1:19">
      <c r="A380" s="4">
        <f>IF(B380=" "," ",HYPERLINK(CONCATENATE("#metadata!",ADDRESS(INDEX($K$2:$K$1001,MATCH(ROWS($I$2:I380),$I$2:$I$1001,0),0),1)),INDEX($N$2:$N$1001,MATCH(ROWS($I$2:I380),$I$2:$I$1001,0),0)))</f>
        <v>0</v>
      </c>
      <c r="B380" s="3">
        <f>IF(OR(INDEX($J$2:$J$1001,MATCH(ROWS($I$2:I380),$I$2:$I$1001,0),1)&gt;=100000,INDEX($P$1005:$S$1005,1,MATCH(COLUMNS($P$1006:P1006),$P$1006:$S$1006,0))&gt;=100000), " ",IF(INDEX($P$2:$S$1001,MATCH(ROWS($I$2:I380),$I$2:$I$1001,0),MATCH(COLUMNS($P$1006:P1006),$P$1006:$S$1006,0)), HYPERLINK("#",""), HYPERLINK(CONCATENATE("#metadata!", ADDRESS(INDEX($K$2:$K$1001,MATCH(ROWS($I$2:I380),$I$2:$I$1001,0),0), INDEX($P$1004:$S$1004,1,MATCH(COLUMNS($P$1006:P1006),$P$1006:$S$1006,0)))),"Fix")))</f>
        <v>0</v>
      </c>
      <c r="C380" s="3">
        <f>IF(OR(INDEX($J$2:$J$1001,MATCH(ROWS($I$2:I380),$I$2:$I$1001,0),1)&gt;=100000,INDEX($P$1005:$S$1005,1,MATCH(COLUMNS($P$1006:Q1006),$P$1006:$S$1006,0))&gt;=100000), " ",IF(INDEX($P$2:$S$1001,MATCH(ROWS($I$2:I380),$I$2:$I$1001,0),MATCH(COLUMNS($P$1006:Q1006),$P$1006:$S$1006,0)), HYPERLINK("#",""), HYPERLINK(CONCATENATE("#metadata!", ADDRESS(INDEX($K$2:$K$1001,MATCH(ROWS($I$2:I380),$I$2:$I$1001,0),0), INDEX($P$1004:$S$1004,1,MATCH(COLUMNS($P$1006:Q1006),$P$1006:$S$1006,0)))),"Fix")))</f>
        <v>0</v>
      </c>
      <c r="D380" s="3">
        <f>IF(OR(INDEX($J$2:$J$1001,MATCH(ROWS($I$2:I380),$I$2:$I$1001,0),1)&gt;=100000,INDEX($P$1005:$S$1005,1,MATCH(COLUMNS($P$1006:R1006),$P$1006:$S$1006,0))&gt;=100000), " ",IF(INDEX($P$2:$S$1001,MATCH(ROWS($I$2:I380),$I$2:$I$1001,0),MATCH(COLUMNS($P$1006:R1006),$P$1006:$S$1006,0)), HYPERLINK("#",""), HYPERLINK(CONCATENATE("#metadata!", ADDRESS(INDEX($K$2:$K$1001,MATCH(ROWS($I$2:I380),$I$2:$I$1001,0),0), INDEX($P$1004:$S$1004,1,MATCH(COLUMNS($P$1006:R1006),$P$1006:$S$1006,0)))),"Fix")))</f>
        <v>0</v>
      </c>
      <c r="E380" s="3">
        <f>IF(OR(INDEX($J$2:$J$1001,MATCH(ROWS($I$2:I380),$I$2:$I$1001,0),1)&gt;=100000,INDEX($P$1005:$S$1005,1,MATCH(COLUMNS($P$1006:S1006),$P$1006:$S$1006,0))&gt;=100000), " ",IF(INDEX($P$2:$S$1001,MATCH(ROWS($I$2:I380),$I$2:$I$1001,0),MATCH(COLUMNS($P$1006:S1006),$P$1006:$S$1006,0)), HYPERLINK("#",""), HYPERLINK(CONCATENATE("#metadata!", ADDRESS(INDEX($K$2:$K$1001,MATCH(ROWS($I$2:I380),$I$2:$I$1001,0),0), INDEX($P$1004:$S$1004,1,MATCH(COLUMNS($P$1006:S1006),$P$1006:$S$1006,0)))),"Fix")))</f>
        <v>0</v>
      </c>
      <c r="I380">
        <v>0</v>
      </c>
      <c r="J380">
        <v>0</v>
      </c>
      <c r="K380">
        <v>0</v>
      </c>
      <c r="L380">
        <f>IF(M380,TRUE,AND(P380:S380))</f>
        <v>0</v>
      </c>
      <c r="M380">
        <f>COUNTBLANK(metadata!B380:E380)=COLUMNS(metadata!B380:E380)</f>
        <v>0</v>
      </c>
      <c r="N380">
        <v>0</v>
      </c>
      <c r="P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Q380">
        <f>AND(IF(metadata!C380="",FALSE,TRUE),exact(metadata!C380,"other"))</f>
        <v>0</v>
      </c>
      <c r="R380">
        <f>AND(IF(metadata!D380="",FALSE,TRUE),exact(metadata!D380,"metagenome"))</f>
        <v>0</v>
      </c>
      <c r="S380">
        <f>AND(IF(metadata!E380="",FALSE,TRUE),exact(metadata!E380,"256318"))</f>
        <v>0</v>
      </c>
    </row>
    <row r="381" spans="1:19">
      <c r="A381" s="4">
        <f>IF(B381=" "," ",HYPERLINK(CONCATENATE("#metadata!",ADDRESS(INDEX($K$2:$K$1001,MATCH(ROWS($I$2:I381),$I$2:$I$1001,0),0),1)),INDEX($N$2:$N$1001,MATCH(ROWS($I$2:I381),$I$2:$I$1001,0),0)))</f>
        <v>0</v>
      </c>
      <c r="B381" s="3">
        <f>IF(OR(INDEX($J$2:$J$1001,MATCH(ROWS($I$2:I381),$I$2:$I$1001,0),1)&gt;=100000,INDEX($P$1005:$S$1005,1,MATCH(COLUMNS($P$1006:P1006),$P$1006:$S$1006,0))&gt;=100000), " ",IF(INDEX($P$2:$S$1001,MATCH(ROWS($I$2:I381),$I$2:$I$1001,0),MATCH(COLUMNS($P$1006:P1006),$P$1006:$S$1006,0)), HYPERLINK("#",""), HYPERLINK(CONCATENATE("#metadata!", ADDRESS(INDEX($K$2:$K$1001,MATCH(ROWS($I$2:I381),$I$2:$I$1001,0),0), INDEX($P$1004:$S$1004,1,MATCH(COLUMNS($P$1006:P1006),$P$1006:$S$1006,0)))),"Fix")))</f>
        <v>0</v>
      </c>
      <c r="C381" s="3">
        <f>IF(OR(INDEX($J$2:$J$1001,MATCH(ROWS($I$2:I381),$I$2:$I$1001,0),1)&gt;=100000,INDEX($P$1005:$S$1005,1,MATCH(COLUMNS($P$1006:Q1006),$P$1006:$S$1006,0))&gt;=100000), " ",IF(INDEX($P$2:$S$1001,MATCH(ROWS($I$2:I381),$I$2:$I$1001,0),MATCH(COLUMNS($P$1006:Q1006),$P$1006:$S$1006,0)), HYPERLINK("#",""), HYPERLINK(CONCATENATE("#metadata!", ADDRESS(INDEX($K$2:$K$1001,MATCH(ROWS($I$2:I381),$I$2:$I$1001,0),0), INDEX($P$1004:$S$1004,1,MATCH(COLUMNS($P$1006:Q1006),$P$1006:$S$1006,0)))),"Fix")))</f>
        <v>0</v>
      </c>
      <c r="D381" s="3">
        <f>IF(OR(INDEX($J$2:$J$1001,MATCH(ROWS($I$2:I381),$I$2:$I$1001,0),1)&gt;=100000,INDEX($P$1005:$S$1005,1,MATCH(COLUMNS($P$1006:R1006),$P$1006:$S$1006,0))&gt;=100000), " ",IF(INDEX($P$2:$S$1001,MATCH(ROWS($I$2:I381),$I$2:$I$1001,0),MATCH(COLUMNS($P$1006:R1006),$P$1006:$S$1006,0)), HYPERLINK("#",""), HYPERLINK(CONCATENATE("#metadata!", ADDRESS(INDEX($K$2:$K$1001,MATCH(ROWS($I$2:I381),$I$2:$I$1001,0),0), INDEX($P$1004:$S$1004,1,MATCH(COLUMNS($P$1006:R1006),$P$1006:$S$1006,0)))),"Fix")))</f>
        <v>0</v>
      </c>
      <c r="E381" s="3">
        <f>IF(OR(INDEX($J$2:$J$1001,MATCH(ROWS($I$2:I381),$I$2:$I$1001,0),1)&gt;=100000,INDEX($P$1005:$S$1005,1,MATCH(COLUMNS($P$1006:S1006),$P$1006:$S$1006,0))&gt;=100000), " ",IF(INDEX($P$2:$S$1001,MATCH(ROWS($I$2:I381),$I$2:$I$1001,0),MATCH(COLUMNS($P$1006:S1006),$P$1006:$S$1006,0)), HYPERLINK("#",""), HYPERLINK(CONCATENATE("#metadata!", ADDRESS(INDEX($K$2:$K$1001,MATCH(ROWS($I$2:I381),$I$2:$I$1001,0),0), INDEX($P$1004:$S$1004,1,MATCH(COLUMNS($P$1006:S1006),$P$1006:$S$1006,0)))),"Fix")))</f>
        <v>0</v>
      </c>
      <c r="I381">
        <v>0</v>
      </c>
      <c r="J381">
        <v>0</v>
      </c>
      <c r="K381">
        <v>0</v>
      </c>
      <c r="L381">
        <f>IF(M381,TRUE,AND(P381:S381))</f>
        <v>0</v>
      </c>
      <c r="M381">
        <f>COUNTBLANK(metadata!B381:E381)=COLUMNS(metadata!B381:E381)</f>
        <v>0</v>
      </c>
      <c r="N381">
        <v>0</v>
      </c>
      <c r="P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Q381">
        <f>AND(IF(metadata!C381="",FALSE,TRUE),exact(metadata!C381,"other"))</f>
        <v>0</v>
      </c>
      <c r="R381">
        <f>AND(IF(metadata!D381="",FALSE,TRUE),exact(metadata!D381,"metagenome"))</f>
        <v>0</v>
      </c>
      <c r="S381">
        <f>AND(IF(metadata!E381="",FALSE,TRUE),exact(metadata!E381,"256318"))</f>
        <v>0</v>
      </c>
    </row>
    <row r="382" spans="1:19">
      <c r="A382" s="4">
        <f>IF(B382=" "," ",HYPERLINK(CONCATENATE("#metadata!",ADDRESS(INDEX($K$2:$K$1001,MATCH(ROWS($I$2:I382),$I$2:$I$1001,0),0),1)),INDEX($N$2:$N$1001,MATCH(ROWS($I$2:I382),$I$2:$I$1001,0),0)))</f>
        <v>0</v>
      </c>
      <c r="B382" s="3">
        <f>IF(OR(INDEX($J$2:$J$1001,MATCH(ROWS($I$2:I382),$I$2:$I$1001,0),1)&gt;=100000,INDEX($P$1005:$S$1005,1,MATCH(COLUMNS($P$1006:P1006),$P$1006:$S$1006,0))&gt;=100000), " ",IF(INDEX($P$2:$S$1001,MATCH(ROWS($I$2:I382),$I$2:$I$1001,0),MATCH(COLUMNS($P$1006:P1006),$P$1006:$S$1006,0)), HYPERLINK("#",""), HYPERLINK(CONCATENATE("#metadata!", ADDRESS(INDEX($K$2:$K$1001,MATCH(ROWS($I$2:I382),$I$2:$I$1001,0),0), INDEX($P$1004:$S$1004,1,MATCH(COLUMNS($P$1006:P1006),$P$1006:$S$1006,0)))),"Fix")))</f>
        <v>0</v>
      </c>
      <c r="C382" s="3">
        <f>IF(OR(INDEX($J$2:$J$1001,MATCH(ROWS($I$2:I382),$I$2:$I$1001,0),1)&gt;=100000,INDEX($P$1005:$S$1005,1,MATCH(COLUMNS($P$1006:Q1006),$P$1006:$S$1006,0))&gt;=100000), " ",IF(INDEX($P$2:$S$1001,MATCH(ROWS($I$2:I382),$I$2:$I$1001,0),MATCH(COLUMNS($P$1006:Q1006),$P$1006:$S$1006,0)), HYPERLINK("#",""), HYPERLINK(CONCATENATE("#metadata!", ADDRESS(INDEX($K$2:$K$1001,MATCH(ROWS($I$2:I382),$I$2:$I$1001,0),0), INDEX($P$1004:$S$1004,1,MATCH(COLUMNS($P$1006:Q1006),$P$1006:$S$1006,0)))),"Fix")))</f>
        <v>0</v>
      </c>
      <c r="D382" s="3">
        <f>IF(OR(INDEX($J$2:$J$1001,MATCH(ROWS($I$2:I382),$I$2:$I$1001,0),1)&gt;=100000,INDEX($P$1005:$S$1005,1,MATCH(COLUMNS($P$1006:R1006),$P$1006:$S$1006,0))&gt;=100000), " ",IF(INDEX($P$2:$S$1001,MATCH(ROWS($I$2:I382),$I$2:$I$1001,0),MATCH(COLUMNS($P$1006:R1006),$P$1006:$S$1006,0)), HYPERLINK("#",""), HYPERLINK(CONCATENATE("#metadata!", ADDRESS(INDEX($K$2:$K$1001,MATCH(ROWS($I$2:I382),$I$2:$I$1001,0),0), INDEX($P$1004:$S$1004,1,MATCH(COLUMNS($P$1006:R1006),$P$1006:$S$1006,0)))),"Fix")))</f>
        <v>0</v>
      </c>
      <c r="E382" s="3">
        <f>IF(OR(INDEX($J$2:$J$1001,MATCH(ROWS($I$2:I382),$I$2:$I$1001,0),1)&gt;=100000,INDEX($P$1005:$S$1005,1,MATCH(COLUMNS($P$1006:S1006),$P$1006:$S$1006,0))&gt;=100000), " ",IF(INDEX($P$2:$S$1001,MATCH(ROWS($I$2:I382),$I$2:$I$1001,0),MATCH(COLUMNS($P$1006:S1006),$P$1006:$S$1006,0)), HYPERLINK("#",""), HYPERLINK(CONCATENATE("#metadata!", ADDRESS(INDEX($K$2:$K$1001,MATCH(ROWS($I$2:I382),$I$2:$I$1001,0),0), INDEX($P$1004:$S$1004,1,MATCH(COLUMNS($P$1006:S1006),$P$1006:$S$1006,0)))),"Fix")))</f>
        <v>0</v>
      </c>
      <c r="I382">
        <v>0</v>
      </c>
      <c r="J382">
        <v>0</v>
      </c>
      <c r="K382">
        <v>0</v>
      </c>
      <c r="L382">
        <f>IF(M382,TRUE,AND(P382:S382))</f>
        <v>0</v>
      </c>
      <c r="M382">
        <f>COUNTBLANK(metadata!B382:E382)=COLUMNS(metadata!B382:E382)</f>
        <v>0</v>
      </c>
      <c r="N382">
        <v>0</v>
      </c>
      <c r="P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Q382">
        <f>AND(IF(metadata!C382="",FALSE,TRUE),exact(metadata!C382,"other"))</f>
        <v>0</v>
      </c>
      <c r="R382">
        <f>AND(IF(metadata!D382="",FALSE,TRUE),exact(metadata!D382,"metagenome"))</f>
        <v>0</v>
      </c>
      <c r="S382">
        <f>AND(IF(metadata!E382="",FALSE,TRUE),exact(metadata!E382,"256318"))</f>
        <v>0</v>
      </c>
    </row>
    <row r="383" spans="1:19">
      <c r="A383" s="4">
        <f>IF(B383=" "," ",HYPERLINK(CONCATENATE("#metadata!",ADDRESS(INDEX($K$2:$K$1001,MATCH(ROWS($I$2:I383),$I$2:$I$1001,0),0),1)),INDEX($N$2:$N$1001,MATCH(ROWS($I$2:I383),$I$2:$I$1001,0),0)))</f>
        <v>0</v>
      </c>
      <c r="B383" s="3">
        <f>IF(OR(INDEX($J$2:$J$1001,MATCH(ROWS($I$2:I383),$I$2:$I$1001,0),1)&gt;=100000,INDEX($P$1005:$S$1005,1,MATCH(COLUMNS($P$1006:P1006),$P$1006:$S$1006,0))&gt;=100000), " ",IF(INDEX($P$2:$S$1001,MATCH(ROWS($I$2:I383),$I$2:$I$1001,0),MATCH(COLUMNS($P$1006:P1006),$P$1006:$S$1006,0)), HYPERLINK("#",""), HYPERLINK(CONCATENATE("#metadata!", ADDRESS(INDEX($K$2:$K$1001,MATCH(ROWS($I$2:I383),$I$2:$I$1001,0),0), INDEX($P$1004:$S$1004,1,MATCH(COLUMNS($P$1006:P1006),$P$1006:$S$1006,0)))),"Fix")))</f>
        <v>0</v>
      </c>
      <c r="C383" s="3">
        <f>IF(OR(INDEX($J$2:$J$1001,MATCH(ROWS($I$2:I383),$I$2:$I$1001,0),1)&gt;=100000,INDEX($P$1005:$S$1005,1,MATCH(COLUMNS($P$1006:Q1006),$P$1006:$S$1006,0))&gt;=100000), " ",IF(INDEX($P$2:$S$1001,MATCH(ROWS($I$2:I383),$I$2:$I$1001,0),MATCH(COLUMNS($P$1006:Q1006),$P$1006:$S$1006,0)), HYPERLINK("#",""), HYPERLINK(CONCATENATE("#metadata!", ADDRESS(INDEX($K$2:$K$1001,MATCH(ROWS($I$2:I383),$I$2:$I$1001,0),0), INDEX($P$1004:$S$1004,1,MATCH(COLUMNS($P$1006:Q1006),$P$1006:$S$1006,0)))),"Fix")))</f>
        <v>0</v>
      </c>
      <c r="D383" s="3">
        <f>IF(OR(INDEX($J$2:$J$1001,MATCH(ROWS($I$2:I383),$I$2:$I$1001,0),1)&gt;=100000,INDEX($P$1005:$S$1005,1,MATCH(COLUMNS($P$1006:R1006),$P$1006:$S$1006,0))&gt;=100000), " ",IF(INDEX($P$2:$S$1001,MATCH(ROWS($I$2:I383),$I$2:$I$1001,0),MATCH(COLUMNS($P$1006:R1006),$P$1006:$S$1006,0)), HYPERLINK("#",""), HYPERLINK(CONCATENATE("#metadata!", ADDRESS(INDEX($K$2:$K$1001,MATCH(ROWS($I$2:I383),$I$2:$I$1001,0),0), INDEX($P$1004:$S$1004,1,MATCH(COLUMNS($P$1006:R1006),$P$1006:$S$1006,0)))),"Fix")))</f>
        <v>0</v>
      </c>
      <c r="E383" s="3">
        <f>IF(OR(INDEX($J$2:$J$1001,MATCH(ROWS($I$2:I383),$I$2:$I$1001,0),1)&gt;=100000,INDEX($P$1005:$S$1005,1,MATCH(COLUMNS($P$1006:S1006),$P$1006:$S$1006,0))&gt;=100000), " ",IF(INDEX($P$2:$S$1001,MATCH(ROWS($I$2:I383),$I$2:$I$1001,0),MATCH(COLUMNS($P$1006:S1006),$P$1006:$S$1006,0)), HYPERLINK("#",""), HYPERLINK(CONCATENATE("#metadata!", ADDRESS(INDEX($K$2:$K$1001,MATCH(ROWS($I$2:I383),$I$2:$I$1001,0),0), INDEX($P$1004:$S$1004,1,MATCH(COLUMNS($P$1006:S1006),$P$1006:$S$1006,0)))),"Fix")))</f>
        <v>0</v>
      </c>
      <c r="I383">
        <v>0</v>
      </c>
      <c r="J383">
        <v>0</v>
      </c>
      <c r="K383">
        <v>0</v>
      </c>
      <c r="L383">
        <f>IF(M383,TRUE,AND(P383:S383))</f>
        <v>0</v>
      </c>
      <c r="M383">
        <f>COUNTBLANK(metadata!B383:E383)=COLUMNS(metadata!B383:E383)</f>
        <v>0</v>
      </c>
      <c r="N383">
        <v>0</v>
      </c>
      <c r="P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Q383">
        <f>AND(IF(metadata!C383="",FALSE,TRUE),exact(metadata!C383,"other"))</f>
        <v>0</v>
      </c>
      <c r="R383">
        <f>AND(IF(metadata!D383="",FALSE,TRUE),exact(metadata!D383,"metagenome"))</f>
        <v>0</v>
      </c>
      <c r="S383">
        <f>AND(IF(metadata!E383="",FALSE,TRUE),exact(metadata!E383,"256318"))</f>
        <v>0</v>
      </c>
    </row>
    <row r="384" spans="1:19">
      <c r="A384" s="4">
        <f>IF(B384=" "," ",HYPERLINK(CONCATENATE("#metadata!",ADDRESS(INDEX($K$2:$K$1001,MATCH(ROWS($I$2:I384),$I$2:$I$1001,0),0),1)),INDEX($N$2:$N$1001,MATCH(ROWS($I$2:I384),$I$2:$I$1001,0),0)))</f>
        <v>0</v>
      </c>
      <c r="B384" s="3">
        <f>IF(OR(INDEX($J$2:$J$1001,MATCH(ROWS($I$2:I384),$I$2:$I$1001,0),1)&gt;=100000,INDEX($P$1005:$S$1005,1,MATCH(COLUMNS($P$1006:P1006),$P$1006:$S$1006,0))&gt;=100000), " ",IF(INDEX($P$2:$S$1001,MATCH(ROWS($I$2:I384),$I$2:$I$1001,0),MATCH(COLUMNS($P$1006:P1006),$P$1006:$S$1006,0)), HYPERLINK("#",""), HYPERLINK(CONCATENATE("#metadata!", ADDRESS(INDEX($K$2:$K$1001,MATCH(ROWS($I$2:I384),$I$2:$I$1001,0),0), INDEX($P$1004:$S$1004,1,MATCH(COLUMNS($P$1006:P1006),$P$1006:$S$1006,0)))),"Fix")))</f>
        <v>0</v>
      </c>
      <c r="C384" s="3">
        <f>IF(OR(INDEX($J$2:$J$1001,MATCH(ROWS($I$2:I384),$I$2:$I$1001,0),1)&gt;=100000,INDEX($P$1005:$S$1005,1,MATCH(COLUMNS($P$1006:Q1006),$P$1006:$S$1006,0))&gt;=100000), " ",IF(INDEX($P$2:$S$1001,MATCH(ROWS($I$2:I384),$I$2:$I$1001,0),MATCH(COLUMNS($P$1006:Q1006),$P$1006:$S$1006,0)), HYPERLINK("#",""), HYPERLINK(CONCATENATE("#metadata!", ADDRESS(INDEX($K$2:$K$1001,MATCH(ROWS($I$2:I384),$I$2:$I$1001,0),0), INDEX($P$1004:$S$1004,1,MATCH(COLUMNS($P$1006:Q1006),$P$1006:$S$1006,0)))),"Fix")))</f>
        <v>0</v>
      </c>
      <c r="D384" s="3">
        <f>IF(OR(INDEX($J$2:$J$1001,MATCH(ROWS($I$2:I384),$I$2:$I$1001,0),1)&gt;=100000,INDEX($P$1005:$S$1005,1,MATCH(COLUMNS($P$1006:R1006),$P$1006:$S$1006,0))&gt;=100000), " ",IF(INDEX($P$2:$S$1001,MATCH(ROWS($I$2:I384),$I$2:$I$1001,0),MATCH(COLUMNS($P$1006:R1006),$P$1006:$S$1006,0)), HYPERLINK("#",""), HYPERLINK(CONCATENATE("#metadata!", ADDRESS(INDEX($K$2:$K$1001,MATCH(ROWS($I$2:I384),$I$2:$I$1001,0),0), INDEX($P$1004:$S$1004,1,MATCH(COLUMNS($P$1006:R1006),$P$1006:$S$1006,0)))),"Fix")))</f>
        <v>0</v>
      </c>
      <c r="E384" s="3">
        <f>IF(OR(INDEX($J$2:$J$1001,MATCH(ROWS($I$2:I384),$I$2:$I$1001,0),1)&gt;=100000,INDEX($P$1005:$S$1005,1,MATCH(COLUMNS($P$1006:S1006),$P$1006:$S$1006,0))&gt;=100000), " ",IF(INDEX($P$2:$S$1001,MATCH(ROWS($I$2:I384),$I$2:$I$1001,0),MATCH(COLUMNS($P$1006:S1006),$P$1006:$S$1006,0)), HYPERLINK("#",""), HYPERLINK(CONCATENATE("#metadata!", ADDRESS(INDEX($K$2:$K$1001,MATCH(ROWS($I$2:I384),$I$2:$I$1001,0),0), INDEX($P$1004:$S$1004,1,MATCH(COLUMNS($P$1006:S1006),$P$1006:$S$1006,0)))),"Fix")))</f>
        <v>0</v>
      </c>
      <c r="I384">
        <v>0</v>
      </c>
      <c r="J384">
        <v>0</v>
      </c>
      <c r="K384">
        <v>0</v>
      </c>
      <c r="L384">
        <f>IF(M384,TRUE,AND(P384:S384))</f>
        <v>0</v>
      </c>
      <c r="M384">
        <f>COUNTBLANK(metadata!B384:E384)=COLUMNS(metadata!B384:E384)</f>
        <v>0</v>
      </c>
      <c r="N384">
        <v>0</v>
      </c>
      <c r="P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Q384">
        <f>AND(IF(metadata!C384="",FALSE,TRUE),exact(metadata!C384,"other"))</f>
        <v>0</v>
      </c>
      <c r="R384">
        <f>AND(IF(metadata!D384="",FALSE,TRUE),exact(metadata!D384,"metagenome"))</f>
        <v>0</v>
      </c>
      <c r="S384">
        <f>AND(IF(metadata!E384="",FALSE,TRUE),exact(metadata!E384,"256318"))</f>
        <v>0</v>
      </c>
    </row>
    <row r="385" spans="1:19">
      <c r="A385" s="4">
        <f>IF(B385=" "," ",HYPERLINK(CONCATENATE("#metadata!",ADDRESS(INDEX($K$2:$K$1001,MATCH(ROWS($I$2:I385),$I$2:$I$1001,0),0),1)),INDEX($N$2:$N$1001,MATCH(ROWS($I$2:I385),$I$2:$I$1001,0),0)))</f>
        <v>0</v>
      </c>
      <c r="B385" s="3">
        <f>IF(OR(INDEX($J$2:$J$1001,MATCH(ROWS($I$2:I385),$I$2:$I$1001,0),1)&gt;=100000,INDEX($P$1005:$S$1005,1,MATCH(COLUMNS($P$1006:P1006),$P$1006:$S$1006,0))&gt;=100000), " ",IF(INDEX($P$2:$S$1001,MATCH(ROWS($I$2:I385),$I$2:$I$1001,0),MATCH(COLUMNS($P$1006:P1006),$P$1006:$S$1006,0)), HYPERLINK("#",""), HYPERLINK(CONCATENATE("#metadata!", ADDRESS(INDEX($K$2:$K$1001,MATCH(ROWS($I$2:I385),$I$2:$I$1001,0),0), INDEX($P$1004:$S$1004,1,MATCH(COLUMNS($P$1006:P1006),$P$1006:$S$1006,0)))),"Fix")))</f>
        <v>0</v>
      </c>
      <c r="C385" s="3">
        <f>IF(OR(INDEX($J$2:$J$1001,MATCH(ROWS($I$2:I385),$I$2:$I$1001,0),1)&gt;=100000,INDEX($P$1005:$S$1005,1,MATCH(COLUMNS($P$1006:Q1006),$P$1006:$S$1006,0))&gt;=100000), " ",IF(INDEX($P$2:$S$1001,MATCH(ROWS($I$2:I385),$I$2:$I$1001,0),MATCH(COLUMNS($P$1006:Q1006),$P$1006:$S$1006,0)), HYPERLINK("#",""), HYPERLINK(CONCATENATE("#metadata!", ADDRESS(INDEX($K$2:$K$1001,MATCH(ROWS($I$2:I385),$I$2:$I$1001,0),0), INDEX($P$1004:$S$1004,1,MATCH(COLUMNS($P$1006:Q1006),$P$1006:$S$1006,0)))),"Fix")))</f>
        <v>0</v>
      </c>
      <c r="D385" s="3">
        <f>IF(OR(INDEX($J$2:$J$1001,MATCH(ROWS($I$2:I385),$I$2:$I$1001,0),1)&gt;=100000,INDEX($P$1005:$S$1005,1,MATCH(COLUMNS($P$1006:R1006),$P$1006:$S$1006,0))&gt;=100000), " ",IF(INDEX($P$2:$S$1001,MATCH(ROWS($I$2:I385),$I$2:$I$1001,0),MATCH(COLUMNS($P$1006:R1006),$P$1006:$S$1006,0)), HYPERLINK("#",""), HYPERLINK(CONCATENATE("#metadata!", ADDRESS(INDEX($K$2:$K$1001,MATCH(ROWS($I$2:I385),$I$2:$I$1001,0),0), INDEX($P$1004:$S$1004,1,MATCH(COLUMNS($P$1006:R1006),$P$1006:$S$1006,0)))),"Fix")))</f>
        <v>0</v>
      </c>
      <c r="E385" s="3">
        <f>IF(OR(INDEX($J$2:$J$1001,MATCH(ROWS($I$2:I385),$I$2:$I$1001,0),1)&gt;=100000,INDEX($P$1005:$S$1005,1,MATCH(COLUMNS($P$1006:S1006),$P$1006:$S$1006,0))&gt;=100000), " ",IF(INDEX($P$2:$S$1001,MATCH(ROWS($I$2:I385),$I$2:$I$1001,0),MATCH(COLUMNS($P$1006:S1006),$P$1006:$S$1006,0)), HYPERLINK("#",""), HYPERLINK(CONCATENATE("#metadata!", ADDRESS(INDEX($K$2:$K$1001,MATCH(ROWS($I$2:I385),$I$2:$I$1001,0),0), INDEX($P$1004:$S$1004,1,MATCH(COLUMNS($P$1006:S1006),$P$1006:$S$1006,0)))),"Fix")))</f>
        <v>0</v>
      </c>
      <c r="I385">
        <v>0</v>
      </c>
      <c r="J385">
        <v>0</v>
      </c>
      <c r="K385">
        <v>0</v>
      </c>
      <c r="L385">
        <f>IF(M385,TRUE,AND(P385:S385))</f>
        <v>0</v>
      </c>
      <c r="M385">
        <f>COUNTBLANK(metadata!B385:E385)=COLUMNS(metadata!B385:E385)</f>
        <v>0</v>
      </c>
      <c r="N385">
        <v>0</v>
      </c>
      <c r="P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Q385">
        <f>AND(IF(metadata!C385="",FALSE,TRUE),exact(metadata!C385,"other"))</f>
        <v>0</v>
      </c>
      <c r="R385">
        <f>AND(IF(metadata!D385="",FALSE,TRUE),exact(metadata!D385,"metagenome"))</f>
        <v>0</v>
      </c>
      <c r="S385">
        <f>AND(IF(metadata!E385="",FALSE,TRUE),exact(metadata!E385,"256318"))</f>
        <v>0</v>
      </c>
    </row>
    <row r="386" spans="1:19">
      <c r="A386" s="4">
        <f>IF(B386=" "," ",HYPERLINK(CONCATENATE("#metadata!",ADDRESS(INDEX($K$2:$K$1001,MATCH(ROWS($I$2:I386),$I$2:$I$1001,0),0),1)),INDEX($N$2:$N$1001,MATCH(ROWS($I$2:I386),$I$2:$I$1001,0),0)))</f>
        <v>0</v>
      </c>
      <c r="B386" s="3">
        <f>IF(OR(INDEX($J$2:$J$1001,MATCH(ROWS($I$2:I386),$I$2:$I$1001,0),1)&gt;=100000,INDEX($P$1005:$S$1005,1,MATCH(COLUMNS($P$1006:P1006),$P$1006:$S$1006,0))&gt;=100000), " ",IF(INDEX($P$2:$S$1001,MATCH(ROWS($I$2:I386),$I$2:$I$1001,0),MATCH(COLUMNS($P$1006:P1006),$P$1006:$S$1006,0)), HYPERLINK("#",""), HYPERLINK(CONCATENATE("#metadata!", ADDRESS(INDEX($K$2:$K$1001,MATCH(ROWS($I$2:I386),$I$2:$I$1001,0),0), INDEX($P$1004:$S$1004,1,MATCH(COLUMNS($P$1006:P1006),$P$1006:$S$1006,0)))),"Fix")))</f>
        <v>0</v>
      </c>
      <c r="C386" s="3">
        <f>IF(OR(INDEX($J$2:$J$1001,MATCH(ROWS($I$2:I386),$I$2:$I$1001,0),1)&gt;=100000,INDEX($P$1005:$S$1005,1,MATCH(COLUMNS($P$1006:Q1006),$P$1006:$S$1006,0))&gt;=100000), " ",IF(INDEX($P$2:$S$1001,MATCH(ROWS($I$2:I386),$I$2:$I$1001,0),MATCH(COLUMNS($P$1006:Q1006),$P$1006:$S$1006,0)), HYPERLINK("#",""), HYPERLINK(CONCATENATE("#metadata!", ADDRESS(INDEX($K$2:$K$1001,MATCH(ROWS($I$2:I386),$I$2:$I$1001,0),0), INDEX($P$1004:$S$1004,1,MATCH(COLUMNS($P$1006:Q1006),$P$1006:$S$1006,0)))),"Fix")))</f>
        <v>0</v>
      </c>
      <c r="D386" s="3">
        <f>IF(OR(INDEX($J$2:$J$1001,MATCH(ROWS($I$2:I386),$I$2:$I$1001,0),1)&gt;=100000,INDEX($P$1005:$S$1005,1,MATCH(COLUMNS($P$1006:R1006),$P$1006:$S$1006,0))&gt;=100000), " ",IF(INDEX($P$2:$S$1001,MATCH(ROWS($I$2:I386),$I$2:$I$1001,0),MATCH(COLUMNS($P$1006:R1006),$P$1006:$S$1006,0)), HYPERLINK("#",""), HYPERLINK(CONCATENATE("#metadata!", ADDRESS(INDEX($K$2:$K$1001,MATCH(ROWS($I$2:I386),$I$2:$I$1001,0),0), INDEX($P$1004:$S$1004,1,MATCH(COLUMNS($P$1006:R1006),$P$1006:$S$1006,0)))),"Fix")))</f>
        <v>0</v>
      </c>
      <c r="E386" s="3">
        <f>IF(OR(INDEX($J$2:$J$1001,MATCH(ROWS($I$2:I386),$I$2:$I$1001,0),1)&gt;=100000,INDEX($P$1005:$S$1005,1,MATCH(COLUMNS($P$1006:S1006),$P$1006:$S$1006,0))&gt;=100000), " ",IF(INDEX($P$2:$S$1001,MATCH(ROWS($I$2:I386),$I$2:$I$1001,0),MATCH(COLUMNS($P$1006:S1006),$P$1006:$S$1006,0)), HYPERLINK("#",""), HYPERLINK(CONCATENATE("#metadata!", ADDRESS(INDEX($K$2:$K$1001,MATCH(ROWS($I$2:I386),$I$2:$I$1001,0),0), INDEX($P$1004:$S$1004,1,MATCH(COLUMNS($P$1006:S1006),$P$1006:$S$1006,0)))),"Fix")))</f>
        <v>0</v>
      </c>
      <c r="I386">
        <v>0</v>
      </c>
      <c r="J386">
        <v>0</v>
      </c>
      <c r="K386">
        <v>0</v>
      </c>
      <c r="L386">
        <f>IF(M386,TRUE,AND(P386:S386))</f>
        <v>0</v>
      </c>
      <c r="M386">
        <f>COUNTBLANK(metadata!B386:E386)=COLUMNS(metadata!B386:E386)</f>
        <v>0</v>
      </c>
      <c r="N386">
        <v>0</v>
      </c>
      <c r="P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Q386">
        <f>AND(IF(metadata!C386="",FALSE,TRUE),exact(metadata!C386,"other"))</f>
        <v>0</v>
      </c>
      <c r="R386">
        <f>AND(IF(metadata!D386="",FALSE,TRUE),exact(metadata!D386,"metagenome"))</f>
        <v>0</v>
      </c>
      <c r="S386">
        <f>AND(IF(metadata!E386="",FALSE,TRUE),exact(metadata!E386,"256318"))</f>
        <v>0</v>
      </c>
    </row>
    <row r="387" spans="1:19">
      <c r="A387" s="4">
        <f>IF(B387=" "," ",HYPERLINK(CONCATENATE("#metadata!",ADDRESS(INDEX($K$2:$K$1001,MATCH(ROWS($I$2:I387),$I$2:$I$1001,0),0),1)),INDEX($N$2:$N$1001,MATCH(ROWS($I$2:I387),$I$2:$I$1001,0),0)))</f>
        <v>0</v>
      </c>
      <c r="B387" s="3">
        <f>IF(OR(INDEX($J$2:$J$1001,MATCH(ROWS($I$2:I387),$I$2:$I$1001,0),1)&gt;=100000,INDEX($P$1005:$S$1005,1,MATCH(COLUMNS($P$1006:P1006),$P$1006:$S$1006,0))&gt;=100000), " ",IF(INDEX($P$2:$S$1001,MATCH(ROWS($I$2:I387),$I$2:$I$1001,0),MATCH(COLUMNS($P$1006:P1006),$P$1006:$S$1006,0)), HYPERLINK("#",""), HYPERLINK(CONCATENATE("#metadata!", ADDRESS(INDEX($K$2:$K$1001,MATCH(ROWS($I$2:I387),$I$2:$I$1001,0),0), INDEX($P$1004:$S$1004,1,MATCH(COLUMNS($P$1006:P1006),$P$1006:$S$1006,0)))),"Fix")))</f>
        <v>0</v>
      </c>
      <c r="C387" s="3">
        <f>IF(OR(INDEX($J$2:$J$1001,MATCH(ROWS($I$2:I387),$I$2:$I$1001,0),1)&gt;=100000,INDEX($P$1005:$S$1005,1,MATCH(COLUMNS($P$1006:Q1006),$P$1006:$S$1006,0))&gt;=100000), " ",IF(INDEX($P$2:$S$1001,MATCH(ROWS($I$2:I387),$I$2:$I$1001,0),MATCH(COLUMNS($P$1006:Q1006),$P$1006:$S$1006,0)), HYPERLINK("#",""), HYPERLINK(CONCATENATE("#metadata!", ADDRESS(INDEX($K$2:$K$1001,MATCH(ROWS($I$2:I387),$I$2:$I$1001,0),0), INDEX($P$1004:$S$1004,1,MATCH(COLUMNS($P$1006:Q1006),$P$1006:$S$1006,0)))),"Fix")))</f>
        <v>0</v>
      </c>
      <c r="D387" s="3">
        <f>IF(OR(INDEX($J$2:$J$1001,MATCH(ROWS($I$2:I387),$I$2:$I$1001,0),1)&gt;=100000,INDEX($P$1005:$S$1005,1,MATCH(COLUMNS($P$1006:R1006),$P$1006:$S$1006,0))&gt;=100000), " ",IF(INDEX($P$2:$S$1001,MATCH(ROWS($I$2:I387),$I$2:$I$1001,0),MATCH(COLUMNS($P$1006:R1006),$P$1006:$S$1006,0)), HYPERLINK("#",""), HYPERLINK(CONCATENATE("#metadata!", ADDRESS(INDEX($K$2:$K$1001,MATCH(ROWS($I$2:I387),$I$2:$I$1001,0),0), INDEX($P$1004:$S$1004,1,MATCH(COLUMNS($P$1006:R1006),$P$1006:$S$1006,0)))),"Fix")))</f>
        <v>0</v>
      </c>
      <c r="E387" s="3">
        <f>IF(OR(INDEX($J$2:$J$1001,MATCH(ROWS($I$2:I387),$I$2:$I$1001,0),1)&gt;=100000,INDEX($P$1005:$S$1005,1,MATCH(COLUMNS($P$1006:S1006),$P$1006:$S$1006,0))&gt;=100000), " ",IF(INDEX($P$2:$S$1001,MATCH(ROWS($I$2:I387),$I$2:$I$1001,0),MATCH(COLUMNS($P$1006:S1006),$P$1006:$S$1006,0)), HYPERLINK("#",""), HYPERLINK(CONCATENATE("#metadata!", ADDRESS(INDEX($K$2:$K$1001,MATCH(ROWS($I$2:I387),$I$2:$I$1001,0),0), INDEX($P$1004:$S$1004,1,MATCH(COLUMNS($P$1006:S1006),$P$1006:$S$1006,0)))),"Fix")))</f>
        <v>0</v>
      </c>
      <c r="I387">
        <v>0</v>
      </c>
      <c r="J387">
        <v>0</v>
      </c>
      <c r="K387">
        <v>0</v>
      </c>
      <c r="L387">
        <f>IF(M387,TRUE,AND(P387:S387))</f>
        <v>0</v>
      </c>
      <c r="M387">
        <f>COUNTBLANK(metadata!B387:E387)=COLUMNS(metadata!B387:E387)</f>
        <v>0</v>
      </c>
      <c r="N387">
        <v>0</v>
      </c>
      <c r="P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Q387">
        <f>AND(IF(metadata!C387="",FALSE,TRUE),exact(metadata!C387,"other"))</f>
        <v>0</v>
      </c>
      <c r="R387">
        <f>AND(IF(metadata!D387="",FALSE,TRUE),exact(metadata!D387,"metagenome"))</f>
        <v>0</v>
      </c>
      <c r="S387">
        <f>AND(IF(metadata!E387="",FALSE,TRUE),exact(metadata!E387,"256318"))</f>
        <v>0</v>
      </c>
    </row>
    <row r="388" spans="1:19">
      <c r="A388" s="4">
        <f>IF(B388=" "," ",HYPERLINK(CONCATENATE("#metadata!",ADDRESS(INDEX($K$2:$K$1001,MATCH(ROWS($I$2:I388),$I$2:$I$1001,0),0),1)),INDEX($N$2:$N$1001,MATCH(ROWS($I$2:I388),$I$2:$I$1001,0),0)))</f>
        <v>0</v>
      </c>
      <c r="B388" s="3">
        <f>IF(OR(INDEX($J$2:$J$1001,MATCH(ROWS($I$2:I388),$I$2:$I$1001,0),1)&gt;=100000,INDEX($P$1005:$S$1005,1,MATCH(COLUMNS($P$1006:P1006),$P$1006:$S$1006,0))&gt;=100000), " ",IF(INDEX($P$2:$S$1001,MATCH(ROWS($I$2:I388),$I$2:$I$1001,0),MATCH(COLUMNS($P$1006:P1006),$P$1006:$S$1006,0)), HYPERLINK("#",""), HYPERLINK(CONCATENATE("#metadata!", ADDRESS(INDEX($K$2:$K$1001,MATCH(ROWS($I$2:I388),$I$2:$I$1001,0),0), INDEX($P$1004:$S$1004,1,MATCH(COLUMNS($P$1006:P1006),$P$1006:$S$1006,0)))),"Fix")))</f>
        <v>0</v>
      </c>
      <c r="C388" s="3">
        <f>IF(OR(INDEX($J$2:$J$1001,MATCH(ROWS($I$2:I388),$I$2:$I$1001,0),1)&gt;=100000,INDEX($P$1005:$S$1005,1,MATCH(COLUMNS($P$1006:Q1006),$P$1006:$S$1006,0))&gt;=100000), " ",IF(INDEX($P$2:$S$1001,MATCH(ROWS($I$2:I388),$I$2:$I$1001,0),MATCH(COLUMNS($P$1006:Q1006),$P$1006:$S$1006,0)), HYPERLINK("#",""), HYPERLINK(CONCATENATE("#metadata!", ADDRESS(INDEX($K$2:$K$1001,MATCH(ROWS($I$2:I388),$I$2:$I$1001,0),0), INDEX($P$1004:$S$1004,1,MATCH(COLUMNS($P$1006:Q1006),$P$1006:$S$1006,0)))),"Fix")))</f>
        <v>0</v>
      </c>
      <c r="D388" s="3">
        <f>IF(OR(INDEX($J$2:$J$1001,MATCH(ROWS($I$2:I388),$I$2:$I$1001,0),1)&gt;=100000,INDEX($P$1005:$S$1005,1,MATCH(COLUMNS($P$1006:R1006),$P$1006:$S$1006,0))&gt;=100000), " ",IF(INDEX($P$2:$S$1001,MATCH(ROWS($I$2:I388),$I$2:$I$1001,0),MATCH(COLUMNS($P$1006:R1006),$P$1006:$S$1006,0)), HYPERLINK("#",""), HYPERLINK(CONCATENATE("#metadata!", ADDRESS(INDEX($K$2:$K$1001,MATCH(ROWS($I$2:I388),$I$2:$I$1001,0),0), INDEX($P$1004:$S$1004,1,MATCH(COLUMNS($P$1006:R1006),$P$1006:$S$1006,0)))),"Fix")))</f>
        <v>0</v>
      </c>
      <c r="E388" s="3">
        <f>IF(OR(INDEX($J$2:$J$1001,MATCH(ROWS($I$2:I388),$I$2:$I$1001,0),1)&gt;=100000,INDEX($P$1005:$S$1005,1,MATCH(COLUMNS($P$1006:S1006),$P$1006:$S$1006,0))&gt;=100000), " ",IF(INDEX($P$2:$S$1001,MATCH(ROWS($I$2:I388),$I$2:$I$1001,0),MATCH(COLUMNS($P$1006:S1006),$P$1006:$S$1006,0)), HYPERLINK("#",""), HYPERLINK(CONCATENATE("#metadata!", ADDRESS(INDEX($K$2:$K$1001,MATCH(ROWS($I$2:I388),$I$2:$I$1001,0),0), INDEX($P$1004:$S$1004,1,MATCH(COLUMNS($P$1006:S1006),$P$1006:$S$1006,0)))),"Fix")))</f>
        <v>0</v>
      </c>
      <c r="I388">
        <v>0</v>
      </c>
      <c r="J388">
        <v>0</v>
      </c>
      <c r="K388">
        <v>0</v>
      </c>
      <c r="L388">
        <f>IF(M388,TRUE,AND(P388:S388))</f>
        <v>0</v>
      </c>
      <c r="M388">
        <f>COUNTBLANK(metadata!B388:E388)=COLUMNS(metadata!B388:E388)</f>
        <v>0</v>
      </c>
      <c r="N388">
        <v>0</v>
      </c>
      <c r="P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Q388">
        <f>AND(IF(metadata!C388="",FALSE,TRUE),exact(metadata!C388,"other"))</f>
        <v>0</v>
      </c>
      <c r="R388">
        <f>AND(IF(metadata!D388="",FALSE,TRUE),exact(metadata!D388,"metagenome"))</f>
        <v>0</v>
      </c>
      <c r="S388">
        <f>AND(IF(metadata!E388="",FALSE,TRUE),exact(metadata!E388,"256318"))</f>
        <v>0</v>
      </c>
    </row>
    <row r="389" spans="1:19">
      <c r="A389" s="4">
        <f>IF(B389=" "," ",HYPERLINK(CONCATENATE("#metadata!",ADDRESS(INDEX($K$2:$K$1001,MATCH(ROWS($I$2:I389),$I$2:$I$1001,0),0),1)),INDEX($N$2:$N$1001,MATCH(ROWS($I$2:I389),$I$2:$I$1001,0),0)))</f>
        <v>0</v>
      </c>
      <c r="B389" s="3">
        <f>IF(OR(INDEX($J$2:$J$1001,MATCH(ROWS($I$2:I389),$I$2:$I$1001,0),1)&gt;=100000,INDEX($P$1005:$S$1005,1,MATCH(COLUMNS($P$1006:P1006),$P$1006:$S$1006,0))&gt;=100000), " ",IF(INDEX($P$2:$S$1001,MATCH(ROWS($I$2:I389),$I$2:$I$1001,0),MATCH(COLUMNS($P$1006:P1006),$P$1006:$S$1006,0)), HYPERLINK("#",""), HYPERLINK(CONCATENATE("#metadata!", ADDRESS(INDEX($K$2:$K$1001,MATCH(ROWS($I$2:I389),$I$2:$I$1001,0),0), INDEX($P$1004:$S$1004,1,MATCH(COLUMNS($P$1006:P1006),$P$1006:$S$1006,0)))),"Fix")))</f>
        <v>0</v>
      </c>
      <c r="C389" s="3">
        <f>IF(OR(INDEX($J$2:$J$1001,MATCH(ROWS($I$2:I389),$I$2:$I$1001,0),1)&gt;=100000,INDEX($P$1005:$S$1005,1,MATCH(COLUMNS($P$1006:Q1006),$P$1006:$S$1006,0))&gt;=100000), " ",IF(INDEX($P$2:$S$1001,MATCH(ROWS($I$2:I389),$I$2:$I$1001,0),MATCH(COLUMNS($P$1006:Q1006),$P$1006:$S$1006,0)), HYPERLINK("#",""), HYPERLINK(CONCATENATE("#metadata!", ADDRESS(INDEX($K$2:$K$1001,MATCH(ROWS($I$2:I389),$I$2:$I$1001,0),0), INDEX($P$1004:$S$1004,1,MATCH(COLUMNS($P$1006:Q1006),$P$1006:$S$1006,0)))),"Fix")))</f>
        <v>0</v>
      </c>
      <c r="D389" s="3">
        <f>IF(OR(INDEX($J$2:$J$1001,MATCH(ROWS($I$2:I389),$I$2:$I$1001,0),1)&gt;=100000,INDEX($P$1005:$S$1005,1,MATCH(COLUMNS($P$1006:R1006),$P$1006:$S$1006,0))&gt;=100000), " ",IF(INDEX($P$2:$S$1001,MATCH(ROWS($I$2:I389),$I$2:$I$1001,0),MATCH(COLUMNS($P$1006:R1006),$P$1006:$S$1006,0)), HYPERLINK("#",""), HYPERLINK(CONCATENATE("#metadata!", ADDRESS(INDEX($K$2:$K$1001,MATCH(ROWS($I$2:I389),$I$2:$I$1001,0),0), INDEX($P$1004:$S$1004,1,MATCH(COLUMNS($P$1006:R1006),$P$1006:$S$1006,0)))),"Fix")))</f>
        <v>0</v>
      </c>
      <c r="E389" s="3">
        <f>IF(OR(INDEX($J$2:$J$1001,MATCH(ROWS($I$2:I389),$I$2:$I$1001,0),1)&gt;=100000,INDEX($P$1005:$S$1005,1,MATCH(COLUMNS($P$1006:S1006),$P$1006:$S$1006,0))&gt;=100000), " ",IF(INDEX($P$2:$S$1001,MATCH(ROWS($I$2:I389),$I$2:$I$1001,0),MATCH(COLUMNS($P$1006:S1006),$P$1006:$S$1006,0)), HYPERLINK("#",""), HYPERLINK(CONCATENATE("#metadata!", ADDRESS(INDEX($K$2:$K$1001,MATCH(ROWS($I$2:I389),$I$2:$I$1001,0),0), INDEX($P$1004:$S$1004,1,MATCH(COLUMNS($P$1006:S1006),$P$1006:$S$1006,0)))),"Fix")))</f>
        <v>0</v>
      </c>
      <c r="I389">
        <v>0</v>
      </c>
      <c r="J389">
        <v>0</v>
      </c>
      <c r="K389">
        <v>0</v>
      </c>
      <c r="L389">
        <f>IF(M389,TRUE,AND(P389:S389))</f>
        <v>0</v>
      </c>
      <c r="M389">
        <f>COUNTBLANK(metadata!B389:E389)=COLUMNS(metadata!B389:E389)</f>
        <v>0</v>
      </c>
      <c r="N389">
        <v>0</v>
      </c>
      <c r="P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Q389">
        <f>AND(IF(metadata!C389="",FALSE,TRUE),exact(metadata!C389,"other"))</f>
        <v>0</v>
      </c>
      <c r="R389">
        <f>AND(IF(metadata!D389="",FALSE,TRUE),exact(metadata!D389,"metagenome"))</f>
        <v>0</v>
      </c>
      <c r="S389">
        <f>AND(IF(metadata!E389="",FALSE,TRUE),exact(metadata!E389,"256318"))</f>
        <v>0</v>
      </c>
    </row>
    <row r="390" spans="1:19">
      <c r="A390" s="4">
        <f>IF(B390=" "," ",HYPERLINK(CONCATENATE("#metadata!",ADDRESS(INDEX($K$2:$K$1001,MATCH(ROWS($I$2:I390),$I$2:$I$1001,0),0),1)),INDEX($N$2:$N$1001,MATCH(ROWS($I$2:I390),$I$2:$I$1001,0),0)))</f>
        <v>0</v>
      </c>
      <c r="B390" s="3">
        <f>IF(OR(INDEX($J$2:$J$1001,MATCH(ROWS($I$2:I390),$I$2:$I$1001,0),1)&gt;=100000,INDEX($P$1005:$S$1005,1,MATCH(COLUMNS($P$1006:P1006),$P$1006:$S$1006,0))&gt;=100000), " ",IF(INDEX($P$2:$S$1001,MATCH(ROWS($I$2:I390),$I$2:$I$1001,0),MATCH(COLUMNS($P$1006:P1006),$P$1006:$S$1006,0)), HYPERLINK("#",""), HYPERLINK(CONCATENATE("#metadata!", ADDRESS(INDEX($K$2:$K$1001,MATCH(ROWS($I$2:I390),$I$2:$I$1001,0),0), INDEX($P$1004:$S$1004,1,MATCH(COLUMNS($P$1006:P1006),$P$1006:$S$1006,0)))),"Fix")))</f>
        <v>0</v>
      </c>
      <c r="C390" s="3">
        <f>IF(OR(INDEX($J$2:$J$1001,MATCH(ROWS($I$2:I390),$I$2:$I$1001,0),1)&gt;=100000,INDEX($P$1005:$S$1005,1,MATCH(COLUMNS($P$1006:Q1006),$P$1006:$S$1006,0))&gt;=100000), " ",IF(INDEX($P$2:$S$1001,MATCH(ROWS($I$2:I390),$I$2:$I$1001,0),MATCH(COLUMNS($P$1006:Q1006),$P$1006:$S$1006,0)), HYPERLINK("#",""), HYPERLINK(CONCATENATE("#metadata!", ADDRESS(INDEX($K$2:$K$1001,MATCH(ROWS($I$2:I390),$I$2:$I$1001,0),0), INDEX($P$1004:$S$1004,1,MATCH(COLUMNS($P$1006:Q1006),$P$1006:$S$1006,0)))),"Fix")))</f>
        <v>0</v>
      </c>
      <c r="D390" s="3">
        <f>IF(OR(INDEX($J$2:$J$1001,MATCH(ROWS($I$2:I390),$I$2:$I$1001,0),1)&gt;=100000,INDEX($P$1005:$S$1005,1,MATCH(COLUMNS($P$1006:R1006),$P$1006:$S$1006,0))&gt;=100000), " ",IF(INDEX($P$2:$S$1001,MATCH(ROWS($I$2:I390),$I$2:$I$1001,0),MATCH(COLUMNS($P$1006:R1006),$P$1006:$S$1006,0)), HYPERLINK("#",""), HYPERLINK(CONCATENATE("#metadata!", ADDRESS(INDEX($K$2:$K$1001,MATCH(ROWS($I$2:I390),$I$2:$I$1001,0),0), INDEX($P$1004:$S$1004,1,MATCH(COLUMNS($P$1006:R1006),$P$1006:$S$1006,0)))),"Fix")))</f>
        <v>0</v>
      </c>
      <c r="E390" s="3">
        <f>IF(OR(INDEX($J$2:$J$1001,MATCH(ROWS($I$2:I390),$I$2:$I$1001,0),1)&gt;=100000,INDEX($P$1005:$S$1005,1,MATCH(COLUMNS($P$1006:S1006),$P$1006:$S$1006,0))&gt;=100000), " ",IF(INDEX($P$2:$S$1001,MATCH(ROWS($I$2:I390),$I$2:$I$1001,0),MATCH(COLUMNS($P$1006:S1006),$P$1006:$S$1006,0)), HYPERLINK("#",""), HYPERLINK(CONCATENATE("#metadata!", ADDRESS(INDEX($K$2:$K$1001,MATCH(ROWS($I$2:I390),$I$2:$I$1001,0),0), INDEX($P$1004:$S$1004,1,MATCH(COLUMNS($P$1006:S1006),$P$1006:$S$1006,0)))),"Fix")))</f>
        <v>0</v>
      </c>
      <c r="I390">
        <v>0</v>
      </c>
      <c r="J390">
        <v>0</v>
      </c>
      <c r="K390">
        <v>0</v>
      </c>
      <c r="L390">
        <f>IF(M390,TRUE,AND(P390:S390))</f>
        <v>0</v>
      </c>
      <c r="M390">
        <f>COUNTBLANK(metadata!B390:E390)=COLUMNS(metadata!B390:E390)</f>
        <v>0</v>
      </c>
      <c r="N390">
        <v>0</v>
      </c>
      <c r="P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Q390">
        <f>AND(IF(metadata!C390="",FALSE,TRUE),exact(metadata!C390,"other"))</f>
        <v>0</v>
      </c>
      <c r="R390">
        <f>AND(IF(metadata!D390="",FALSE,TRUE),exact(metadata!D390,"metagenome"))</f>
        <v>0</v>
      </c>
      <c r="S390">
        <f>AND(IF(metadata!E390="",FALSE,TRUE),exact(metadata!E390,"256318"))</f>
        <v>0</v>
      </c>
    </row>
    <row r="391" spans="1:19">
      <c r="A391" s="4">
        <f>IF(B391=" "," ",HYPERLINK(CONCATENATE("#metadata!",ADDRESS(INDEX($K$2:$K$1001,MATCH(ROWS($I$2:I391),$I$2:$I$1001,0),0),1)),INDEX($N$2:$N$1001,MATCH(ROWS($I$2:I391),$I$2:$I$1001,0),0)))</f>
        <v>0</v>
      </c>
      <c r="B391" s="3">
        <f>IF(OR(INDEX($J$2:$J$1001,MATCH(ROWS($I$2:I391),$I$2:$I$1001,0),1)&gt;=100000,INDEX($P$1005:$S$1005,1,MATCH(COLUMNS($P$1006:P1006),$P$1006:$S$1006,0))&gt;=100000), " ",IF(INDEX($P$2:$S$1001,MATCH(ROWS($I$2:I391),$I$2:$I$1001,0),MATCH(COLUMNS($P$1006:P1006),$P$1006:$S$1006,0)), HYPERLINK("#",""), HYPERLINK(CONCATENATE("#metadata!", ADDRESS(INDEX($K$2:$K$1001,MATCH(ROWS($I$2:I391),$I$2:$I$1001,0),0), INDEX($P$1004:$S$1004,1,MATCH(COLUMNS($P$1006:P1006),$P$1006:$S$1006,0)))),"Fix")))</f>
        <v>0</v>
      </c>
      <c r="C391" s="3">
        <f>IF(OR(INDEX($J$2:$J$1001,MATCH(ROWS($I$2:I391),$I$2:$I$1001,0),1)&gt;=100000,INDEX($P$1005:$S$1005,1,MATCH(COLUMNS($P$1006:Q1006),$P$1006:$S$1006,0))&gt;=100000), " ",IF(INDEX($P$2:$S$1001,MATCH(ROWS($I$2:I391),$I$2:$I$1001,0),MATCH(COLUMNS($P$1006:Q1006),$P$1006:$S$1006,0)), HYPERLINK("#",""), HYPERLINK(CONCATENATE("#metadata!", ADDRESS(INDEX($K$2:$K$1001,MATCH(ROWS($I$2:I391),$I$2:$I$1001,0),0), INDEX($P$1004:$S$1004,1,MATCH(COLUMNS($P$1006:Q1006),$P$1006:$S$1006,0)))),"Fix")))</f>
        <v>0</v>
      </c>
      <c r="D391" s="3">
        <f>IF(OR(INDEX($J$2:$J$1001,MATCH(ROWS($I$2:I391),$I$2:$I$1001,0),1)&gt;=100000,INDEX($P$1005:$S$1005,1,MATCH(COLUMNS($P$1006:R1006),$P$1006:$S$1006,0))&gt;=100000), " ",IF(INDEX($P$2:$S$1001,MATCH(ROWS($I$2:I391),$I$2:$I$1001,0),MATCH(COLUMNS($P$1006:R1006),$P$1006:$S$1006,0)), HYPERLINK("#",""), HYPERLINK(CONCATENATE("#metadata!", ADDRESS(INDEX($K$2:$K$1001,MATCH(ROWS($I$2:I391),$I$2:$I$1001,0),0), INDEX($P$1004:$S$1004,1,MATCH(COLUMNS($P$1006:R1006),$P$1006:$S$1006,0)))),"Fix")))</f>
        <v>0</v>
      </c>
      <c r="E391" s="3">
        <f>IF(OR(INDEX($J$2:$J$1001,MATCH(ROWS($I$2:I391),$I$2:$I$1001,0),1)&gt;=100000,INDEX($P$1005:$S$1005,1,MATCH(COLUMNS($P$1006:S1006),$P$1006:$S$1006,0))&gt;=100000), " ",IF(INDEX($P$2:$S$1001,MATCH(ROWS($I$2:I391),$I$2:$I$1001,0),MATCH(COLUMNS($P$1006:S1006),$P$1006:$S$1006,0)), HYPERLINK("#",""), HYPERLINK(CONCATENATE("#metadata!", ADDRESS(INDEX($K$2:$K$1001,MATCH(ROWS($I$2:I391),$I$2:$I$1001,0),0), INDEX($P$1004:$S$1004,1,MATCH(COLUMNS($P$1006:S1006),$P$1006:$S$1006,0)))),"Fix")))</f>
        <v>0</v>
      </c>
      <c r="I391">
        <v>0</v>
      </c>
      <c r="J391">
        <v>0</v>
      </c>
      <c r="K391">
        <v>0</v>
      </c>
      <c r="L391">
        <f>IF(M391,TRUE,AND(P391:S391))</f>
        <v>0</v>
      </c>
      <c r="M391">
        <f>COUNTBLANK(metadata!B391:E391)=COLUMNS(metadata!B391:E391)</f>
        <v>0</v>
      </c>
      <c r="N391">
        <v>0</v>
      </c>
      <c r="P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Q391">
        <f>AND(IF(metadata!C391="",FALSE,TRUE),exact(metadata!C391,"other"))</f>
        <v>0</v>
      </c>
      <c r="R391">
        <f>AND(IF(metadata!D391="",FALSE,TRUE),exact(metadata!D391,"metagenome"))</f>
        <v>0</v>
      </c>
      <c r="S391">
        <f>AND(IF(metadata!E391="",FALSE,TRUE),exact(metadata!E391,"256318"))</f>
        <v>0</v>
      </c>
    </row>
    <row r="392" spans="1:19">
      <c r="A392" s="4">
        <f>IF(B392=" "," ",HYPERLINK(CONCATENATE("#metadata!",ADDRESS(INDEX($K$2:$K$1001,MATCH(ROWS($I$2:I392),$I$2:$I$1001,0),0),1)),INDEX($N$2:$N$1001,MATCH(ROWS($I$2:I392),$I$2:$I$1001,0),0)))</f>
        <v>0</v>
      </c>
      <c r="B392" s="3">
        <f>IF(OR(INDEX($J$2:$J$1001,MATCH(ROWS($I$2:I392),$I$2:$I$1001,0),1)&gt;=100000,INDEX($P$1005:$S$1005,1,MATCH(COLUMNS($P$1006:P1006),$P$1006:$S$1006,0))&gt;=100000), " ",IF(INDEX($P$2:$S$1001,MATCH(ROWS($I$2:I392),$I$2:$I$1001,0),MATCH(COLUMNS($P$1006:P1006),$P$1006:$S$1006,0)), HYPERLINK("#",""), HYPERLINK(CONCATENATE("#metadata!", ADDRESS(INDEX($K$2:$K$1001,MATCH(ROWS($I$2:I392),$I$2:$I$1001,0),0), INDEX($P$1004:$S$1004,1,MATCH(COLUMNS($P$1006:P1006),$P$1006:$S$1006,0)))),"Fix")))</f>
        <v>0</v>
      </c>
      <c r="C392" s="3">
        <f>IF(OR(INDEX($J$2:$J$1001,MATCH(ROWS($I$2:I392),$I$2:$I$1001,0),1)&gt;=100000,INDEX($P$1005:$S$1005,1,MATCH(COLUMNS($P$1006:Q1006),$P$1006:$S$1006,0))&gt;=100000), " ",IF(INDEX($P$2:$S$1001,MATCH(ROWS($I$2:I392),$I$2:$I$1001,0),MATCH(COLUMNS($P$1006:Q1006),$P$1006:$S$1006,0)), HYPERLINK("#",""), HYPERLINK(CONCATENATE("#metadata!", ADDRESS(INDEX($K$2:$K$1001,MATCH(ROWS($I$2:I392),$I$2:$I$1001,0),0), INDEX($P$1004:$S$1004,1,MATCH(COLUMNS($P$1006:Q1006),$P$1006:$S$1006,0)))),"Fix")))</f>
        <v>0</v>
      </c>
      <c r="D392" s="3">
        <f>IF(OR(INDEX($J$2:$J$1001,MATCH(ROWS($I$2:I392),$I$2:$I$1001,0),1)&gt;=100000,INDEX($P$1005:$S$1005,1,MATCH(COLUMNS($P$1006:R1006),$P$1006:$S$1006,0))&gt;=100000), " ",IF(INDEX($P$2:$S$1001,MATCH(ROWS($I$2:I392),$I$2:$I$1001,0),MATCH(COLUMNS($P$1006:R1006),$P$1006:$S$1006,0)), HYPERLINK("#",""), HYPERLINK(CONCATENATE("#metadata!", ADDRESS(INDEX($K$2:$K$1001,MATCH(ROWS($I$2:I392),$I$2:$I$1001,0),0), INDEX($P$1004:$S$1004,1,MATCH(COLUMNS($P$1006:R1006),$P$1006:$S$1006,0)))),"Fix")))</f>
        <v>0</v>
      </c>
      <c r="E392" s="3">
        <f>IF(OR(INDEX($J$2:$J$1001,MATCH(ROWS($I$2:I392),$I$2:$I$1001,0),1)&gt;=100000,INDEX($P$1005:$S$1005,1,MATCH(COLUMNS($P$1006:S1006),$P$1006:$S$1006,0))&gt;=100000), " ",IF(INDEX($P$2:$S$1001,MATCH(ROWS($I$2:I392),$I$2:$I$1001,0),MATCH(COLUMNS($P$1006:S1006),$P$1006:$S$1006,0)), HYPERLINK("#",""), HYPERLINK(CONCATENATE("#metadata!", ADDRESS(INDEX($K$2:$K$1001,MATCH(ROWS($I$2:I392),$I$2:$I$1001,0),0), INDEX($P$1004:$S$1004,1,MATCH(COLUMNS($P$1006:S1006),$P$1006:$S$1006,0)))),"Fix")))</f>
        <v>0</v>
      </c>
      <c r="I392">
        <v>0</v>
      </c>
      <c r="J392">
        <v>0</v>
      </c>
      <c r="K392">
        <v>0</v>
      </c>
      <c r="L392">
        <f>IF(M392,TRUE,AND(P392:S392))</f>
        <v>0</v>
      </c>
      <c r="M392">
        <f>COUNTBLANK(metadata!B392:E392)=COLUMNS(metadata!B392:E392)</f>
        <v>0</v>
      </c>
      <c r="N392">
        <v>0</v>
      </c>
      <c r="P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Q392">
        <f>AND(IF(metadata!C392="",FALSE,TRUE),exact(metadata!C392,"other"))</f>
        <v>0</v>
      </c>
      <c r="R392">
        <f>AND(IF(metadata!D392="",FALSE,TRUE),exact(metadata!D392,"metagenome"))</f>
        <v>0</v>
      </c>
      <c r="S392">
        <f>AND(IF(metadata!E392="",FALSE,TRUE),exact(metadata!E392,"256318"))</f>
        <v>0</v>
      </c>
    </row>
    <row r="393" spans="1:19">
      <c r="A393" s="4">
        <f>IF(B393=" "," ",HYPERLINK(CONCATENATE("#metadata!",ADDRESS(INDEX($K$2:$K$1001,MATCH(ROWS($I$2:I393),$I$2:$I$1001,0),0),1)),INDEX($N$2:$N$1001,MATCH(ROWS($I$2:I393),$I$2:$I$1001,0),0)))</f>
        <v>0</v>
      </c>
      <c r="B393" s="3">
        <f>IF(OR(INDEX($J$2:$J$1001,MATCH(ROWS($I$2:I393),$I$2:$I$1001,0),1)&gt;=100000,INDEX($P$1005:$S$1005,1,MATCH(COLUMNS($P$1006:P1006),$P$1006:$S$1006,0))&gt;=100000), " ",IF(INDEX($P$2:$S$1001,MATCH(ROWS($I$2:I393),$I$2:$I$1001,0),MATCH(COLUMNS($P$1006:P1006),$P$1006:$S$1006,0)), HYPERLINK("#",""), HYPERLINK(CONCATENATE("#metadata!", ADDRESS(INDEX($K$2:$K$1001,MATCH(ROWS($I$2:I393),$I$2:$I$1001,0),0), INDEX($P$1004:$S$1004,1,MATCH(COLUMNS($P$1006:P1006),$P$1006:$S$1006,0)))),"Fix")))</f>
        <v>0</v>
      </c>
      <c r="C393" s="3">
        <f>IF(OR(INDEX($J$2:$J$1001,MATCH(ROWS($I$2:I393),$I$2:$I$1001,0),1)&gt;=100000,INDEX($P$1005:$S$1005,1,MATCH(COLUMNS($P$1006:Q1006),$P$1006:$S$1006,0))&gt;=100000), " ",IF(INDEX($P$2:$S$1001,MATCH(ROWS($I$2:I393),$I$2:$I$1001,0),MATCH(COLUMNS($P$1006:Q1006),$P$1006:$S$1006,0)), HYPERLINK("#",""), HYPERLINK(CONCATENATE("#metadata!", ADDRESS(INDEX($K$2:$K$1001,MATCH(ROWS($I$2:I393),$I$2:$I$1001,0),0), INDEX($P$1004:$S$1004,1,MATCH(COLUMNS($P$1006:Q1006),$P$1006:$S$1006,0)))),"Fix")))</f>
        <v>0</v>
      </c>
      <c r="D393" s="3">
        <f>IF(OR(INDEX($J$2:$J$1001,MATCH(ROWS($I$2:I393),$I$2:$I$1001,0),1)&gt;=100000,INDEX($P$1005:$S$1005,1,MATCH(COLUMNS($P$1006:R1006),$P$1006:$S$1006,0))&gt;=100000), " ",IF(INDEX($P$2:$S$1001,MATCH(ROWS($I$2:I393),$I$2:$I$1001,0),MATCH(COLUMNS($P$1006:R1006),$P$1006:$S$1006,0)), HYPERLINK("#",""), HYPERLINK(CONCATENATE("#metadata!", ADDRESS(INDEX($K$2:$K$1001,MATCH(ROWS($I$2:I393),$I$2:$I$1001,0),0), INDEX($P$1004:$S$1004,1,MATCH(COLUMNS($P$1006:R1006),$P$1006:$S$1006,0)))),"Fix")))</f>
        <v>0</v>
      </c>
      <c r="E393" s="3">
        <f>IF(OR(INDEX($J$2:$J$1001,MATCH(ROWS($I$2:I393),$I$2:$I$1001,0),1)&gt;=100000,INDEX($P$1005:$S$1005,1,MATCH(COLUMNS($P$1006:S1006),$P$1006:$S$1006,0))&gt;=100000), " ",IF(INDEX($P$2:$S$1001,MATCH(ROWS($I$2:I393),$I$2:$I$1001,0),MATCH(COLUMNS($P$1006:S1006),$P$1006:$S$1006,0)), HYPERLINK("#",""), HYPERLINK(CONCATENATE("#metadata!", ADDRESS(INDEX($K$2:$K$1001,MATCH(ROWS($I$2:I393),$I$2:$I$1001,0),0), INDEX($P$1004:$S$1004,1,MATCH(COLUMNS($P$1006:S1006),$P$1006:$S$1006,0)))),"Fix")))</f>
        <v>0</v>
      </c>
      <c r="I393">
        <v>0</v>
      </c>
      <c r="J393">
        <v>0</v>
      </c>
      <c r="K393">
        <v>0</v>
      </c>
      <c r="L393">
        <f>IF(M393,TRUE,AND(P393:S393))</f>
        <v>0</v>
      </c>
      <c r="M393">
        <f>COUNTBLANK(metadata!B393:E393)=COLUMNS(metadata!B393:E393)</f>
        <v>0</v>
      </c>
      <c r="N393">
        <v>0</v>
      </c>
      <c r="P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Q393">
        <f>AND(IF(metadata!C393="",FALSE,TRUE),exact(metadata!C393,"other"))</f>
        <v>0</v>
      </c>
      <c r="R393">
        <f>AND(IF(metadata!D393="",FALSE,TRUE),exact(metadata!D393,"metagenome"))</f>
        <v>0</v>
      </c>
      <c r="S393">
        <f>AND(IF(metadata!E393="",FALSE,TRUE),exact(metadata!E393,"256318"))</f>
        <v>0</v>
      </c>
    </row>
    <row r="394" spans="1:19">
      <c r="A394" s="4">
        <f>IF(B394=" "," ",HYPERLINK(CONCATENATE("#metadata!",ADDRESS(INDEX($K$2:$K$1001,MATCH(ROWS($I$2:I394),$I$2:$I$1001,0),0),1)),INDEX($N$2:$N$1001,MATCH(ROWS($I$2:I394),$I$2:$I$1001,0),0)))</f>
        <v>0</v>
      </c>
      <c r="B394" s="3">
        <f>IF(OR(INDEX($J$2:$J$1001,MATCH(ROWS($I$2:I394),$I$2:$I$1001,0),1)&gt;=100000,INDEX($P$1005:$S$1005,1,MATCH(COLUMNS($P$1006:P1006),$P$1006:$S$1006,0))&gt;=100000), " ",IF(INDEX($P$2:$S$1001,MATCH(ROWS($I$2:I394),$I$2:$I$1001,0),MATCH(COLUMNS($P$1006:P1006),$P$1006:$S$1006,0)), HYPERLINK("#",""), HYPERLINK(CONCATENATE("#metadata!", ADDRESS(INDEX($K$2:$K$1001,MATCH(ROWS($I$2:I394),$I$2:$I$1001,0),0), INDEX($P$1004:$S$1004,1,MATCH(COLUMNS($P$1006:P1006),$P$1006:$S$1006,0)))),"Fix")))</f>
        <v>0</v>
      </c>
      <c r="C394" s="3">
        <f>IF(OR(INDEX($J$2:$J$1001,MATCH(ROWS($I$2:I394),$I$2:$I$1001,0),1)&gt;=100000,INDEX($P$1005:$S$1005,1,MATCH(COLUMNS($P$1006:Q1006),$P$1006:$S$1006,0))&gt;=100000), " ",IF(INDEX($P$2:$S$1001,MATCH(ROWS($I$2:I394),$I$2:$I$1001,0),MATCH(COLUMNS($P$1006:Q1006),$P$1006:$S$1006,0)), HYPERLINK("#",""), HYPERLINK(CONCATENATE("#metadata!", ADDRESS(INDEX($K$2:$K$1001,MATCH(ROWS($I$2:I394),$I$2:$I$1001,0),0), INDEX($P$1004:$S$1004,1,MATCH(COLUMNS($P$1006:Q1006),$P$1006:$S$1006,0)))),"Fix")))</f>
        <v>0</v>
      </c>
      <c r="D394" s="3">
        <f>IF(OR(INDEX($J$2:$J$1001,MATCH(ROWS($I$2:I394),$I$2:$I$1001,0),1)&gt;=100000,INDEX($P$1005:$S$1005,1,MATCH(COLUMNS($P$1006:R1006),$P$1006:$S$1006,0))&gt;=100000), " ",IF(INDEX($P$2:$S$1001,MATCH(ROWS($I$2:I394),$I$2:$I$1001,0),MATCH(COLUMNS($P$1006:R1006),$P$1006:$S$1006,0)), HYPERLINK("#",""), HYPERLINK(CONCATENATE("#metadata!", ADDRESS(INDEX($K$2:$K$1001,MATCH(ROWS($I$2:I394),$I$2:$I$1001,0),0), INDEX($P$1004:$S$1004,1,MATCH(COLUMNS($P$1006:R1006),$P$1006:$S$1006,0)))),"Fix")))</f>
        <v>0</v>
      </c>
      <c r="E394" s="3">
        <f>IF(OR(INDEX($J$2:$J$1001,MATCH(ROWS($I$2:I394),$I$2:$I$1001,0),1)&gt;=100000,INDEX($P$1005:$S$1005,1,MATCH(COLUMNS($P$1006:S1006),$P$1006:$S$1006,0))&gt;=100000), " ",IF(INDEX($P$2:$S$1001,MATCH(ROWS($I$2:I394),$I$2:$I$1001,0),MATCH(COLUMNS($P$1006:S1006),$P$1006:$S$1006,0)), HYPERLINK("#",""), HYPERLINK(CONCATENATE("#metadata!", ADDRESS(INDEX($K$2:$K$1001,MATCH(ROWS($I$2:I394),$I$2:$I$1001,0),0), INDEX($P$1004:$S$1004,1,MATCH(COLUMNS($P$1006:S1006),$P$1006:$S$1006,0)))),"Fix")))</f>
        <v>0</v>
      </c>
      <c r="I394">
        <v>0</v>
      </c>
      <c r="J394">
        <v>0</v>
      </c>
      <c r="K394">
        <v>0</v>
      </c>
      <c r="L394">
        <f>IF(M394,TRUE,AND(P394:S394))</f>
        <v>0</v>
      </c>
      <c r="M394">
        <f>COUNTBLANK(metadata!B394:E394)=COLUMNS(metadata!B394:E394)</f>
        <v>0</v>
      </c>
      <c r="N394">
        <v>0</v>
      </c>
      <c r="P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Q394">
        <f>AND(IF(metadata!C394="",FALSE,TRUE),exact(metadata!C394,"other"))</f>
        <v>0</v>
      </c>
      <c r="R394">
        <f>AND(IF(metadata!D394="",FALSE,TRUE),exact(metadata!D394,"metagenome"))</f>
        <v>0</v>
      </c>
      <c r="S394">
        <f>AND(IF(metadata!E394="",FALSE,TRUE),exact(metadata!E394,"256318"))</f>
        <v>0</v>
      </c>
    </row>
    <row r="395" spans="1:19">
      <c r="A395" s="4">
        <f>IF(B395=" "," ",HYPERLINK(CONCATENATE("#metadata!",ADDRESS(INDEX($K$2:$K$1001,MATCH(ROWS($I$2:I395),$I$2:$I$1001,0),0),1)),INDEX($N$2:$N$1001,MATCH(ROWS($I$2:I395),$I$2:$I$1001,0),0)))</f>
        <v>0</v>
      </c>
      <c r="B395" s="3">
        <f>IF(OR(INDEX($J$2:$J$1001,MATCH(ROWS($I$2:I395),$I$2:$I$1001,0),1)&gt;=100000,INDEX($P$1005:$S$1005,1,MATCH(COLUMNS($P$1006:P1006),$P$1006:$S$1006,0))&gt;=100000), " ",IF(INDEX($P$2:$S$1001,MATCH(ROWS($I$2:I395),$I$2:$I$1001,0),MATCH(COLUMNS($P$1006:P1006),$P$1006:$S$1006,0)), HYPERLINK("#",""), HYPERLINK(CONCATENATE("#metadata!", ADDRESS(INDEX($K$2:$K$1001,MATCH(ROWS($I$2:I395),$I$2:$I$1001,0),0), INDEX($P$1004:$S$1004,1,MATCH(COLUMNS($P$1006:P1006),$P$1006:$S$1006,0)))),"Fix")))</f>
        <v>0</v>
      </c>
      <c r="C395" s="3">
        <f>IF(OR(INDEX($J$2:$J$1001,MATCH(ROWS($I$2:I395),$I$2:$I$1001,0),1)&gt;=100000,INDEX($P$1005:$S$1005,1,MATCH(COLUMNS($P$1006:Q1006),$P$1006:$S$1006,0))&gt;=100000), " ",IF(INDEX($P$2:$S$1001,MATCH(ROWS($I$2:I395),$I$2:$I$1001,0),MATCH(COLUMNS($P$1006:Q1006),$P$1006:$S$1006,0)), HYPERLINK("#",""), HYPERLINK(CONCATENATE("#metadata!", ADDRESS(INDEX($K$2:$K$1001,MATCH(ROWS($I$2:I395),$I$2:$I$1001,0),0), INDEX($P$1004:$S$1004,1,MATCH(COLUMNS($P$1006:Q1006),$P$1006:$S$1006,0)))),"Fix")))</f>
        <v>0</v>
      </c>
      <c r="D395" s="3">
        <f>IF(OR(INDEX($J$2:$J$1001,MATCH(ROWS($I$2:I395),$I$2:$I$1001,0),1)&gt;=100000,INDEX($P$1005:$S$1005,1,MATCH(COLUMNS($P$1006:R1006),$P$1006:$S$1006,0))&gt;=100000), " ",IF(INDEX($P$2:$S$1001,MATCH(ROWS($I$2:I395),$I$2:$I$1001,0),MATCH(COLUMNS($P$1006:R1006),$P$1006:$S$1006,0)), HYPERLINK("#",""), HYPERLINK(CONCATENATE("#metadata!", ADDRESS(INDEX($K$2:$K$1001,MATCH(ROWS($I$2:I395),$I$2:$I$1001,0),0), INDEX($P$1004:$S$1004,1,MATCH(COLUMNS($P$1006:R1006),$P$1006:$S$1006,0)))),"Fix")))</f>
        <v>0</v>
      </c>
      <c r="E395" s="3">
        <f>IF(OR(INDEX($J$2:$J$1001,MATCH(ROWS($I$2:I395),$I$2:$I$1001,0),1)&gt;=100000,INDEX($P$1005:$S$1005,1,MATCH(COLUMNS($P$1006:S1006),$P$1006:$S$1006,0))&gt;=100000), " ",IF(INDEX($P$2:$S$1001,MATCH(ROWS($I$2:I395),$I$2:$I$1001,0),MATCH(COLUMNS($P$1006:S1006),$P$1006:$S$1006,0)), HYPERLINK("#",""), HYPERLINK(CONCATENATE("#metadata!", ADDRESS(INDEX($K$2:$K$1001,MATCH(ROWS($I$2:I395),$I$2:$I$1001,0),0), INDEX($P$1004:$S$1004,1,MATCH(COLUMNS($P$1006:S1006),$P$1006:$S$1006,0)))),"Fix")))</f>
        <v>0</v>
      </c>
      <c r="I395">
        <v>0</v>
      </c>
      <c r="J395">
        <v>0</v>
      </c>
      <c r="K395">
        <v>0</v>
      </c>
      <c r="L395">
        <f>IF(M395,TRUE,AND(P395:S395))</f>
        <v>0</v>
      </c>
      <c r="M395">
        <f>COUNTBLANK(metadata!B395:E395)=COLUMNS(metadata!B395:E395)</f>
        <v>0</v>
      </c>
      <c r="N395">
        <v>0</v>
      </c>
      <c r="P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Q395">
        <f>AND(IF(metadata!C395="",FALSE,TRUE),exact(metadata!C395,"other"))</f>
        <v>0</v>
      </c>
      <c r="R395">
        <f>AND(IF(metadata!D395="",FALSE,TRUE),exact(metadata!D395,"metagenome"))</f>
        <v>0</v>
      </c>
      <c r="S395">
        <f>AND(IF(metadata!E395="",FALSE,TRUE),exact(metadata!E395,"256318"))</f>
        <v>0</v>
      </c>
    </row>
    <row r="396" spans="1:19">
      <c r="A396" s="4">
        <f>IF(B396=" "," ",HYPERLINK(CONCATENATE("#metadata!",ADDRESS(INDEX($K$2:$K$1001,MATCH(ROWS($I$2:I396),$I$2:$I$1001,0),0),1)),INDEX($N$2:$N$1001,MATCH(ROWS($I$2:I396),$I$2:$I$1001,0),0)))</f>
        <v>0</v>
      </c>
      <c r="B396" s="3">
        <f>IF(OR(INDEX($J$2:$J$1001,MATCH(ROWS($I$2:I396),$I$2:$I$1001,0),1)&gt;=100000,INDEX($P$1005:$S$1005,1,MATCH(COLUMNS($P$1006:P1006),$P$1006:$S$1006,0))&gt;=100000), " ",IF(INDEX($P$2:$S$1001,MATCH(ROWS($I$2:I396),$I$2:$I$1001,0),MATCH(COLUMNS($P$1006:P1006),$P$1006:$S$1006,0)), HYPERLINK("#",""), HYPERLINK(CONCATENATE("#metadata!", ADDRESS(INDEX($K$2:$K$1001,MATCH(ROWS($I$2:I396),$I$2:$I$1001,0),0), INDEX($P$1004:$S$1004,1,MATCH(COLUMNS($P$1006:P1006),$P$1006:$S$1006,0)))),"Fix")))</f>
        <v>0</v>
      </c>
      <c r="C396" s="3">
        <f>IF(OR(INDEX($J$2:$J$1001,MATCH(ROWS($I$2:I396),$I$2:$I$1001,0),1)&gt;=100000,INDEX($P$1005:$S$1005,1,MATCH(COLUMNS($P$1006:Q1006),$P$1006:$S$1006,0))&gt;=100000), " ",IF(INDEX($P$2:$S$1001,MATCH(ROWS($I$2:I396),$I$2:$I$1001,0),MATCH(COLUMNS($P$1006:Q1006),$P$1006:$S$1006,0)), HYPERLINK("#",""), HYPERLINK(CONCATENATE("#metadata!", ADDRESS(INDEX($K$2:$K$1001,MATCH(ROWS($I$2:I396),$I$2:$I$1001,0),0), INDEX($P$1004:$S$1004,1,MATCH(COLUMNS($P$1006:Q1006),$P$1006:$S$1006,0)))),"Fix")))</f>
        <v>0</v>
      </c>
      <c r="D396" s="3">
        <f>IF(OR(INDEX($J$2:$J$1001,MATCH(ROWS($I$2:I396),$I$2:$I$1001,0),1)&gt;=100000,INDEX($P$1005:$S$1005,1,MATCH(COLUMNS($P$1006:R1006),$P$1006:$S$1006,0))&gt;=100000), " ",IF(INDEX($P$2:$S$1001,MATCH(ROWS($I$2:I396),$I$2:$I$1001,0),MATCH(COLUMNS($P$1006:R1006),$P$1006:$S$1006,0)), HYPERLINK("#",""), HYPERLINK(CONCATENATE("#metadata!", ADDRESS(INDEX($K$2:$K$1001,MATCH(ROWS($I$2:I396),$I$2:$I$1001,0),0), INDEX($P$1004:$S$1004,1,MATCH(COLUMNS($P$1006:R1006),$P$1006:$S$1006,0)))),"Fix")))</f>
        <v>0</v>
      </c>
      <c r="E396" s="3">
        <f>IF(OR(INDEX($J$2:$J$1001,MATCH(ROWS($I$2:I396),$I$2:$I$1001,0),1)&gt;=100000,INDEX($P$1005:$S$1005,1,MATCH(COLUMNS($P$1006:S1006),$P$1006:$S$1006,0))&gt;=100000), " ",IF(INDEX($P$2:$S$1001,MATCH(ROWS($I$2:I396),$I$2:$I$1001,0),MATCH(COLUMNS($P$1006:S1006),$P$1006:$S$1006,0)), HYPERLINK("#",""), HYPERLINK(CONCATENATE("#metadata!", ADDRESS(INDEX($K$2:$K$1001,MATCH(ROWS($I$2:I396),$I$2:$I$1001,0),0), INDEX($P$1004:$S$1004,1,MATCH(COLUMNS($P$1006:S1006),$P$1006:$S$1006,0)))),"Fix")))</f>
        <v>0</v>
      </c>
      <c r="I396">
        <v>0</v>
      </c>
      <c r="J396">
        <v>0</v>
      </c>
      <c r="K396">
        <v>0</v>
      </c>
      <c r="L396">
        <f>IF(M396,TRUE,AND(P396:S396))</f>
        <v>0</v>
      </c>
      <c r="M396">
        <f>COUNTBLANK(metadata!B396:E396)=COLUMNS(metadata!B396:E396)</f>
        <v>0</v>
      </c>
      <c r="N396">
        <v>0</v>
      </c>
      <c r="P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Q396">
        <f>AND(IF(metadata!C396="",FALSE,TRUE),exact(metadata!C396,"other"))</f>
        <v>0</v>
      </c>
      <c r="R396">
        <f>AND(IF(metadata!D396="",FALSE,TRUE),exact(metadata!D396,"metagenome"))</f>
        <v>0</v>
      </c>
      <c r="S396">
        <f>AND(IF(metadata!E396="",FALSE,TRUE),exact(metadata!E396,"256318"))</f>
        <v>0</v>
      </c>
    </row>
    <row r="397" spans="1:19">
      <c r="A397" s="4">
        <f>IF(B397=" "," ",HYPERLINK(CONCATENATE("#metadata!",ADDRESS(INDEX($K$2:$K$1001,MATCH(ROWS($I$2:I397),$I$2:$I$1001,0),0),1)),INDEX($N$2:$N$1001,MATCH(ROWS($I$2:I397),$I$2:$I$1001,0),0)))</f>
        <v>0</v>
      </c>
      <c r="B397" s="3">
        <f>IF(OR(INDEX($J$2:$J$1001,MATCH(ROWS($I$2:I397),$I$2:$I$1001,0),1)&gt;=100000,INDEX($P$1005:$S$1005,1,MATCH(COLUMNS($P$1006:P1006),$P$1006:$S$1006,0))&gt;=100000), " ",IF(INDEX($P$2:$S$1001,MATCH(ROWS($I$2:I397),$I$2:$I$1001,0),MATCH(COLUMNS($P$1006:P1006),$P$1006:$S$1006,0)), HYPERLINK("#",""), HYPERLINK(CONCATENATE("#metadata!", ADDRESS(INDEX($K$2:$K$1001,MATCH(ROWS($I$2:I397),$I$2:$I$1001,0),0), INDEX($P$1004:$S$1004,1,MATCH(COLUMNS($P$1006:P1006),$P$1006:$S$1006,0)))),"Fix")))</f>
        <v>0</v>
      </c>
      <c r="C397" s="3">
        <f>IF(OR(INDEX($J$2:$J$1001,MATCH(ROWS($I$2:I397),$I$2:$I$1001,0),1)&gt;=100000,INDEX($P$1005:$S$1005,1,MATCH(COLUMNS($P$1006:Q1006),$P$1006:$S$1006,0))&gt;=100000), " ",IF(INDEX($P$2:$S$1001,MATCH(ROWS($I$2:I397),$I$2:$I$1001,0),MATCH(COLUMNS($P$1006:Q1006),$P$1006:$S$1006,0)), HYPERLINK("#",""), HYPERLINK(CONCATENATE("#metadata!", ADDRESS(INDEX($K$2:$K$1001,MATCH(ROWS($I$2:I397),$I$2:$I$1001,0),0), INDEX($P$1004:$S$1004,1,MATCH(COLUMNS($P$1006:Q1006),$P$1006:$S$1006,0)))),"Fix")))</f>
        <v>0</v>
      </c>
      <c r="D397" s="3">
        <f>IF(OR(INDEX($J$2:$J$1001,MATCH(ROWS($I$2:I397),$I$2:$I$1001,0),1)&gt;=100000,INDEX($P$1005:$S$1005,1,MATCH(COLUMNS($P$1006:R1006),$P$1006:$S$1006,0))&gt;=100000), " ",IF(INDEX($P$2:$S$1001,MATCH(ROWS($I$2:I397),$I$2:$I$1001,0),MATCH(COLUMNS($P$1006:R1006),$P$1006:$S$1006,0)), HYPERLINK("#",""), HYPERLINK(CONCATENATE("#metadata!", ADDRESS(INDEX($K$2:$K$1001,MATCH(ROWS($I$2:I397),$I$2:$I$1001,0),0), INDEX($P$1004:$S$1004,1,MATCH(COLUMNS($P$1006:R1006),$P$1006:$S$1006,0)))),"Fix")))</f>
        <v>0</v>
      </c>
      <c r="E397" s="3">
        <f>IF(OR(INDEX($J$2:$J$1001,MATCH(ROWS($I$2:I397),$I$2:$I$1001,0),1)&gt;=100000,INDEX($P$1005:$S$1005,1,MATCH(COLUMNS($P$1006:S1006),$P$1006:$S$1006,0))&gt;=100000), " ",IF(INDEX($P$2:$S$1001,MATCH(ROWS($I$2:I397),$I$2:$I$1001,0),MATCH(COLUMNS($P$1006:S1006),$P$1006:$S$1006,0)), HYPERLINK("#",""), HYPERLINK(CONCATENATE("#metadata!", ADDRESS(INDEX($K$2:$K$1001,MATCH(ROWS($I$2:I397),$I$2:$I$1001,0),0), INDEX($P$1004:$S$1004,1,MATCH(COLUMNS($P$1006:S1006),$P$1006:$S$1006,0)))),"Fix")))</f>
        <v>0</v>
      </c>
      <c r="I397">
        <v>0</v>
      </c>
      <c r="J397">
        <v>0</v>
      </c>
      <c r="K397">
        <v>0</v>
      </c>
      <c r="L397">
        <f>IF(M397,TRUE,AND(P397:S397))</f>
        <v>0</v>
      </c>
      <c r="M397">
        <f>COUNTBLANK(metadata!B397:E397)=COLUMNS(metadata!B397:E397)</f>
        <v>0</v>
      </c>
      <c r="N397">
        <v>0</v>
      </c>
      <c r="P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Q397">
        <f>AND(IF(metadata!C397="",FALSE,TRUE),exact(metadata!C397,"other"))</f>
        <v>0</v>
      </c>
      <c r="R397">
        <f>AND(IF(metadata!D397="",FALSE,TRUE),exact(metadata!D397,"metagenome"))</f>
        <v>0</v>
      </c>
      <c r="S397">
        <f>AND(IF(metadata!E397="",FALSE,TRUE),exact(metadata!E397,"256318"))</f>
        <v>0</v>
      </c>
    </row>
    <row r="398" spans="1:19">
      <c r="A398" s="4">
        <f>IF(B398=" "," ",HYPERLINK(CONCATENATE("#metadata!",ADDRESS(INDEX($K$2:$K$1001,MATCH(ROWS($I$2:I398),$I$2:$I$1001,0),0),1)),INDEX($N$2:$N$1001,MATCH(ROWS($I$2:I398),$I$2:$I$1001,0),0)))</f>
        <v>0</v>
      </c>
      <c r="B398" s="3">
        <f>IF(OR(INDEX($J$2:$J$1001,MATCH(ROWS($I$2:I398),$I$2:$I$1001,0),1)&gt;=100000,INDEX($P$1005:$S$1005,1,MATCH(COLUMNS($P$1006:P1006),$P$1006:$S$1006,0))&gt;=100000), " ",IF(INDEX($P$2:$S$1001,MATCH(ROWS($I$2:I398),$I$2:$I$1001,0),MATCH(COLUMNS($P$1006:P1006),$P$1006:$S$1006,0)), HYPERLINK("#",""), HYPERLINK(CONCATENATE("#metadata!", ADDRESS(INDEX($K$2:$K$1001,MATCH(ROWS($I$2:I398),$I$2:$I$1001,0),0), INDEX($P$1004:$S$1004,1,MATCH(COLUMNS($P$1006:P1006),$P$1006:$S$1006,0)))),"Fix")))</f>
        <v>0</v>
      </c>
      <c r="C398" s="3">
        <f>IF(OR(INDEX($J$2:$J$1001,MATCH(ROWS($I$2:I398),$I$2:$I$1001,0),1)&gt;=100000,INDEX($P$1005:$S$1005,1,MATCH(COLUMNS($P$1006:Q1006),$P$1006:$S$1006,0))&gt;=100000), " ",IF(INDEX($P$2:$S$1001,MATCH(ROWS($I$2:I398),$I$2:$I$1001,0),MATCH(COLUMNS($P$1006:Q1006),$P$1006:$S$1006,0)), HYPERLINK("#",""), HYPERLINK(CONCATENATE("#metadata!", ADDRESS(INDEX($K$2:$K$1001,MATCH(ROWS($I$2:I398),$I$2:$I$1001,0),0), INDEX($P$1004:$S$1004,1,MATCH(COLUMNS($P$1006:Q1006),$P$1006:$S$1006,0)))),"Fix")))</f>
        <v>0</v>
      </c>
      <c r="D398" s="3">
        <f>IF(OR(INDEX($J$2:$J$1001,MATCH(ROWS($I$2:I398),$I$2:$I$1001,0),1)&gt;=100000,INDEX($P$1005:$S$1005,1,MATCH(COLUMNS($P$1006:R1006),$P$1006:$S$1006,0))&gt;=100000), " ",IF(INDEX($P$2:$S$1001,MATCH(ROWS($I$2:I398),$I$2:$I$1001,0),MATCH(COLUMNS($P$1006:R1006),$P$1006:$S$1006,0)), HYPERLINK("#",""), HYPERLINK(CONCATENATE("#metadata!", ADDRESS(INDEX($K$2:$K$1001,MATCH(ROWS($I$2:I398),$I$2:$I$1001,0),0), INDEX($P$1004:$S$1004,1,MATCH(COLUMNS($P$1006:R1006),$P$1006:$S$1006,0)))),"Fix")))</f>
        <v>0</v>
      </c>
      <c r="E398" s="3">
        <f>IF(OR(INDEX($J$2:$J$1001,MATCH(ROWS($I$2:I398),$I$2:$I$1001,0),1)&gt;=100000,INDEX($P$1005:$S$1005,1,MATCH(COLUMNS($P$1006:S1006),$P$1006:$S$1006,0))&gt;=100000), " ",IF(INDEX($P$2:$S$1001,MATCH(ROWS($I$2:I398),$I$2:$I$1001,0),MATCH(COLUMNS($P$1006:S1006),$P$1006:$S$1006,0)), HYPERLINK("#",""), HYPERLINK(CONCATENATE("#metadata!", ADDRESS(INDEX($K$2:$K$1001,MATCH(ROWS($I$2:I398),$I$2:$I$1001,0),0), INDEX($P$1004:$S$1004,1,MATCH(COLUMNS($P$1006:S1006),$P$1006:$S$1006,0)))),"Fix")))</f>
        <v>0</v>
      </c>
      <c r="I398">
        <v>0</v>
      </c>
      <c r="J398">
        <v>0</v>
      </c>
      <c r="K398">
        <v>0</v>
      </c>
      <c r="L398">
        <f>IF(M398,TRUE,AND(P398:S398))</f>
        <v>0</v>
      </c>
      <c r="M398">
        <f>COUNTBLANK(metadata!B398:E398)=COLUMNS(metadata!B398:E398)</f>
        <v>0</v>
      </c>
      <c r="N398">
        <v>0</v>
      </c>
      <c r="P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Q398">
        <f>AND(IF(metadata!C398="",FALSE,TRUE),exact(metadata!C398,"other"))</f>
        <v>0</v>
      </c>
      <c r="R398">
        <f>AND(IF(metadata!D398="",FALSE,TRUE),exact(metadata!D398,"metagenome"))</f>
        <v>0</v>
      </c>
      <c r="S398">
        <f>AND(IF(metadata!E398="",FALSE,TRUE),exact(metadata!E398,"256318"))</f>
        <v>0</v>
      </c>
    </row>
    <row r="399" spans="1:19">
      <c r="A399" s="4">
        <f>IF(B399=" "," ",HYPERLINK(CONCATENATE("#metadata!",ADDRESS(INDEX($K$2:$K$1001,MATCH(ROWS($I$2:I399),$I$2:$I$1001,0),0),1)),INDEX($N$2:$N$1001,MATCH(ROWS($I$2:I399),$I$2:$I$1001,0),0)))</f>
        <v>0</v>
      </c>
      <c r="B399" s="3">
        <f>IF(OR(INDEX($J$2:$J$1001,MATCH(ROWS($I$2:I399),$I$2:$I$1001,0),1)&gt;=100000,INDEX($P$1005:$S$1005,1,MATCH(COLUMNS($P$1006:P1006),$P$1006:$S$1006,0))&gt;=100000), " ",IF(INDEX($P$2:$S$1001,MATCH(ROWS($I$2:I399),$I$2:$I$1001,0),MATCH(COLUMNS($P$1006:P1006),$P$1006:$S$1006,0)), HYPERLINK("#",""), HYPERLINK(CONCATENATE("#metadata!", ADDRESS(INDEX($K$2:$K$1001,MATCH(ROWS($I$2:I399),$I$2:$I$1001,0),0), INDEX($P$1004:$S$1004,1,MATCH(COLUMNS($P$1006:P1006),$P$1006:$S$1006,0)))),"Fix")))</f>
        <v>0</v>
      </c>
      <c r="C399" s="3">
        <f>IF(OR(INDEX($J$2:$J$1001,MATCH(ROWS($I$2:I399),$I$2:$I$1001,0),1)&gt;=100000,INDEX($P$1005:$S$1005,1,MATCH(COLUMNS($P$1006:Q1006),$P$1006:$S$1006,0))&gt;=100000), " ",IF(INDEX($P$2:$S$1001,MATCH(ROWS($I$2:I399),$I$2:$I$1001,0),MATCH(COLUMNS($P$1006:Q1006),$P$1006:$S$1006,0)), HYPERLINK("#",""), HYPERLINK(CONCATENATE("#metadata!", ADDRESS(INDEX($K$2:$K$1001,MATCH(ROWS($I$2:I399),$I$2:$I$1001,0),0), INDEX($P$1004:$S$1004,1,MATCH(COLUMNS($P$1006:Q1006),$P$1006:$S$1006,0)))),"Fix")))</f>
        <v>0</v>
      </c>
      <c r="D399" s="3">
        <f>IF(OR(INDEX($J$2:$J$1001,MATCH(ROWS($I$2:I399),$I$2:$I$1001,0),1)&gt;=100000,INDEX($P$1005:$S$1005,1,MATCH(COLUMNS($P$1006:R1006),$P$1006:$S$1006,0))&gt;=100000), " ",IF(INDEX($P$2:$S$1001,MATCH(ROWS($I$2:I399),$I$2:$I$1001,0),MATCH(COLUMNS($P$1006:R1006),$P$1006:$S$1006,0)), HYPERLINK("#",""), HYPERLINK(CONCATENATE("#metadata!", ADDRESS(INDEX($K$2:$K$1001,MATCH(ROWS($I$2:I399),$I$2:$I$1001,0),0), INDEX($P$1004:$S$1004,1,MATCH(COLUMNS($P$1006:R1006),$P$1006:$S$1006,0)))),"Fix")))</f>
        <v>0</v>
      </c>
      <c r="E399" s="3">
        <f>IF(OR(INDEX($J$2:$J$1001,MATCH(ROWS($I$2:I399),$I$2:$I$1001,0),1)&gt;=100000,INDEX($P$1005:$S$1005,1,MATCH(COLUMNS($P$1006:S1006),$P$1006:$S$1006,0))&gt;=100000), " ",IF(INDEX($P$2:$S$1001,MATCH(ROWS($I$2:I399),$I$2:$I$1001,0),MATCH(COLUMNS($P$1006:S1006),$P$1006:$S$1006,0)), HYPERLINK("#",""), HYPERLINK(CONCATENATE("#metadata!", ADDRESS(INDEX($K$2:$K$1001,MATCH(ROWS($I$2:I399),$I$2:$I$1001,0),0), INDEX($P$1004:$S$1004,1,MATCH(COLUMNS($P$1006:S1006),$P$1006:$S$1006,0)))),"Fix")))</f>
        <v>0</v>
      </c>
      <c r="I399">
        <v>0</v>
      </c>
      <c r="J399">
        <v>0</v>
      </c>
      <c r="K399">
        <v>0</v>
      </c>
      <c r="L399">
        <f>IF(M399,TRUE,AND(P399:S399))</f>
        <v>0</v>
      </c>
      <c r="M399">
        <f>COUNTBLANK(metadata!B399:E399)=COLUMNS(metadata!B399:E399)</f>
        <v>0</v>
      </c>
      <c r="N399">
        <v>0</v>
      </c>
      <c r="P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Q399">
        <f>AND(IF(metadata!C399="",FALSE,TRUE),exact(metadata!C399,"other"))</f>
        <v>0</v>
      </c>
      <c r="R399">
        <f>AND(IF(metadata!D399="",FALSE,TRUE),exact(metadata!D399,"metagenome"))</f>
        <v>0</v>
      </c>
      <c r="S399">
        <f>AND(IF(metadata!E399="",FALSE,TRUE),exact(metadata!E399,"256318"))</f>
        <v>0</v>
      </c>
    </row>
    <row r="400" spans="1:19">
      <c r="A400" s="4">
        <f>IF(B400=" "," ",HYPERLINK(CONCATENATE("#metadata!",ADDRESS(INDEX($K$2:$K$1001,MATCH(ROWS($I$2:I400),$I$2:$I$1001,0),0),1)),INDEX($N$2:$N$1001,MATCH(ROWS($I$2:I400),$I$2:$I$1001,0),0)))</f>
        <v>0</v>
      </c>
      <c r="B400" s="3">
        <f>IF(OR(INDEX($J$2:$J$1001,MATCH(ROWS($I$2:I400),$I$2:$I$1001,0),1)&gt;=100000,INDEX($P$1005:$S$1005,1,MATCH(COLUMNS($P$1006:P1006),$P$1006:$S$1006,0))&gt;=100000), " ",IF(INDEX($P$2:$S$1001,MATCH(ROWS($I$2:I400),$I$2:$I$1001,0),MATCH(COLUMNS($P$1006:P1006),$P$1006:$S$1006,0)), HYPERLINK("#",""), HYPERLINK(CONCATENATE("#metadata!", ADDRESS(INDEX($K$2:$K$1001,MATCH(ROWS($I$2:I400),$I$2:$I$1001,0),0), INDEX($P$1004:$S$1004,1,MATCH(COLUMNS($P$1006:P1006),$P$1006:$S$1006,0)))),"Fix")))</f>
        <v>0</v>
      </c>
      <c r="C400" s="3">
        <f>IF(OR(INDEX($J$2:$J$1001,MATCH(ROWS($I$2:I400),$I$2:$I$1001,0),1)&gt;=100000,INDEX($P$1005:$S$1005,1,MATCH(COLUMNS($P$1006:Q1006),$P$1006:$S$1006,0))&gt;=100000), " ",IF(INDEX($P$2:$S$1001,MATCH(ROWS($I$2:I400),$I$2:$I$1001,0),MATCH(COLUMNS($P$1006:Q1006),$P$1006:$S$1006,0)), HYPERLINK("#",""), HYPERLINK(CONCATENATE("#metadata!", ADDRESS(INDEX($K$2:$K$1001,MATCH(ROWS($I$2:I400),$I$2:$I$1001,0),0), INDEX($P$1004:$S$1004,1,MATCH(COLUMNS($P$1006:Q1006),$P$1006:$S$1006,0)))),"Fix")))</f>
        <v>0</v>
      </c>
      <c r="D400" s="3">
        <f>IF(OR(INDEX($J$2:$J$1001,MATCH(ROWS($I$2:I400),$I$2:$I$1001,0),1)&gt;=100000,INDEX($P$1005:$S$1005,1,MATCH(COLUMNS($P$1006:R1006),$P$1006:$S$1006,0))&gt;=100000), " ",IF(INDEX($P$2:$S$1001,MATCH(ROWS($I$2:I400),$I$2:$I$1001,0),MATCH(COLUMNS($P$1006:R1006),$P$1006:$S$1006,0)), HYPERLINK("#",""), HYPERLINK(CONCATENATE("#metadata!", ADDRESS(INDEX($K$2:$K$1001,MATCH(ROWS($I$2:I400),$I$2:$I$1001,0),0), INDEX($P$1004:$S$1004,1,MATCH(COLUMNS($P$1006:R1006),$P$1006:$S$1006,0)))),"Fix")))</f>
        <v>0</v>
      </c>
      <c r="E400" s="3">
        <f>IF(OR(INDEX($J$2:$J$1001,MATCH(ROWS($I$2:I400),$I$2:$I$1001,0),1)&gt;=100000,INDEX($P$1005:$S$1005,1,MATCH(COLUMNS($P$1006:S1006),$P$1006:$S$1006,0))&gt;=100000), " ",IF(INDEX($P$2:$S$1001,MATCH(ROWS($I$2:I400),$I$2:$I$1001,0),MATCH(COLUMNS($P$1006:S1006),$P$1006:$S$1006,0)), HYPERLINK("#",""), HYPERLINK(CONCATENATE("#metadata!", ADDRESS(INDEX($K$2:$K$1001,MATCH(ROWS($I$2:I400),$I$2:$I$1001,0),0), INDEX($P$1004:$S$1004,1,MATCH(COLUMNS($P$1006:S1006),$P$1006:$S$1006,0)))),"Fix")))</f>
        <v>0</v>
      </c>
      <c r="I400">
        <v>0</v>
      </c>
      <c r="J400">
        <v>0</v>
      </c>
      <c r="K400">
        <v>0</v>
      </c>
      <c r="L400">
        <f>IF(M400,TRUE,AND(P400:S400))</f>
        <v>0</v>
      </c>
      <c r="M400">
        <f>COUNTBLANK(metadata!B400:E400)=COLUMNS(metadata!B400:E400)</f>
        <v>0</v>
      </c>
      <c r="N400">
        <v>0</v>
      </c>
      <c r="P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Q400">
        <f>AND(IF(metadata!C400="",FALSE,TRUE),exact(metadata!C400,"other"))</f>
        <v>0</v>
      </c>
      <c r="R400">
        <f>AND(IF(metadata!D400="",FALSE,TRUE),exact(metadata!D400,"metagenome"))</f>
        <v>0</v>
      </c>
      <c r="S400">
        <f>AND(IF(metadata!E400="",FALSE,TRUE),exact(metadata!E400,"256318"))</f>
        <v>0</v>
      </c>
    </row>
    <row r="401" spans="1:19">
      <c r="A401" s="4">
        <f>IF(B401=" "," ",HYPERLINK(CONCATENATE("#metadata!",ADDRESS(INDEX($K$2:$K$1001,MATCH(ROWS($I$2:I401),$I$2:$I$1001,0),0),1)),INDEX($N$2:$N$1001,MATCH(ROWS($I$2:I401),$I$2:$I$1001,0),0)))</f>
        <v>0</v>
      </c>
      <c r="B401" s="3">
        <f>IF(OR(INDEX($J$2:$J$1001,MATCH(ROWS($I$2:I401),$I$2:$I$1001,0),1)&gt;=100000,INDEX($P$1005:$S$1005,1,MATCH(COLUMNS($P$1006:P1006),$P$1006:$S$1006,0))&gt;=100000), " ",IF(INDEX($P$2:$S$1001,MATCH(ROWS($I$2:I401),$I$2:$I$1001,0),MATCH(COLUMNS($P$1006:P1006),$P$1006:$S$1006,0)), HYPERLINK("#",""), HYPERLINK(CONCATENATE("#metadata!", ADDRESS(INDEX($K$2:$K$1001,MATCH(ROWS($I$2:I401),$I$2:$I$1001,0),0), INDEX($P$1004:$S$1004,1,MATCH(COLUMNS($P$1006:P1006),$P$1006:$S$1006,0)))),"Fix")))</f>
        <v>0</v>
      </c>
      <c r="C401" s="3">
        <f>IF(OR(INDEX($J$2:$J$1001,MATCH(ROWS($I$2:I401),$I$2:$I$1001,0),1)&gt;=100000,INDEX($P$1005:$S$1005,1,MATCH(COLUMNS($P$1006:Q1006),$P$1006:$S$1006,0))&gt;=100000), " ",IF(INDEX($P$2:$S$1001,MATCH(ROWS($I$2:I401),$I$2:$I$1001,0),MATCH(COLUMNS($P$1006:Q1006),$P$1006:$S$1006,0)), HYPERLINK("#",""), HYPERLINK(CONCATENATE("#metadata!", ADDRESS(INDEX($K$2:$K$1001,MATCH(ROWS($I$2:I401),$I$2:$I$1001,0),0), INDEX($P$1004:$S$1004,1,MATCH(COLUMNS($P$1006:Q1006),$P$1006:$S$1006,0)))),"Fix")))</f>
        <v>0</v>
      </c>
      <c r="D401" s="3">
        <f>IF(OR(INDEX($J$2:$J$1001,MATCH(ROWS($I$2:I401),$I$2:$I$1001,0),1)&gt;=100000,INDEX($P$1005:$S$1005,1,MATCH(COLUMNS($P$1006:R1006),$P$1006:$S$1006,0))&gt;=100000), " ",IF(INDEX($P$2:$S$1001,MATCH(ROWS($I$2:I401),$I$2:$I$1001,0),MATCH(COLUMNS($P$1006:R1006),$P$1006:$S$1006,0)), HYPERLINK("#",""), HYPERLINK(CONCATENATE("#metadata!", ADDRESS(INDEX($K$2:$K$1001,MATCH(ROWS($I$2:I401),$I$2:$I$1001,0),0), INDEX($P$1004:$S$1004,1,MATCH(COLUMNS($P$1006:R1006),$P$1006:$S$1006,0)))),"Fix")))</f>
        <v>0</v>
      </c>
      <c r="E401" s="3">
        <f>IF(OR(INDEX($J$2:$J$1001,MATCH(ROWS($I$2:I401),$I$2:$I$1001,0),1)&gt;=100000,INDEX($P$1005:$S$1005,1,MATCH(COLUMNS($P$1006:S1006),$P$1006:$S$1006,0))&gt;=100000), " ",IF(INDEX($P$2:$S$1001,MATCH(ROWS($I$2:I401),$I$2:$I$1001,0),MATCH(COLUMNS($P$1006:S1006),$P$1006:$S$1006,0)), HYPERLINK("#",""), HYPERLINK(CONCATENATE("#metadata!", ADDRESS(INDEX($K$2:$K$1001,MATCH(ROWS($I$2:I401),$I$2:$I$1001,0),0), INDEX($P$1004:$S$1004,1,MATCH(COLUMNS($P$1006:S1006),$P$1006:$S$1006,0)))),"Fix")))</f>
        <v>0</v>
      </c>
      <c r="I401">
        <v>0</v>
      </c>
      <c r="J401">
        <v>0</v>
      </c>
      <c r="K401">
        <v>0</v>
      </c>
      <c r="L401">
        <f>IF(M401,TRUE,AND(P401:S401))</f>
        <v>0</v>
      </c>
      <c r="M401">
        <f>COUNTBLANK(metadata!B401:E401)=COLUMNS(metadata!B401:E401)</f>
        <v>0</v>
      </c>
      <c r="N401">
        <v>0</v>
      </c>
      <c r="P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Q401">
        <f>AND(IF(metadata!C401="",FALSE,TRUE),exact(metadata!C401,"other"))</f>
        <v>0</v>
      </c>
      <c r="R401">
        <f>AND(IF(metadata!D401="",FALSE,TRUE),exact(metadata!D401,"metagenome"))</f>
        <v>0</v>
      </c>
      <c r="S401">
        <f>AND(IF(metadata!E401="",FALSE,TRUE),exact(metadata!E401,"256318"))</f>
        <v>0</v>
      </c>
    </row>
    <row r="402" spans="1:19">
      <c r="A402" s="4">
        <f>IF(B402=" "," ",HYPERLINK(CONCATENATE("#metadata!",ADDRESS(INDEX($K$2:$K$1001,MATCH(ROWS($I$2:I402),$I$2:$I$1001,0),0),1)),INDEX($N$2:$N$1001,MATCH(ROWS($I$2:I402),$I$2:$I$1001,0),0)))</f>
        <v>0</v>
      </c>
      <c r="B402" s="3">
        <f>IF(OR(INDEX($J$2:$J$1001,MATCH(ROWS($I$2:I402),$I$2:$I$1001,0),1)&gt;=100000,INDEX($P$1005:$S$1005,1,MATCH(COLUMNS($P$1006:P1006),$P$1006:$S$1006,0))&gt;=100000), " ",IF(INDEX($P$2:$S$1001,MATCH(ROWS($I$2:I402),$I$2:$I$1001,0),MATCH(COLUMNS($P$1006:P1006),$P$1006:$S$1006,0)), HYPERLINK("#",""), HYPERLINK(CONCATENATE("#metadata!", ADDRESS(INDEX($K$2:$K$1001,MATCH(ROWS($I$2:I402),$I$2:$I$1001,0),0), INDEX($P$1004:$S$1004,1,MATCH(COLUMNS($P$1006:P1006),$P$1006:$S$1006,0)))),"Fix")))</f>
        <v>0</v>
      </c>
      <c r="C402" s="3">
        <f>IF(OR(INDEX($J$2:$J$1001,MATCH(ROWS($I$2:I402),$I$2:$I$1001,0),1)&gt;=100000,INDEX($P$1005:$S$1005,1,MATCH(COLUMNS($P$1006:Q1006),$P$1006:$S$1006,0))&gt;=100000), " ",IF(INDEX($P$2:$S$1001,MATCH(ROWS($I$2:I402),$I$2:$I$1001,0),MATCH(COLUMNS($P$1006:Q1006),$P$1006:$S$1006,0)), HYPERLINK("#",""), HYPERLINK(CONCATENATE("#metadata!", ADDRESS(INDEX($K$2:$K$1001,MATCH(ROWS($I$2:I402),$I$2:$I$1001,0),0), INDEX($P$1004:$S$1004,1,MATCH(COLUMNS($P$1006:Q1006),$P$1006:$S$1006,0)))),"Fix")))</f>
        <v>0</v>
      </c>
      <c r="D402" s="3">
        <f>IF(OR(INDEX($J$2:$J$1001,MATCH(ROWS($I$2:I402),$I$2:$I$1001,0),1)&gt;=100000,INDEX($P$1005:$S$1005,1,MATCH(COLUMNS($P$1006:R1006),$P$1006:$S$1006,0))&gt;=100000), " ",IF(INDEX($P$2:$S$1001,MATCH(ROWS($I$2:I402),$I$2:$I$1001,0),MATCH(COLUMNS($P$1006:R1006),$P$1006:$S$1006,0)), HYPERLINK("#",""), HYPERLINK(CONCATENATE("#metadata!", ADDRESS(INDEX($K$2:$K$1001,MATCH(ROWS($I$2:I402),$I$2:$I$1001,0),0), INDEX($P$1004:$S$1004,1,MATCH(COLUMNS($P$1006:R1006),$P$1006:$S$1006,0)))),"Fix")))</f>
        <v>0</v>
      </c>
      <c r="E402" s="3">
        <f>IF(OR(INDEX($J$2:$J$1001,MATCH(ROWS($I$2:I402),$I$2:$I$1001,0),1)&gt;=100000,INDEX($P$1005:$S$1005,1,MATCH(COLUMNS($P$1006:S1006),$P$1006:$S$1006,0))&gt;=100000), " ",IF(INDEX($P$2:$S$1001,MATCH(ROWS($I$2:I402),$I$2:$I$1001,0),MATCH(COLUMNS($P$1006:S1006),$P$1006:$S$1006,0)), HYPERLINK("#",""), HYPERLINK(CONCATENATE("#metadata!", ADDRESS(INDEX($K$2:$K$1001,MATCH(ROWS($I$2:I402),$I$2:$I$1001,0),0), INDEX($P$1004:$S$1004,1,MATCH(COLUMNS($P$1006:S1006),$P$1006:$S$1006,0)))),"Fix")))</f>
        <v>0</v>
      </c>
      <c r="I402">
        <v>0</v>
      </c>
      <c r="J402">
        <v>0</v>
      </c>
      <c r="K402">
        <v>0</v>
      </c>
      <c r="L402">
        <f>IF(M402,TRUE,AND(P402:S402))</f>
        <v>0</v>
      </c>
      <c r="M402">
        <f>COUNTBLANK(metadata!B402:E402)=COLUMNS(metadata!B402:E402)</f>
        <v>0</v>
      </c>
      <c r="N402">
        <v>0</v>
      </c>
      <c r="P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Q402">
        <f>AND(IF(metadata!C402="",FALSE,TRUE),exact(metadata!C402,"other"))</f>
        <v>0</v>
      </c>
      <c r="R402">
        <f>AND(IF(metadata!D402="",FALSE,TRUE),exact(metadata!D402,"metagenome"))</f>
        <v>0</v>
      </c>
      <c r="S402">
        <f>AND(IF(metadata!E402="",FALSE,TRUE),exact(metadata!E402,"256318"))</f>
        <v>0</v>
      </c>
    </row>
    <row r="403" spans="1:19">
      <c r="A403" s="4">
        <f>IF(B403=" "," ",HYPERLINK(CONCATENATE("#metadata!",ADDRESS(INDEX($K$2:$K$1001,MATCH(ROWS($I$2:I403),$I$2:$I$1001,0),0),1)),INDEX($N$2:$N$1001,MATCH(ROWS($I$2:I403),$I$2:$I$1001,0),0)))</f>
        <v>0</v>
      </c>
      <c r="B403" s="3">
        <f>IF(OR(INDEX($J$2:$J$1001,MATCH(ROWS($I$2:I403),$I$2:$I$1001,0),1)&gt;=100000,INDEX($P$1005:$S$1005,1,MATCH(COLUMNS($P$1006:P1006),$P$1006:$S$1006,0))&gt;=100000), " ",IF(INDEX($P$2:$S$1001,MATCH(ROWS($I$2:I403),$I$2:$I$1001,0),MATCH(COLUMNS($P$1006:P1006),$P$1006:$S$1006,0)), HYPERLINK("#",""), HYPERLINK(CONCATENATE("#metadata!", ADDRESS(INDEX($K$2:$K$1001,MATCH(ROWS($I$2:I403),$I$2:$I$1001,0),0), INDEX($P$1004:$S$1004,1,MATCH(COLUMNS($P$1006:P1006),$P$1006:$S$1006,0)))),"Fix")))</f>
        <v>0</v>
      </c>
      <c r="C403" s="3">
        <f>IF(OR(INDEX($J$2:$J$1001,MATCH(ROWS($I$2:I403),$I$2:$I$1001,0),1)&gt;=100000,INDEX($P$1005:$S$1005,1,MATCH(COLUMNS($P$1006:Q1006),$P$1006:$S$1006,0))&gt;=100000), " ",IF(INDEX($P$2:$S$1001,MATCH(ROWS($I$2:I403),$I$2:$I$1001,0),MATCH(COLUMNS($P$1006:Q1006),$P$1006:$S$1006,0)), HYPERLINK("#",""), HYPERLINK(CONCATENATE("#metadata!", ADDRESS(INDEX($K$2:$K$1001,MATCH(ROWS($I$2:I403),$I$2:$I$1001,0),0), INDEX($P$1004:$S$1004,1,MATCH(COLUMNS($P$1006:Q1006),$P$1006:$S$1006,0)))),"Fix")))</f>
        <v>0</v>
      </c>
      <c r="D403" s="3">
        <f>IF(OR(INDEX($J$2:$J$1001,MATCH(ROWS($I$2:I403),$I$2:$I$1001,0),1)&gt;=100000,INDEX($P$1005:$S$1005,1,MATCH(COLUMNS($P$1006:R1006),$P$1006:$S$1006,0))&gt;=100000), " ",IF(INDEX($P$2:$S$1001,MATCH(ROWS($I$2:I403),$I$2:$I$1001,0),MATCH(COLUMNS($P$1006:R1006),$P$1006:$S$1006,0)), HYPERLINK("#",""), HYPERLINK(CONCATENATE("#metadata!", ADDRESS(INDEX($K$2:$K$1001,MATCH(ROWS($I$2:I403),$I$2:$I$1001,0),0), INDEX($P$1004:$S$1004,1,MATCH(COLUMNS($P$1006:R1006),$P$1006:$S$1006,0)))),"Fix")))</f>
        <v>0</v>
      </c>
      <c r="E403" s="3">
        <f>IF(OR(INDEX($J$2:$J$1001,MATCH(ROWS($I$2:I403),$I$2:$I$1001,0),1)&gt;=100000,INDEX($P$1005:$S$1005,1,MATCH(COLUMNS($P$1006:S1006),$P$1006:$S$1006,0))&gt;=100000), " ",IF(INDEX($P$2:$S$1001,MATCH(ROWS($I$2:I403),$I$2:$I$1001,0),MATCH(COLUMNS($P$1006:S1006),$P$1006:$S$1006,0)), HYPERLINK("#",""), HYPERLINK(CONCATENATE("#metadata!", ADDRESS(INDEX($K$2:$K$1001,MATCH(ROWS($I$2:I403),$I$2:$I$1001,0),0), INDEX($P$1004:$S$1004,1,MATCH(COLUMNS($P$1006:S1006),$P$1006:$S$1006,0)))),"Fix")))</f>
        <v>0</v>
      </c>
      <c r="I403">
        <v>0</v>
      </c>
      <c r="J403">
        <v>0</v>
      </c>
      <c r="K403">
        <v>0</v>
      </c>
      <c r="L403">
        <f>IF(M403,TRUE,AND(P403:S403))</f>
        <v>0</v>
      </c>
      <c r="M403">
        <f>COUNTBLANK(metadata!B403:E403)=COLUMNS(metadata!B403:E403)</f>
        <v>0</v>
      </c>
      <c r="N403">
        <v>0</v>
      </c>
      <c r="P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Q403">
        <f>AND(IF(metadata!C403="",FALSE,TRUE),exact(metadata!C403,"other"))</f>
        <v>0</v>
      </c>
      <c r="R403">
        <f>AND(IF(metadata!D403="",FALSE,TRUE),exact(metadata!D403,"metagenome"))</f>
        <v>0</v>
      </c>
      <c r="S403">
        <f>AND(IF(metadata!E403="",FALSE,TRUE),exact(metadata!E403,"256318"))</f>
        <v>0</v>
      </c>
    </row>
    <row r="404" spans="1:19">
      <c r="A404" s="4">
        <f>IF(B404=" "," ",HYPERLINK(CONCATENATE("#metadata!",ADDRESS(INDEX($K$2:$K$1001,MATCH(ROWS($I$2:I404),$I$2:$I$1001,0),0),1)),INDEX($N$2:$N$1001,MATCH(ROWS($I$2:I404),$I$2:$I$1001,0),0)))</f>
        <v>0</v>
      </c>
      <c r="B404" s="3">
        <f>IF(OR(INDEX($J$2:$J$1001,MATCH(ROWS($I$2:I404),$I$2:$I$1001,0),1)&gt;=100000,INDEX($P$1005:$S$1005,1,MATCH(COLUMNS($P$1006:P1006),$P$1006:$S$1006,0))&gt;=100000), " ",IF(INDEX($P$2:$S$1001,MATCH(ROWS($I$2:I404),$I$2:$I$1001,0),MATCH(COLUMNS($P$1006:P1006),$P$1006:$S$1006,0)), HYPERLINK("#",""), HYPERLINK(CONCATENATE("#metadata!", ADDRESS(INDEX($K$2:$K$1001,MATCH(ROWS($I$2:I404),$I$2:$I$1001,0),0), INDEX($P$1004:$S$1004,1,MATCH(COLUMNS($P$1006:P1006),$P$1006:$S$1006,0)))),"Fix")))</f>
        <v>0</v>
      </c>
      <c r="C404" s="3">
        <f>IF(OR(INDEX($J$2:$J$1001,MATCH(ROWS($I$2:I404),$I$2:$I$1001,0),1)&gt;=100000,INDEX($P$1005:$S$1005,1,MATCH(COLUMNS($P$1006:Q1006),$P$1006:$S$1006,0))&gt;=100000), " ",IF(INDEX($P$2:$S$1001,MATCH(ROWS($I$2:I404),$I$2:$I$1001,0),MATCH(COLUMNS($P$1006:Q1006),$P$1006:$S$1006,0)), HYPERLINK("#",""), HYPERLINK(CONCATENATE("#metadata!", ADDRESS(INDEX($K$2:$K$1001,MATCH(ROWS($I$2:I404),$I$2:$I$1001,0),0), INDEX($P$1004:$S$1004,1,MATCH(COLUMNS($P$1006:Q1006),$P$1006:$S$1006,0)))),"Fix")))</f>
        <v>0</v>
      </c>
      <c r="D404" s="3">
        <f>IF(OR(INDEX($J$2:$J$1001,MATCH(ROWS($I$2:I404),$I$2:$I$1001,0),1)&gt;=100000,INDEX($P$1005:$S$1005,1,MATCH(COLUMNS($P$1006:R1006),$P$1006:$S$1006,0))&gt;=100000), " ",IF(INDEX($P$2:$S$1001,MATCH(ROWS($I$2:I404),$I$2:$I$1001,0),MATCH(COLUMNS($P$1006:R1006),$P$1006:$S$1006,0)), HYPERLINK("#",""), HYPERLINK(CONCATENATE("#metadata!", ADDRESS(INDEX($K$2:$K$1001,MATCH(ROWS($I$2:I404),$I$2:$I$1001,0),0), INDEX($P$1004:$S$1004,1,MATCH(COLUMNS($P$1006:R1006),$P$1006:$S$1006,0)))),"Fix")))</f>
        <v>0</v>
      </c>
      <c r="E404" s="3">
        <f>IF(OR(INDEX($J$2:$J$1001,MATCH(ROWS($I$2:I404),$I$2:$I$1001,0),1)&gt;=100000,INDEX($P$1005:$S$1005,1,MATCH(COLUMNS($P$1006:S1006),$P$1006:$S$1006,0))&gt;=100000), " ",IF(INDEX($P$2:$S$1001,MATCH(ROWS($I$2:I404),$I$2:$I$1001,0),MATCH(COLUMNS($P$1006:S1006),$P$1006:$S$1006,0)), HYPERLINK("#",""), HYPERLINK(CONCATENATE("#metadata!", ADDRESS(INDEX($K$2:$K$1001,MATCH(ROWS($I$2:I404),$I$2:$I$1001,0),0), INDEX($P$1004:$S$1004,1,MATCH(COLUMNS($P$1006:S1006),$P$1006:$S$1006,0)))),"Fix")))</f>
        <v>0</v>
      </c>
      <c r="I404">
        <v>0</v>
      </c>
      <c r="J404">
        <v>0</v>
      </c>
      <c r="K404">
        <v>0</v>
      </c>
      <c r="L404">
        <f>IF(M404,TRUE,AND(P404:S404))</f>
        <v>0</v>
      </c>
      <c r="M404">
        <f>COUNTBLANK(metadata!B404:E404)=COLUMNS(metadata!B404:E404)</f>
        <v>0</v>
      </c>
      <c r="N404">
        <v>0</v>
      </c>
      <c r="P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Q404">
        <f>AND(IF(metadata!C404="",FALSE,TRUE),exact(metadata!C404,"other"))</f>
        <v>0</v>
      </c>
      <c r="R404">
        <f>AND(IF(metadata!D404="",FALSE,TRUE),exact(metadata!D404,"metagenome"))</f>
        <v>0</v>
      </c>
      <c r="S404">
        <f>AND(IF(metadata!E404="",FALSE,TRUE),exact(metadata!E404,"256318"))</f>
        <v>0</v>
      </c>
    </row>
    <row r="405" spans="1:19">
      <c r="A405" s="4">
        <f>IF(B405=" "," ",HYPERLINK(CONCATENATE("#metadata!",ADDRESS(INDEX($K$2:$K$1001,MATCH(ROWS($I$2:I405),$I$2:$I$1001,0),0),1)),INDEX($N$2:$N$1001,MATCH(ROWS($I$2:I405),$I$2:$I$1001,0),0)))</f>
        <v>0</v>
      </c>
      <c r="B405" s="3">
        <f>IF(OR(INDEX($J$2:$J$1001,MATCH(ROWS($I$2:I405),$I$2:$I$1001,0),1)&gt;=100000,INDEX($P$1005:$S$1005,1,MATCH(COLUMNS($P$1006:P1006),$P$1006:$S$1006,0))&gt;=100000), " ",IF(INDEX($P$2:$S$1001,MATCH(ROWS($I$2:I405),$I$2:$I$1001,0),MATCH(COLUMNS($P$1006:P1006),$P$1006:$S$1006,0)), HYPERLINK("#",""), HYPERLINK(CONCATENATE("#metadata!", ADDRESS(INDEX($K$2:$K$1001,MATCH(ROWS($I$2:I405),$I$2:$I$1001,0),0), INDEX($P$1004:$S$1004,1,MATCH(COLUMNS($P$1006:P1006),$P$1006:$S$1006,0)))),"Fix")))</f>
        <v>0</v>
      </c>
      <c r="C405" s="3">
        <f>IF(OR(INDEX($J$2:$J$1001,MATCH(ROWS($I$2:I405),$I$2:$I$1001,0),1)&gt;=100000,INDEX($P$1005:$S$1005,1,MATCH(COLUMNS($P$1006:Q1006),$P$1006:$S$1006,0))&gt;=100000), " ",IF(INDEX($P$2:$S$1001,MATCH(ROWS($I$2:I405),$I$2:$I$1001,0),MATCH(COLUMNS($P$1006:Q1006),$P$1006:$S$1006,0)), HYPERLINK("#",""), HYPERLINK(CONCATENATE("#metadata!", ADDRESS(INDEX($K$2:$K$1001,MATCH(ROWS($I$2:I405),$I$2:$I$1001,0),0), INDEX($P$1004:$S$1004,1,MATCH(COLUMNS($P$1006:Q1006),$P$1006:$S$1006,0)))),"Fix")))</f>
        <v>0</v>
      </c>
      <c r="D405" s="3">
        <f>IF(OR(INDEX($J$2:$J$1001,MATCH(ROWS($I$2:I405),$I$2:$I$1001,0),1)&gt;=100000,INDEX($P$1005:$S$1005,1,MATCH(COLUMNS($P$1006:R1006),$P$1006:$S$1006,0))&gt;=100000), " ",IF(INDEX($P$2:$S$1001,MATCH(ROWS($I$2:I405),$I$2:$I$1001,0),MATCH(COLUMNS($P$1006:R1006),$P$1006:$S$1006,0)), HYPERLINK("#",""), HYPERLINK(CONCATENATE("#metadata!", ADDRESS(INDEX($K$2:$K$1001,MATCH(ROWS($I$2:I405),$I$2:$I$1001,0),0), INDEX($P$1004:$S$1004,1,MATCH(COLUMNS($P$1006:R1006),$P$1006:$S$1006,0)))),"Fix")))</f>
        <v>0</v>
      </c>
      <c r="E405" s="3">
        <f>IF(OR(INDEX($J$2:$J$1001,MATCH(ROWS($I$2:I405),$I$2:$I$1001,0),1)&gt;=100000,INDEX($P$1005:$S$1005,1,MATCH(COLUMNS($P$1006:S1006),$P$1006:$S$1006,0))&gt;=100000), " ",IF(INDEX($P$2:$S$1001,MATCH(ROWS($I$2:I405),$I$2:$I$1001,0),MATCH(COLUMNS($P$1006:S1006),$P$1006:$S$1006,0)), HYPERLINK("#",""), HYPERLINK(CONCATENATE("#metadata!", ADDRESS(INDEX($K$2:$K$1001,MATCH(ROWS($I$2:I405),$I$2:$I$1001,0),0), INDEX($P$1004:$S$1004,1,MATCH(COLUMNS($P$1006:S1006),$P$1006:$S$1006,0)))),"Fix")))</f>
        <v>0</v>
      </c>
      <c r="I405">
        <v>0</v>
      </c>
      <c r="J405">
        <v>0</v>
      </c>
      <c r="K405">
        <v>0</v>
      </c>
      <c r="L405">
        <f>IF(M405,TRUE,AND(P405:S405))</f>
        <v>0</v>
      </c>
      <c r="M405">
        <f>COUNTBLANK(metadata!B405:E405)=COLUMNS(metadata!B405:E405)</f>
        <v>0</v>
      </c>
      <c r="N405">
        <v>0</v>
      </c>
      <c r="P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Q405">
        <f>AND(IF(metadata!C405="",FALSE,TRUE),exact(metadata!C405,"other"))</f>
        <v>0</v>
      </c>
      <c r="R405">
        <f>AND(IF(metadata!D405="",FALSE,TRUE),exact(metadata!D405,"metagenome"))</f>
        <v>0</v>
      </c>
      <c r="S405">
        <f>AND(IF(metadata!E405="",FALSE,TRUE),exact(metadata!E405,"256318"))</f>
        <v>0</v>
      </c>
    </row>
    <row r="406" spans="1:19">
      <c r="A406" s="4">
        <f>IF(B406=" "," ",HYPERLINK(CONCATENATE("#metadata!",ADDRESS(INDEX($K$2:$K$1001,MATCH(ROWS($I$2:I406),$I$2:$I$1001,0),0),1)),INDEX($N$2:$N$1001,MATCH(ROWS($I$2:I406),$I$2:$I$1001,0),0)))</f>
        <v>0</v>
      </c>
      <c r="B406" s="3">
        <f>IF(OR(INDEX($J$2:$J$1001,MATCH(ROWS($I$2:I406),$I$2:$I$1001,0),1)&gt;=100000,INDEX($P$1005:$S$1005,1,MATCH(COLUMNS($P$1006:P1006),$P$1006:$S$1006,0))&gt;=100000), " ",IF(INDEX($P$2:$S$1001,MATCH(ROWS($I$2:I406),$I$2:$I$1001,0),MATCH(COLUMNS($P$1006:P1006),$P$1006:$S$1006,0)), HYPERLINK("#",""), HYPERLINK(CONCATENATE("#metadata!", ADDRESS(INDEX($K$2:$K$1001,MATCH(ROWS($I$2:I406),$I$2:$I$1001,0),0), INDEX($P$1004:$S$1004,1,MATCH(COLUMNS($P$1006:P1006),$P$1006:$S$1006,0)))),"Fix")))</f>
        <v>0</v>
      </c>
      <c r="C406" s="3">
        <f>IF(OR(INDEX($J$2:$J$1001,MATCH(ROWS($I$2:I406),$I$2:$I$1001,0),1)&gt;=100000,INDEX($P$1005:$S$1005,1,MATCH(COLUMNS($P$1006:Q1006),$P$1006:$S$1006,0))&gt;=100000), " ",IF(INDEX($P$2:$S$1001,MATCH(ROWS($I$2:I406),$I$2:$I$1001,0),MATCH(COLUMNS($P$1006:Q1006),$P$1006:$S$1006,0)), HYPERLINK("#",""), HYPERLINK(CONCATENATE("#metadata!", ADDRESS(INDEX($K$2:$K$1001,MATCH(ROWS($I$2:I406),$I$2:$I$1001,0),0), INDEX($P$1004:$S$1004,1,MATCH(COLUMNS($P$1006:Q1006),$P$1006:$S$1006,0)))),"Fix")))</f>
        <v>0</v>
      </c>
      <c r="D406" s="3">
        <f>IF(OR(INDEX($J$2:$J$1001,MATCH(ROWS($I$2:I406),$I$2:$I$1001,0),1)&gt;=100000,INDEX($P$1005:$S$1005,1,MATCH(COLUMNS($P$1006:R1006),$P$1006:$S$1006,0))&gt;=100000), " ",IF(INDEX($P$2:$S$1001,MATCH(ROWS($I$2:I406),$I$2:$I$1001,0),MATCH(COLUMNS($P$1006:R1006),$P$1006:$S$1006,0)), HYPERLINK("#",""), HYPERLINK(CONCATENATE("#metadata!", ADDRESS(INDEX($K$2:$K$1001,MATCH(ROWS($I$2:I406),$I$2:$I$1001,0),0), INDEX($P$1004:$S$1004,1,MATCH(COLUMNS($P$1006:R1006),$P$1006:$S$1006,0)))),"Fix")))</f>
        <v>0</v>
      </c>
      <c r="E406" s="3">
        <f>IF(OR(INDEX($J$2:$J$1001,MATCH(ROWS($I$2:I406),$I$2:$I$1001,0),1)&gt;=100000,INDEX($P$1005:$S$1005,1,MATCH(COLUMNS($P$1006:S1006),$P$1006:$S$1006,0))&gt;=100000), " ",IF(INDEX($P$2:$S$1001,MATCH(ROWS($I$2:I406),$I$2:$I$1001,0),MATCH(COLUMNS($P$1006:S1006),$P$1006:$S$1006,0)), HYPERLINK("#",""), HYPERLINK(CONCATENATE("#metadata!", ADDRESS(INDEX($K$2:$K$1001,MATCH(ROWS($I$2:I406),$I$2:$I$1001,0),0), INDEX($P$1004:$S$1004,1,MATCH(COLUMNS($P$1006:S1006),$P$1006:$S$1006,0)))),"Fix")))</f>
        <v>0</v>
      </c>
      <c r="I406">
        <v>0</v>
      </c>
      <c r="J406">
        <v>0</v>
      </c>
      <c r="K406">
        <v>0</v>
      </c>
      <c r="L406">
        <f>IF(M406,TRUE,AND(P406:S406))</f>
        <v>0</v>
      </c>
      <c r="M406">
        <f>COUNTBLANK(metadata!B406:E406)=COLUMNS(metadata!B406:E406)</f>
        <v>0</v>
      </c>
      <c r="N406">
        <v>0</v>
      </c>
      <c r="P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Q406">
        <f>AND(IF(metadata!C406="",FALSE,TRUE),exact(metadata!C406,"other"))</f>
        <v>0</v>
      </c>
      <c r="R406">
        <f>AND(IF(metadata!D406="",FALSE,TRUE),exact(metadata!D406,"metagenome"))</f>
        <v>0</v>
      </c>
      <c r="S406">
        <f>AND(IF(metadata!E406="",FALSE,TRUE),exact(metadata!E406,"256318"))</f>
        <v>0</v>
      </c>
    </row>
    <row r="407" spans="1:19">
      <c r="A407" s="4">
        <f>IF(B407=" "," ",HYPERLINK(CONCATENATE("#metadata!",ADDRESS(INDEX($K$2:$K$1001,MATCH(ROWS($I$2:I407),$I$2:$I$1001,0),0),1)),INDEX($N$2:$N$1001,MATCH(ROWS($I$2:I407),$I$2:$I$1001,0),0)))</f>
        <v>0</v>
      </c>
      <c r="B407" s="3">
        <f>IF(OR(INDEX($J$2:$J$1001,MATCH(ROWS($I$2:I407),$I$2:$I$1001,0),1)&gt;=100000,INDEX($P$1005:$S$1005,1,MATCH(COLUMNS($P$1006:P1006),$P$1006:$S$1006,0))&gt;=100000), " ",IF(INDEX($P$2:$S$1001,MATCH(ROWS($I$2:I407),$I$2:$I$1001,0),MATCH(COLUMNS($P$1006:P1006),$P$1006:$S$1006,0)), HYPERLINK("#",""), HYPERLINK(CONCATENATE("#metadata!", ADDRESS(INDEX($K$2:$K$1001,MATCH(ROWS($I$2:I407),$I$2:$I$1001,0),0), INDEX($P$1004:$S$1004,1,MATCH(COLUMNS($P$1006:P1006),$P$1006:$S$1006,0)))),"Fix")))</f>
        <v>0</v>
      </c>
      <c r="C407" s="3">
        <f>IF(OR(INDEX($J$2:$J$1001,MATCH(ROWS($I$2:I407),$I$2:$I$1001,0),1)&gt;=100000,INDEX($P$1005:$S$1005,1,MATCH(COLUMNS($P$1006:Q1006),$P$1006:$S$1006,0))&gt;=100000), " ",IF(INDEX($P$2:$S$1001,MATCH(ROWS($I$2:I407),$I$2:$I$1001,0),MATCH(COLUMNS($P$1006:Q1006),$P$1006:$S$1006,0)), HYPERLINK("#",""), HYPERLINK(CONCATENATE("#metadata!", ADDRESS(INDEX($K$2:$K$1001,MATCH(ROWS($I$2:I407),$I$2:$I$1001,0),0), INDEX($P$1004:$S$1004,1,MATCH(COLUMNS($P$1006:Q1006),$P$1006:$S$1006,0)))),"Fix")))</f>
        <v>0</v>
      </c>
      <c r="D407" s="3">
        <f>IF(OR(INDEX($J$2:$J$1001,MATCH(ROWS($I$2:I407),$I$2:$I$1001,0),1)&gt;=100000,INDEX($P$1005:$S$1005,1,MATCH(COLUMNS($P$1006:R1006),$P$1006:$S$1006,0))&gt;=100000), " ",IF(INDEX($P$2:$S$1001,MATCH(ROWS($I$2:I407),$I$2:$I$1001,0),MATCH(COLUMNS($P$1006:R1006),$P$1006:$S$1006,0)), HYPERLINK("#",""), HYPERLINK(CONCATENATE("#metadata!", ADDRESS(INDEX($K$2:$K$1001,MATCH(ROWS($I$2:I407),$I$2:$I$1001,0),0), INDEX($P$1004:$S$1004,1,MATCH(COLUMNS($P$1006:R1006),$P$1006:$S$1006,0)))),"Fix")))</f>
        <v>0</v>
      </c>
      <c r="E407" s="3">
        <f>IF(OR(INDEX($J$2:$J$1001,MATCH(ROWS($I$2:I407),$I$2:$I$1001,0),1)&gt;=100000,INDEX($P$1005:$S$1005,1,MATCH(COLUMNS($P$1006:S1006),$P$1006:$S$1006,0))&gt;=100000), " ",IF(INDEX($P$2:$S$1001,MATCH(ROWS($I$2:I407),$I$2:$I$1001,0),MATCH(COLUMNS($P$1006:S1006),$P$1006:$S$1006,0)), HYPERLINK("#",""), HYPERLINK(CONCATENATE("#metadata!", ADDRESS(INDEX($K$2:$K$1001,MATCH(ROWS($I$2:I407),$I$2:$I$1001,0),0), INDEX($P$1004:$S$1004,1,MATCH(COLUMNS($P$1006:S1006),$P$1006:$S$1006,0)))),"Fix")))</f>
        <v>0</v>
      </c>
      <c r="I407">
        <v>0</v>
      </c>
      <c r="J407">
        <v>0</v>
      </c>
      <c r="K407">
        <v>0</v>
      </c>
      <c r="L407">
        <f>IF(M407,TRUE,AND(P407:S407))</f>
        <v>0</v>
      </c>
      <c r="M407">
        <f>COUNTBLANK(metadata!B407:E407)=COLUMNS(metadata!B407:E407)</f>
        <v>0</v>
      </c>
      <c r="N407">
        <v>0</v>
      </c>
      <c r="P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Q407">
        <f>AND(IF(metadata!C407="",FALSE,TRUE),exact(metadata!C407,"other"))</f>
        <v>0</v>
      </c>
      <c r="R407">
        <f>AND(IF(metadata!D407="",FALSE,TRUE),exact(metadata!D407,"metagenome"))</f>
        <v>0</v>
      </c>
      <c r="S407">
        <f>AND(IF(metadata!E407="",FALSE,TRUE),exact(metadata!E407,"256318"))</f>
        <v>0</v>
      </c>
    </row>
    <row r="408" spans="1:19">
      <c r="A408" s="4">
        <f>IF(B408=" "," ",HYPERLINK(CONCATENATE("#metadata!",ADDRESS(INDEX($K$2:$K$1001,MATCH(ROWS($I$2:I408),$I$2:$I$1001,0),0),1)),INDEX($N$2:$N$1001,MATCH(ROWS($I$2:I408),$I$2:$I$1001,0),0)))</f>
        <v>0</v>
      </c>
      <c r="B408" s="3">
        <f>IF(OR(INDEX($J$2:$J$1001,MATCH(ROWS($I$2:I408),$I$2:$I$1001,0),1)&gt;=100000,INDEX($P$1005:$S$1005,1,MATCH(COLUMNS($P$1006:P1006),$P$1006:$S$1006,0))&gt;=100000), " ",IF(INDEX($P$2:$S$1001,MATCH(ROWS($I$2:I408),$I$2:$I$1001,0),MATCH(COLUMNS($P$1006:P1006),$P$1006:$S$1006,0)), HYPERLINK("#",""), HYPERLINK(CONCATENATE("#metadata!", ADDRESS(INDEX($K$2:$K$1001,MATCH(ROWS($I$2:I408),$I$2:$I$1001,0),0), INDEX($P$1004:$S$1004,1,MATCH(COLUMNS($P$1006:P1006),$P$1006:$S$1006,0)))),"Fix")))</f>
        <v>0</v>
      </c>
      <c r="C408" s="3">
        <f>IF(OR(INDEX($J$2:$J$1001,MATCH(ROWS($I$2:I408),$I$2:$I$1001,0),1)&gt;=100000,INDEX($P$1005:$S$1005,1,MATCH(COLUMNS($P$1006:Q1006),$P$1006:$S$1006,0))&gt;=100000), " ",IF(INDEX($P$2:$S$1001,MATCH(ROWS($I$2:I408),$I$2:$I$1001,0),MATCH(COLUMNS($P$1006:Q1006),$P$1006:$S$1006,0)), HYPERLINK("#",""), HYPERLINK(CONCATENATE("#metadata!", ADDRESS(INDEX($K$2:$K$1001,MATCH(ROWS($I$2:I408),$I$2:$I$1001,0),0), INDEX($P$1004:$S$1004,1,MATCH(COLUMNS($P$1006:Q1006),$P$1006:$S$1006,0)))),"Fix")))</f>
        <v>0</v>
      </c>
      <c r="D408" s="3">
        <f>IF(OR(INDEX($J$2:$J$1001,MATCH(ROWS($I$2:I408),$I$2:$I$1001,0),1)&gt;=100000,INDEX($P$1005:$S$1005,1,MATCH(COLUMNS($P$1006:R1006),$P$1006:$S$1006,0))&gt;=100000), " ",IF(INDEX($P$2:$S$1001,MATCH(ROWS($I$2:I408),$I$2:$I$1001,0),MATCH(COLUMNS($P$1006:R1006),$P$1006:$S$1006,0)), HYPERLINK("#",""), HYPERLINK(CONCATENATE("#metadata!", ADDRESS(INDEX($K$2:$K$1001,MATCH(ROWS($I$2:I408),$I$2:$I$1001,0),0), INDEX($P$1004:$S$1004,1,MATCH(COLUMNS($P$1006:R1006),$P$1006:$S$1006,0)))),"Fix")))</f>
        <v>0</v>
      </c>
      <c r="E408" s="3">
        <f>IF(OR(INDEX($J$2:$J$1001,MATCH(ROWS($I$2:I408),$I$2:$I$1001,0),1)&gt;=100000,INDEX($P$1005:$S$1005,1,MATCH(COLUMNS($P$1006:S1006),$P$1006:$S$1006,0))&gt;=100000), " ",IF(INDEX($P$2:$S$1001,MATCH(ROWS($I$2:I408),$I$2:$I$1001,0),MATCH(COLUMNS($P$1006:S1006),$P$1006:$S$1006,0)), HYPERLINK("#",""), HYPERLINK(CONCATENATE("#metadata!", ADDRESS(INDEX($K$2:$K$1001,MATCH(ROWS($I$2:I408),$I$2:$I$1001,0),0), INDEX($P$1004:$S$1004,1,MATCH(COLUMNS($P$1006:S1006),$P$1006:$S$1006,0)))),"Fix")))</f>
        <v>0</v>
      </c>
      <c r="I408">
        <v>0</v>
      </c>
      <c r="J408">
        <v>0</v>
      </c>
      <c r="K408">
        <v>0</v>
      </c>
      <c r="L408">
        <f>IF(M408,TRUE,AND(P408:S408))</f>
        <v>0</v>
      </c>
      <c r="M408">
        <f>COUNTBLANK(metadata!B408:E408)=COLUMNS(metadata!B408:E408)</f>
        <v>0</v>
      </c>
      <c r="N408">
        <v>0</v>
      </c>
      <c r="P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Q408">
        <f>AND(IF(metadata!C408="",FALSE,TRUE),exact(metadata!C408,"other"))</f>
        <v>0</v>
      </c>
      <c r="R408">
        <f>AND(IF(metadata!D408="",FALSE,TRUE),exact(metadata!D408,"metagenome"))</f>
        <v>0</v>
      </c>
      <c r="S408">
        <f>AND(IF(metadata!E408="",FALSE,TRUE),exact(metadata!E408,"256318"))</f>
        <v>0</v>
      </c>
    </row>
    <row r="409" spans="1:19">
      <c r="A409" s="4">
        <f>IF(B409=" "," ",HYPERLINK(CONCATENATE("#metadata!",ADDRESS(INDEX($K$2:$K$1001,MATCH(ROWS($I$2:I409),$I$2:$I$1001,0),0),1)),INDEX($N$2:$N$1001,MATCH(ROWS($I$2:I409),$I$2:$I$1001,0),0)))</f>
        <v>0</v>
      </c>
      <c r="B409" s="3">
        <f>IF(OR(INDEX($J$2:$J$1001,MATCH(ROWS($I$2:I409),$I$2:$I$1001,0),1)&gt;=100000,INDEX($P$1005:$S$1005,1,MATCH(COLUMNS($P$1006:P1006),$P$1006:$S$1006,0))&gt;=100000), " ",IF(INDEX($P$2:$S$1001,MATCH(ROWS($I$2:I409),$I$2:$I$1001,0),MATCH(COLUMNS($P$1006:P1006),$P$1006:$S$1006,0)), HYPERLINK("#",""), HYPERLINK(CONCATENATE("#metadata!", ADDRESS(INDEX($K$2:$K$1001,MATCH(ROWS($I$2:I409),$I$2:$I$1001,0),0), INDEX($P$1004:$S$1004,1,MATCH(COLUMNS($P$1006:P1006),$P$1006:$S$1006,0)))),"Fix")))</f>
        <v>0</v>
      </c>
      <c r="C409" s="3">
        <f>IF(OR(INDEX($J$2:$J$1001,MATCH(ROWS($I$2:I409),$I$2:$I$1001,0),1)&gt;=100000,INDEX($P$1005:$S$1005,1,MATCH(COLUMNS($P$1006:Q1006),$P$1006:$S$1006,0))&gt;=100000), " ",IF(INDEX($P$2:$S$1001,MATCH(ROWS($I$2:I409),$I$2:$I$1001,0),MATCH(COLUMNS($P$1006:Q1006),$P$1006:$S$1006,0)), HYPERLINK("#",""), HYPERLINK(CONCATENATE("#metadata!", ADDRESS(INDEX($K$2:$K$1001,MATCH(ROWS($I$2:I409),$I$2:$I$1001,0),0), INDEX($P$1004:$S$1004,1,MATCH(COLUMNS($P$1006:Q1006),$P$1006:$S$1006,0)))),"Fix")))</f>
        <v>0</v>
      </c>
      <c r="D409" s="3">
        <f>IF(OR(INDEX($J$2:$J$1001,MATCH(ROWS($I$2:I409),$I$2:$I$1001,0),1)&gt;=100000,INDEX($P$1005:$S$1005,1,MATCH(COLUMNS($P$1006:R1006),$P$1006:$S$1006,0))&gt;=100000), " ",IF(INDEX($P$2:$S$1001,MATCH(ROWS($I$2:I409),$I$2:$I$1001,0),MATCH(COLUMNS($P$1006:R1006),$P$1006:$S$1006,0)), HYPERLINK("#",""), HYPERLINK(CONCATENATE("#metadata!", ADDRESS(INDEX($K$2:$K$1001,MATCH(ROWS($I$2:I409),$I$2:$I$1001,0),0), INDEX($P$1004:$S$1004,1,MATCH(COLUMNS($P$1006:R1006),$P$1006:$S$1006,0)))),"Fix")))</f>
        <v>0</v>
      </c>
      <c r="E409" s="3">
        <f>IF(OR(INDEX($J$2:$J$1001,MATCH(ROWS($I$2:I409),$I$2:$I$1001,0),1)&gt;=100000,INDEX($P$1005:$S$1005,1,MATCH(COLUMNS($P$1006:S1006),$P$1006:$S$1006,0))&gt;=100000), " ",IF(INDEX($P$2:$S$1001,MATCH(ROWS($I$2:I409),$I$2:$I$1001,0),MATCH(COLUMNS($P$1006:S1006),$P$1006:$S$1006,0)), HYPERLINK("#",""), HYPERLINK(CONCATENATE("#metadata!", ADDRESS(INDEX($K$2:$K$1001,MATCH(ROWS($I$2:I409),$I$2:$I$1001,0),0), INDEX($P$1004:$S$1004,1,MATCH(COLUMNS($P$1006:S1006),$P$1006:$S$1006,0)))),"Fix")))</f>
        <v>0</v>
      </c>
      <c r="I409">
        <v>0</v>
      </c>
      <c r="J409">
        <v>0</v>
      </c>
      <c r="K409">
        <v>0</v>
      </c>
      <c r="L409">
        <f>IF(M409,TRUE,AND(P409:S409))</f>
        <v>0</v>
      </c>
      <c r="M409">
        <f>COUNTBLANK(metadata!B409:E409)=COLUMNS(metadata!B409:E409)</f>
        <v>0</v>
      </c>
      <c r="N409">
        <v>0</v>
      </c>
      <c r="P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Q409">
        <f>AND(IF(metadata!C409="",FALSE,TRUE),exact(metadata!C409,"other"))</f>
        <v>0</v>
      </c>
      <c r="R409">
        <f>AND(IF(metadata!D409="",FALSE,TRUE),exact(metadata!D409,"metagenome"))</f>
        <v>0</v>
      </c>
      <c r="S409">
        <f>AND(IF(metadata!E409="",FALSE,TRUE),exact(metadata!E409,"256318"))</f>
        <v>0</v>
      </c>
    </row>
    <row r="410" spans="1:19">
      <c r="A410" s="4">
        <f>IF(B410=" "," ",HYPERLINK(CONCATENATE("#metadata!",ADDRESS(INDEX($K$2:$K$1001,MATCH(ROWS($I$2:I410),$I$2:$I$1001,0),0),1)),INDEX($N$2:$N$1001,MATCH(ROWS($I$2:I410),$I$2:$I$1001,0),0)))</f>
        <v>0</v>
      </c>
      <c r="B410" s="3">
        <f>IF(OR(INDEX($J$2:$J$1001,MATCH(ROWS($I$2:I410),$I$2:$I$1001,0),1)&gt;=100000,INDEX($P$1005:$S$1005,1,MATCH(COLUMNS($P$1006:P1006),$P$1006:$S$1006,0))&gt;=100000), " ",IF(INDEX($P$2:$S$1001,MATCH(ROWS($I$2:I410),$I$2:$I$1001,0),MATCH(COLUMNS($P$1006:P1006),$P$1006:$S$1006,0)), HYPERLINK("#",""), HYPERLINK(CONCATENATE("#metadata!", ADDRESS(INDEX($K$2:$K$1001,MATCH(ROWS($I$2:I410),$I$2:$I$1001,0),0), INDEX($P$1004:$S$1004,1,MATCH(COLUMNS($P$1006:P1006),$P$1006:$S$1006,0)))),"Fix")))</f>
        <v>0</v>
      </c>
      <c r="C410" s="3">
        <f>IF(OR(INDEX($J$2:$J$1001,MATCH(ROWS($I$2:I410),$I$2:$I$1001,0),1)&gt;=100000,INDEX($P$1005:$S$1005,1,MATCH(COLUMNS($P$1006:Q1006),$P$1006:$S$1006,0))&gt;=100000), " ",IF(INDEX($P$2:$S$1001,MATCH(ROWS($I$2:I410),$I$2:$I$1001,0),MATCH(COLUMNS($P$1006:Q1006),$P$1006:$S$1006,0)), HYPERLINK("#",""), HYPERLINK(CONCATENATE("#metadata!", ADDRESS(INDEX($K$2:$K$1001,MATCH(ROWS($I$2:I410),$I$2:$I$1001,0),0), INDEX($P$1004:$S$1004,1,MATCH(COLUMNS($P$1006:Q1006),$P$1006:$S$1006,0)))),"Fix")))</f>
        <v>0</v>
      </c>
      <c r="D410" s="3">
        <f>IF(OR(INDEX($J$2:$J$1001,MATCH(ROWS($I$2:I410),$I$2:$I$1001,0),1)&gt;=100000,INDEX($P$1005:$S$1005,1,MATCH(COLUMNS($P$1006:R1006),$P$1006:$S$1006,0))&gt;=100000), " ",IF(INDEX($P$2:$S$1001,MATCH(ROWS($I$2:I410),$I$2:$I$1001,0),MATCH(COLUMNS($P$1006:R1006),$P$1006:$S$1006,0)), HYPERLINK("#",""), HYPERLINK(CONCATENATE("#metadata!", ADDRESS(INDEX($K$2:$K$1001,MATCH(ROWS($I$2:I410),$I$2:$I$1001,0),0), INDEX($P$1004:$S$1004,1,MATCH(COLUMNS($P$1006:R1006),$P$1006:$S$1006,0)))),"Fix")))</f>
        <v>0</v>
      </c>
      <c r="E410" s="3">
        <f>IF(OR(INDEX($J$2:$J$1001,MATCH(ROWS($I$2:I410),$I$2:$I$1001,0),1)&gt;=100000,INDEX($P$1005:$S$1005,1,MATCH(COLUMNS($P$1006:S1006),$P$1006:$S$1006,0))&gt;=100000), " ",IF(INDEX($P$2:$S$1001,MATCH(ROWS($I$2:I410),$I$2:$I$1001,0),MATCH(COLUMNS($P$1006:S1006),$P$1006:$S$1006,0)), HYPERLINK("#",""), HYPERLINK(CONCATENATE("#metadata!", ADDRESS(INDEX($K$2:$K$1001,MATCH(ROWS($I$2:I410),$I$2:$I$1001,0),0), INDEX($P$1004:$S$1004,1,MATCH(COLUMNS($P$1006:S1006),$P$1006:$S$1006,0)))),"Fix")))</f>
        <v>0</v>
      </c>
      <c r="I410">
        <v>0</v>
      </c>
      <c r="J410">
        <v>0</v>
      </c>
      <c r="K410">
        <v>0</v>
      </c>
      <c r="L410">
        <f>IF(M410,TRUE,AND(P410:S410))</f>
        <v>0</v>
      </c>
      <c r="M410">
        <f>COUNTBLANK(metadata!B410:E410)=COLUMNS(metadata!B410:E410)</f>
        <v>0</v>
      </c>
      <c r="N410">
        <v>0</v>
      </c>
      <c r="P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Q410">
        <f>AND(IF(metadata!C410="",FALSE,TRUE),exact(metadata!C410,"other"))</f>
        <v>0</v>
      </c>
      <c r="R410">
        <f>AND(IF(metadata!D410="",FALSE,TRUE),exact(metadata!D410,"metagenome"))</f>
        <v>0</v>
      </c>
      <c r="S410">
        <f>AND(IF(metadata!E410="",FALSE,TRUE),exact(metadata!E410,"256318"))</f>
        <v>0</v>
      </c>
    </row>
    <row r="411" spans="1:19">
      <c r="A411" s="4">
        <f>IF(B411=" "," ",HYPERLINK(CONCATENATE("#metadata!",ADDRESS(INDEX($K$2:$K$1001,MATCH(ROWS($I$2:I411),$I$2:$I$1001,0),0),1)),INDEX($N$2:$N$1001,MATCH(ROWS($I$2:I411),$I$2:$I$1001,0),0)))</f>
        <v>0</v>
      </c>
      <c r="B411" s="3">
        <f>IF(OR(INDEX($J$2:$J$1001,MATCH(ROWS($I$2:I411),$I$2:$I$1001,0),1)&gt;=100000,INDEX($P$1005:$S$1005,1,MATCH(COLUMNS($P$1006:P1006),$P$1006:$S$1006,0))&gt;=100000), " ",IF(INDEX($P$2:$S$1001,MATCH(ROWS($I$2:I411),$I$2:$I$1001,0),MATCH(COLUMNS($P$1006:P1006),$P$1006:$S$1006,0)), HYPERLINK("#",""), HYPERLINK(CONCATENATE("#metadata!", ADDRESS(INDEX($K$2:$K$1001,MATCH(ROWS($I$2:I411),$I$2:$I$1001,0),0), INDEX($P$1004:$S$1004,1,MATCH(COLUMNS($P$1006:P1006),$P$1006:$S$1006,0)))),"Fix")))</f>
        <v>0</v>
      </c>
      <c r="C411" s="3">
        <f>IF(OR(INDEX($J$2:$J$1001,MATCH(ROWS($I$2:I411),$I$2:$I$1001,0),1)&gt;=100000,INDEX($P$1005:$S$1005,1,MATCH(COLUMNS($P$1006:Q1006),$P$1006:$S$1006,0))&gt;=100000), " ",IF(INDEX($P$2:$S$1001,MATCH(ROWS($I$2:I411),$I$2:$I$1001,0),MATCH(COLUMNS($P$1006:Q1006),$P$1006:$S$1006,0)), HYPERLINK("#",""), HYPERLINK(CONCATENATE("#metadata!", ADDRESS(INDEX($K$2:$K$1001,MATCH(ROWS($I$2:I411),$I$2:$I$1001,0),0), INDEX($P$1004:$S$1004,1,MATCH(COLUMNS($P$1006:Q1006),$P$1006:$S$1006,0)))),"Fix")))</f>
        <v>0</v>
      </c>
      <c r="D411" s="3">
        <f>IF(OR(INDEX($J$2:$J$1001,MATCH(ROWS($I$2:I411),$I$2:$I$1001,0),1)&gt;=100000,INDEX($P$1005:$S$1005,1,MATCH(COLUMNS($P$1006:R1006),$P$1006:$S$1006,0))&gt;=100000), " ",IF(INDEX($P$2:$S$1001,MATCH(ROWS($I$2:I411),$I$2:$I$1001,0),MATCH(COLUMNS($P$1006:R1006),$P$1006:$S$1006,0)), HYPERLINK("#",""), HYPERLINK(CONCATENATE("#metadata!", ADDRESS(INDEX($K$2:$K$1001,MATCH(ROWS($I$2:I411),$I$2:$I$1001,0),0), INDEX($P$1004:$S$1004,1,MATCH(COLUMNS($P$1006:R1006),$P$1006:$S$1006,0)))),"Fix")))</f>
        <v>0</v>
      </c>
      <c r="E411" s="3">
        <f>IF(OR(INDEX($J$2:$J$1001,MATCH(ROWS($I$2:I411),$I$2:$I$1001,0),1)&gt;=100000,INDEX($P$1005:$S$1005,1,MATCH(COLUMNS($P$1006:S1006),$P$1006:$S$1006,0))&gt;=100000), " ",IF(INDEX($P$2:$S$1001,MATCH(ROWS($I$2:I411),$I$2:$I$1001,0),MATCH(COLUMNS($P$1006:S1006),$P$1006:$S$1006,0)), HYPERLINK("#",""), HYPERLINK(CONCATENATE("#metadata!", ADDRESS(INDEX($K$2:$K$1001,MATCH(ROWS($I$2:I411),$I$2:$I$1001,0),0), INDEX($P$1004:$S$1004,1,MATCH(COLUMNS($P$1006:S1006),$P$1006:$S$1006,0)))),"Fix")))</f>
        <v>0</v>
      </c>
      <c r="I411">
        <v>0</v>
      </c>
      <c r="J411">
        <v>0</v>
      </c>
      <c r="K411">
        <v>0</v>
      </c>
      <c r="L411">
        <f>IF(M411,TRUE,AND(P411:S411))</f>
        <v>0</v>
      </c>
      <c r="M411">
        <f>COUNTBLANK(metadata!B411:E411)=COLUMNS(metadata!B411:E411)</f>
        <v>0</v>
      </c>
      <c r="N411">
        <v>0</v>
      </c>
      <c r="P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Q411">
        <f>AND(IF(metadata!C411="",FALSE,TRUE),exact(metadata!C411,"other"))</f>
        <v>0</v>
      </c>
      <c r="R411">
        <f>AND(IF(metadata!D411="",FALSE,TRUE),exact(metadata!D411,"metagenome"))</f>
        <v>0</v>
      </c>
      <c r="S411">
        <f>AND(IF(metadata!E411="",FALSE,TRUE),exact(metadata!E411,"256318"))</f>
        <v>0</v>
      </c>
    </row>
    <row r="412" spans="1:19">
      <c r="A412" s="4">
        <f>IF(B412=" "," ",HYPERLINK(CONCATENATE("#metadata!",ADDRESS(INDEX($K$2:$K$1001,MATCH(ROWS($I$2:I412),$I$2:$I$1001,0),0),1)),INDEX($N$2:$N$1001,MATCH(ROWS($I$2:I412),$I$2:$I$1001,0),0)))</f>
        <v>0</v>
      </c>
      <c r="B412" s="3">
        <f>IF(OR(INDEX($J$2:$J$1001,MATCH(ROWS($I$2:I412),$I$2:$I$1001,0),1)&gt;=100000,INDEX($P$1005:$S$1005,1,MATCH(COLUMNS($P$1006:P1006),$P$1006:$S$1006,0))&gt;=100000), " ",IF(INDEX($P$2:$S$1001,MATCH(ROWS($I$2:I412),$I$2:$I$1001,0),MATCH(COLUMNS($P$1006:P1006),$P$1006:$S$1006,0)), HYPERLINK("#",""), HYPERLINK(CONCATENATE("#metadata!", ADDRESS(INDEX($K$2:$K$1001,MATCH(ROWS($I$2:I412),$I$2:$I$1001,0),0), INDEX($P$1004:$S$1004,1,MATCH(COLUMNS($P$1006:P1006),$P$1006:$S$1006,0)))),"Fix")))</f>
        <v>0</v>
      </c>
      <c r="C412" s="3">
        <f>IF(OR(INDEX($J$2:$J$1001,MATCH(ROWS($I$2:I412),$I$2:$I$1001,0),1)&gt;=100000,INDEX($P$1005:$S$1005,1,MATCH(COLUMNS($P$1006:Q1006),$P$1006:$S$1006,0))&gt;=100000), " ",IF(INDEX($P$2:$S$1001,MATCH(ROWS($I$2:I412),$I$2:$I$1001,0),MATCH(COLUMNS($P$1006:Q1006),$P$1006:$S$1006,0)), HYPERLINK("#",""), HYPERLINK(CONCATENATE("#metadata!", ADDRESS(INDEX($K$2:$K$1001,MATCH(ROWS($I$2:I412),$I$2:$I$1001,0),0), INDEX($P$1004:$S$1004,1,MATCH(COLUMNS($P$1006:Q1006),$P$1006:$S$1006,0)))),"Fix")))</f>
        <v>0</v>
      </c>
      <c r="D412" s="3">
        <f>IF(OR(INDEX($J$2:$J$1001,MATCH(ROWS($I$2:I412),$I$2:$I$1001,0),1)&gt;=100000,INDEX($P$1005:$S$1005,1,MATCH(COLUMNS($P$1006:R1006),$P$1006:$S$1006,0))&gt;=100000), " ",IF(INDEX($P$2:$S$1001,MATCH(ROWS($I$2:I412),$I$2:$I$1001,0),MATCH(COLUMNS($P$1006:R1006),$P$1006:$S$1006,0)), HYPERLINK("#",""), HYPERLINK(CONCATENATE("#metadata!", ADDRESS(INDEX($K$2:$K$1001,MATCH(ROWS($I$2:I412),$I$2:$I$1001,0),0), INDEX($P$1004:$S$1004,1,MATCH(COLUMNS($P$1006:R1006),$P$1006:$S$1006,0)))),"Fix")))</f>
        <v>0</v>
      </c>
      <c r="E412" s="3">
        <f>IF(OR(INDEX($J$2:$J$1001,MATCH(ROWS($I$2:I412),$I$2:$I$1001,0),1)&gt;=100000,INDEX($P$1005:$S$1005,1,MATCH(COLUMNS($P$1006:S1006),$P$1006:$S$1006,0))&gt;=100000), " ",IF(INDEX($P$2:$S$1001,MATCH(ROWS($I$2:I412),$I$2:$I$1001,0),MATCH(COLUMNS($P$1006:S1006),$P$1006:$S$1006,0)), HYPERLINK("#",""), HYPERLINK(CONCATENATE("#metadata!", ADDRESS(INDEX($K$2:$K$1001,MATCH(ROWS($I$2:I412),$I$2:$I$1001,0),0), INDEX($P$1004:$S$1004,1,MATCH(COLUMNS($P$1006:S1006),$P$1006:$S$1006,0)))),"Fix")))</f>
        <v>0</v>
      </c>
      <c r="I412">
        <v>0</v>
      </c>
      <c r="J412">
        <v>0</v>
      </c>
      <c r="K412">
        <v>0</v>
      </c>
      <c r="L412">
        <f>IF(M412,TRUE,AND(P412:S412))</f>
        <v>0</v>
      </c>
      <c r="M412">
        <f>COUNTBLANK(metadata!B412:E412)=COLUMNS(metadata!B412:E412)</f>
        <v>0</v>
      </c>
      <c r="N412">
        <v>0</v>
      </c>
      <c r="P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Q412">
        <f>AND(IF(metadata!C412="",FALSE,TRUE),exact(metadata!C412,"other"))</f>
        <v>0</v>
      </c>
      <c r="R412">
        <f>AND(IF(metadata!D412="",FALSE,TRUE),exact(metadata!D412,"metagenome"))</f>
        <v>0</v>
      </c>
      <c r="S412">
        <f>AND(IF(metadata!E412="",FALSE,TRUE),exact(metadata!E412,"256318"))</f>
        <v>0</v>
      </c>
    </row>
    <row r="413" spans="1:19">
      <c r="A413" s="4">
        <f>IF(B413=" "," ",HYPERLINK(CONCATENATE("#metadata!",ADDRESS(INDEX($K$2:$K$1001,MATCH(ROWS($I$2:I413),$I$2:$I$1001,0),0),1)),INDEX($N$2:$N$1001,MATCH(ROWS($I$2:I413),$I$2:$I$1001,0),0)))</f>
        <v>0</v>
      </c>
      <c r="B413" s="3">
        <f>IF(OR(INDEX($J$2:$J$1001,MATCH(ROWS($I$2:I413),$I$2:$I$1001,0),1)&gt;=100000,INDEX($P$1005:$S$1005,1,MATCH(COLUMNS($P$1006:P1006),$P$1006:$S$1006,0))&gt;=100000), " ",IF(INDEX($P$2:$S$1001,MATCH(ROWS($I$2:I413),$I$2:$I$1001,0),MATCH(COLUMNS($P$1006:P1006),$P$1006:$S$1006,0)), HYPERLINK("#",""), HYPERLINK(CONCATENATE("#metadata!", ADDRESS(INDEX($K$2:$K$1001,MATCH(ROWS($I$2:I413),$I$2:$I$1001,0),0), INDEX($P$1004:$S$1004,1,MATCH(COLUMNS($P$1006:P1006),$P$1006:$S$1006,0)))),"Fix")))</f>
        <v>0</v>
      </c>
      <c r="C413" s="3">
        <f>IF(OR(INDEX($J$2:$J$1001,MATCH(ROWS($I$2:I413),$I$2:$I$1001,0),1)&gt;=100000,INDEX($P$1005:$S$1005,1,MATCH(COLUMNS($P$1006:Q1006),$P$1006:$S$1006,0))&gt;=100000), " ",IF(INDEX($P$2:$S$1001,MATCH(ROWS($I$2:I413),$I$2:$I$1001,0),MATCH(COLUMNS($P$1006:Q1006),$P$1006:$S$1006,0)), HYPERLINK("#",""), HYPERLINK(CONCATENATE("#metadata!", ADDRESS(INDEX($K$2:$K$1001,MATCH(ROWS($I$2:I413),$I$2:$I$1001,0),0), INDEX($P$1004:$S$1004,1,MATCH(COLUMNS($P$1006:Q1006),$P$1006:$S$1006,0)))),"Fix")))</f>
        <v>0</v>
      </c>
      <c r="D413" s="3">
        <f>IF(OR(INDEX($J$2:$J$1001,MATCH(ROWS($I$2:I413),$I$2:$I$1001,0),1)&gt;=100000,INDEX($P$1005:$S$1005,1,MATCH(COLUMNS($P$1006:R1006),$P$1006:$S$1006,0))&gt;=100000), " ",IF(INDEX($P$2:$S$1001,MATCH(ROWS($I$2:I413),$I$2:$I$1001,0),MATCH(COLUMNS($P$1006:R1006),$P$1006:$S$1006,0)), HYPERLINK("#",""), HYPERLINK(CONCATENATE("#metadata!", ADDRESS(INDEX($K$2:$K$1001,MATCH(ROWS($I$2:I413),$I$2:$I$1001,0),0), INDEX($P$1004:$S$1004,1,MATCH(COLUMNS($P$1006:R1006),$P$1006:$S$1006,0)))),"Fix")))</f>
        <v>0</v>
      </c>
      <c r="E413" s="3">
        <f>IF(OR(INDEX($J$2:$J$1001,MATCH(ROWS($I$2:I413),$I$2:$I$1001,0),1)&gt;=100000,INDEX($P$1005:$S$1005,1,MATCH(COLUMNS($P$1006:S1006),$P$1006:$S$1006,0))&gt;=100000), " ",IF(INDEX($P$2:$S$1001,MATCH(ROWS($I$2:I413),$I$2:$I$1001,0),MATCH(COLUMNS($P$1006:S1006),$P$1006:$S$1006,0)), HYPERLINK("#",""), HYPERLINK(CONCATENATE("#metadata!", ADDRESS(INDEX($K$2:$K$1001,MATCH(ROWS($I$2:I413),$I$2:$I$1001,0),0), INDEX($P$1004:$S$1004,1,MATCH(COLUMNS($P$1006:S1006),$P$1006:$S$1006,0)))),"Fix")))</f>
        <v>0</v>
      </c>
      <c r="I413">
        <v>0</v>
      </c>
      <c r="J413">
        <v>0</v>
      </c>
      <c r="K413">
        <v>0</v>
      </c>
      <c r="L413">
        <f>IF(M413,TRUE,AND(P413:S413))</f>
        <v>0</v>
      </c>
      <c r="M413">
        <f>COUNTBLANK(metadata!B413:E413)=COLUMNS(metadata!B413:E413)</f>
        <v>0</v>
      </c>
      <c r="N413">
        <v>0</v>
      </c>
      <c r="P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Q413">
        <f>AND(IF(metadata!C413="",FALSE,TRUE),exact(metadata!C413,"other"))</f>
        <v>0</v>
      </c>
      <c r="R413">
        <f>AND(IF(metadata!D413="",FALSE,TRUE),exact(metadata!D413,"metagenome"))</f>
        <v>0</v>
      </c>
      <c r="S413">
        <f>AND(IF(metadata!E413="",FALSE,TRUE),exact(metadata!E413,"256318"))</f>
        <v>0</v>
      </c>
    </row>
    <row r="414" spans="1:19">
      <c r="A414" s="4">
        <f>IF(B414=" "," ",HYPERLINK(CONCATENATE("#metadata!",ADDRESS(INDEX($K$2:$K$1001,MATCH(ROWS($I$2:I414),$I$2:$I$1001,0),0),1)),INDEX($N$2:$N$1001,MATCH(ROWS($I$2:I414),$I$2:$I$1001,0),0)))</f>
        <v>0</v>
      </c>
      <c r="B414" s="3">
        <f>IF(OR(INDEX($J$2:$J$1001,MATCH(ROWS($I$2:I414),$I$2:$I$1001,0),1)&gt;=100000,INDEX($P$1005:$S$1005,1,MATCH(COLUMNS($P$1006:P1006),$P$1006:$S$1006,0))&gt;=100000), " ",IF(INDEX($P$2:$S$1001,MATCH(ROWS($I$2:I414),$I$2:$I$1001,0),MATCH(COLUMNS($P$1006:P1006),$P$1006:$S$1006,0)), HYPERLINK("#",""), HYPERLINK(CONCATENATE("#metadata!", ADDRESS(INDEX($K$2:$K$1001,MATCH(ROWS($I$2:I414),$I$2:$I$1001,0),0), INDEX($P$1004:$S$1004,1,MATCH(COLUMNS($P$1006:P1006),$P$1006:$S$1006,0)))),"Fix")))</f>
        <v>0</v>
      </c>
      <c r="C414" s="3">
        <f>IF(OR(INDEX($J$2:$J$1001,MATCH(ROWS($I$2:I414),$I$2:$I$1001,0),1)&gt;=100000,INDEX($P$1005:$S$1005,1,MATCH(COLUMNS($P$1006:Q1006),$P$1006:$S$1006,0))&gt;=100000), " ",IF(INDEX($P$2:$S$1001,MATCH(ROWS($I$2:I414),$I$2:$I$1001,0),MATCH(COLUMNS($P$1006:Q1006),$P$1006:$S$1006,0)), HYPERLINK("#",""), HYPERLINK(CONCATENATE("#metadata!", ADDRESS(INDEX($K$2:$K$1001,MATCH(ROWS($I$2:I414),$I$2:$I$1001,0),0), INDEX($P$1004:$S$1004,1,MATCH(COLUMNS($P$1006:Q1006),$P$1006:$S$1006,0)))),"Fix")))</f>
        <v>0</v>
      </c>
      <c r="D414" s="3">
        <f>IF(OR(INDEX($J$2:$J$1001,MATCH(ROWS($I$2:I414),$I$2:$I$1001,0),1)&gt;=100000,INDEX($P$1005:$S$1005,1,MATCH(COLUMNS($P$1006:R1006),$P$1006:$S$1006,0))&gt;=100000), " ",IF(INDEX($P$2:$S$1001,MATCH(ROWS($I$2:I414),$I$2:$I$1001,0),MATCH(COLUMNS($P$1006:R1006),$P$1006:$S$1006,0)), HYPERLINK("#",""), HYPERLINK(CONCATENATE("#metadata!", ADDRESS(INDEX($K$2:$K$1001,MATCH(ROWS($I$2:I414),$I$2:$I$1001,0),0), INDEX($P$1004:$S$1004,1,MATCH(COLUMNS($P$1006:R1006),$P$1006:$S$1006,0)))),"Fix")))</f>
        <v>0</v>
      </c>
      <c r="E414" s="3">
        <f>IF(OR(INDEX($J$2:$J$1001,MATCH(ROWS($I$2:I414),$I$2:$I$1001,0),1)&gt;=100000,INDEX($P$1005:$S$1005,1,MATCH(COLUMNS($P$1006:S1006),$P$1006:$S$1006,0))&gt;=100000), " ",IF(INDEX($P$2:$S$1001,MATCH(ROWS($I$2:I414),$I$2:$I$1001,0),MATCH(COLUMNS($P$1006:S1006),$P$1006:$S$1006,0)), HYPERLINK("#",""), HYPERLINK(CONCATENATE("#metadata!", ADDRESS(INDEX($K$2:$K$1001,MATCH(ROWS($I$2:I414),$I$2:$I$1001,0),0), INDEX($P$1004:$S$1004,1,MATCH(COLUMNS($P$1006:S1006),$P$1006:$S$1006,0)))),"Fix")))</f>
        <v>0</v>
      </c>
      <c r="I414">
        <v>0</v>
      </c>
      <c r="J414">
        <v>0</v>
      </c>
      <c r="K414">
        <v>0</v>
      </c>
      <c r="L414">
        <f>IF(M414,TRUE,AND(P414:S414))</f>
        <v>0</v>
      </c>
      <c r="M414">
        <f>COUNTBLANK(metadata!B414:E414)=COLUMNS(metadata!B414:E414)</f>
        <v>0</v>
      </c>
      <c r="N414">
        <v>0</v>
      </c>
      <c r="P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Q414">
        <f>AND(IF(metadata!C414="",FALSE,TRUE),exact(metadata!C414,"other"))</f>
        <v>0</v>
      </c>
      <c r="R414">
        <f>AND(IF(metadata!D414="",FALSE,TRUE),exact(metadata!D414,"metagenome"))</f>
        <v>0</v>
      </c>
      <c r="S414">
        <f>AND(IF(metadata!E414="",FALSE,TRUE),exact(metadata!E414,"256318"))</f>
        <v>0</v>
      </c>
    </row>
    <row r="415" spans="1:19">
      <c r="A415" s="4">
        <f>IF(B415=" "," ",HYPERLINK(CONCATENATE("#metadata!",ADDRESS(INDEX($K$2:$K$1001,MATCH(ROWS($I$2:I415),$I$2:$I$1001,0),0),1)),INDEX($N$2:$N$1001,MATCH(ROWS($I$2:I415),$I$2:$I$1001,0),0)))</f>
        <v>0</v>
      </c>
      <c r="B415" s="3">
        <f>IF(OR(INDEX($J$2:$J$1001,MATCH(ROWS($I$2:I415),$I$2:$I$1001,0),1)&gt;=100000,INDEX($P$1005:$S$1005,1,MATCH(COLUMNS($P$1006:P1006),$P$1006:$S$1006,0))&gt;=100000), " ",IF(INDEX($P$2:$S$1001,MATCH(ROWS($I$2:I415),$I$2:$I$1001,0),MATCH(COLUMNS($P$1006:P1006),$P$1006:$S$1006,0)), HYPERLINK("#",""), HYPERLINK(CONCATENATE("#metadata!", ADDRESS(INDEX($K$2:$K$1001,MATCH(ROWS($I$2:I415),$I$2:$I$1001,0),0), INDEX($P$1004:$S$1004,1,MATCH(COLUMNS($P$1006:P1006),$P$1006:$S$1006,0)))),"Fix")))</f>
        <v>0</v>
      </c>
      <c r="C415" s="3">
        <f>IF(OR(INDEX($J$2:$J$1001,MATCH(ROWS($I$2:I415),$I$2:$I$1001,0),1)&gt;=100000,INDEX($P$1005:$S$1005,1,MATCH(COLUMNS($P$1006:Q1006),$P$1006:$S$1006,0))&gt;=100000), " ",IF(INDEX($P$2:$S$1001,MATCH(ROWS($I$2:I415),$I$2:$I$1001,0),MATCH(COLUMNS($P$1006:Q1006),$P$1006:$S$1006,0)), HYPERLINK("#",""), HYPERLINK(CONCATENATE("#metadata!", ADDRESS(INDEX($K$2:$K$1001,MATCH(ROWS($I$2:I415),$I$2:$I$1001,0),0), INDEX($P$1004:$S$1004,1,MATCH(COLUMNS($P$1006:Q1006),$P$1006:$S$1006,0)))),"Fix")))</f>
        <v>0</v>
      </c>
      <c r="D415" s="3">
        <f>IF(OR(INDEX($J$2:$J$1001,MATCH(ROWS($I$2:I415),$I$2:$I$1001,0),1)&gt;=100000,INDEX($P$1005:$S$1005,1,MATCH(COLUMNS($P$1006:R1006),$P$1006:$S$1006,0))&gt;=100000), " ",IF(INDEX($P$2:$S$1001,MATCH(ROWS($I$2:I415),$I$2:$I$1001,0),MATCH(COLUMNS($P$1006:R1006),$P$1006:$S$1006,0)), HYPERLINK("#",""), HYPERLINK(CONCATENATE("#metadata!", ADDRESS(INDEX($K$2:$K$1001,MATCH(ROWS($I$2:I415),$I$2:$I$1001,0),0), INDEX($P$1004:$S$1004,1,MATCH(COLUMNS($P$1006:R1006),$P$1006:$S$1006,0)))),"Fix")))</f>
        <v>0</v>
      </c>
      <c r="E415" s="3">
        <f>IF(OR(INDEX($J$2:$J$1001,MATCH(ROWS($I$2:I415),$I$2:$I$1001,0),1)&gt;=100000,INDEX($P$1005:$S$1005,1,MATCH(COLUMNS($P$1006:S1006),$P$1006:$S$1006,0))&gt;=100000), " ",IF(INDEX($P$2:$S$1001,MATCH(ROWS($I$2:I415),$I$2:$I$1001,0),MATCH(COLUMNS($P$1006:S1006),$P$1006:$S$1006,0)), HYPERLINK("#",""), HYPERLINK(CONCATENATE("#metadata!", ADDRESS(INDEX($K$2:$K$1001,MATCH(ROWS($I$2:I415),$I$2:$I$1001,0),0), INDEX($P$1004:$S$1004,1,MATCH(COLUMNS($P$1006:S1006),$P$1006:$S$1006,0)))),"Fix")))</f>
        <v>0</v>
      </c>
      <c r="I415">
        <v>0</v>
      </c>
      <c r="J415">
        <v>0</v>
      </c>
      <c r="K415">
        <v>0</v>
      </c>
      <c r="L415">
        <f>IF(M415,TRUE,AND(P415:S415))</f>
        <v>0</v>
      </c>
      <c r="M415">
        <f>COUNTBLANK(metadata!B415:E415)=COLUMNS(metadata!B415:E415)</f>
        <v>0</v>
      </c>
      <c r="N415">
        <v>0</v>
      </c>
      <c r="P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Q415">
        <f>AND(IF(metadata!C415="",FALSE,TRUE),exact(metadata!C415,"other"))</f>
        <v>0</v>
      </c>
      <c r="R415">
        <f>AND(IF(metadata!D415="",FALSE,TRUE),exact(metadata!D415,"metagenome"))</f>
        <v>0</v>
      </c>
      <c r="S415">
        <f>AND(IF(metadata!E415="",FALSE,TRUE),exact(metadata!E415,"256318"))</f>
        <v>0</v>
      </c>
    </row>
    <row r="416" spans="1:19">
      <c r="A416" s="4">
        <f>IF(B416=" "," ",HYPERLINK(CONCATENATE("#metadata!",ADDRESS(INDEX($K$2:$K$1001,MATCH(ROWS($I$2:I416),$I$2:$I$1001,0),0),1)),INDEX($N$2:$N$1001,MATCH(ROWS($I$2:I416),$I$2:$I$1001,0),0)))</f>
        <v>0</v>
      </c>
      <c r="B416" s="3">
        <f>IF(OR(INDEX($J$2:$J$1001,MATCH(ROWS($I$2:I416),$I$2:$I$1001,0),1)&gt;=100000,INDEX($P$1005:$S$1005,1,MATCH(COLUMNS($P$1006:P1006),$P$1006:$S$1006,0))&gt;=100000), " ",IF(INDEX($P$2:$S$1001,MATCH(ROWS($I$2:I416),$I$2:$I$1001,0),MATCH(COLUMNS($P$1006:P1006),$P$1006:$S$1006,0)), HYPERLINK("#",""), HYPERLINK(CONCATENATE("#metadata!", ADDRESS(INDEX($K$2:$K$1001,MATCH(ROWS($I$2:I416),$I$2:$I$1001,0),0), INDEX($P$1004:$S$1004,1,MATCH(COLUMNS($P$1006:P1006),$P$1006:$S$1006,0)))),"Fix")))</f>
        <v>0</v>
      </c>
      <c r="C416" s="3">
        <f>IF(OR(INDEX($J$2:$J$1001,MATCH(ROWS($I$2:I416),$I$2:$I$1001,0),1)&gt;=100000,INDEX($P$1005:$S$1005,1,MATCH(COLUMNS($P$1006:Q1006),$P$1006:$S$1006,0))&gt;=100000), " ",IF(INDEX($P$2:$S$1001,MATCH(ROWS($I$2:I416),$I$2:$I$1001,0),MATCH(COLUMNS($P$1006:Q1006),$P$1006:$S$1006,0)), HYPERLINK("#",""), HYPERLINK(CONCATENATE("#metadata!", ADDRESS(INDEX($K$2:$K$1001,MATCH(ROWS($I$2:I416),$I$2:$I$1001,0),0), INDEX($P$1004:$S$1004,1,MATCH(COLUMNS($P$1006:Q1006),$P$1006:$S$1006,0)))),"Fix")))</f>
        <v>0</v>
      </c>
      <c r="D416" s="3">
        <f>IF(OR(INDEX($J$2:$J$1001,MATCH(ROWS($I$2:I416),$I$2:$I$1001,0),1)&gt;=100000,INDEX($P$1005:$S$1005,1,MATCH(COLUMNS($P$1006:R1006),$P$1006:$S$1006,0))&gt;=100000), " ",IF(INDEX($P$2:$S$1001,MATCH(ROWS($I$2:I416),$I$2:$I$1001,0),MATCH(COLUMNS($P$1006:R1006),$P$1006:$S$1006,0)), HYPERLINK("#",""), HYPERLINK(CONCATENATE("#metadata!", ADDRESS(INDEX($K$2:$K$1001,MATCH(ROWS($I$2:I416),$I$2:$I$1001,0),0), INDEX($P$1004:$S$1004,1,MATCH(COLUMNS($P$1006:R1006),$P$1006:$S$1006,0)))),"Fix")))</f>
        <v>0</v>
      </c>
      <c r="E416" s="3">
        <f>IF(OR(INDEX($J$2:$J$1001,MATCH(ROWS($I$2:I416),$I$2:$I$1001,0),1)&gt;=100000,INDEX($P$1005:$S$1005,1,MATCH(COLUMNS($P$1006:S1006),$P$1006:$S$1006,0))&gt;=100000), " ",IF(INDEX($P$2:$S$1001,MATCH(ROWS($I$2:I416),$I$2:$I$1001,0),MATCH(COLUMNS($P$1006:S1006),$P$1006:$S$1006,0)), HYPERLINK("#",""), HYPERLINK(CONCATENATE("#metadata!", ADDRESS(INDEX($K$2:$K$1001,MATCH(ROWS($I$2:I416),$I$2:$I$1001,0),0), INDEX($P$1004:$S$1004,1,MATCH(COLUMNS($P$1006:S1006),$P$1006:$S$1006,0)))),"Fix")))</f>
        <v>0</v>
      </c>
      <c r="I416">
        <v>0</v>
      </c>
      <c r="J416">
        <v>0</v>
      </c>
      <c r="K416">
        <v>0</v>
      </c>
      <c r="L416">
        <f>IF(M416,TRUE,AND(P416:S416))</f>
        <v>0</v>
      </c>
      <c r="M416">
        <f>COUNTBLANK(metadata!B416:E416)=COLUMNS(metadata!B416:E416)</f>
        <v>0</v>
      </c>
      <c r="N416">
        <v>0</v>
      </c>
      <c r="P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Q416">
        <f>AND(IF(metadata!C416="",FALSE,TRUE),exact(metadata!C416,"other"))</f>
        <v>0</v>
      </c>
      <c r="R416">
        <f>AND(IF(metadata!D416="",FALSE,TRUE),exact(metadata!D416,"metagenome"))</f>
        <v>0</v>
      </c>
      <c r="S416">
        <f>AND(IF(metadata!E416="",FALSE,TRUE),exact(metadata!E416,"256318"))</f>
        <v>0</v>
      </c>
    </row>
    <row r="417" spans="1:19">
      <c r="A417" s="4">
        <f>IF(B417=" "," ",HYPERLINK(CONCATENATE("#metadata!",ADDRESS(INDEX($K$2:$K$1001,MATCH(ROWS($I$2:I417),$I$2:$I$1001,0),0),1)),INDEX($N$2:$N$1001,MATCH(ROWS($I$2:I417),$I$2:$I$1001,0),0)))</f>
        <v>0</v>
      </c>
      <c r="B417" s="3">
        <f>IF(OR(INDEX($J$2:$J$1001,MATCH(ROWS($I$2:I417),$I$2:$I$1001,0),1)&gt;=100000,INDEX($P$1005:$S$1005,1,MATCH(COLUMNS($P$1006:P1006),$P$1006:$S$1006,0))&gt;=100000), " ",IF(INDEX($P$2:$S$1001,MATCH(ROWS($I$2:I417),$I$2:$I$1001,0),MATCH(COLUMNS($P$1006:P1006),$P$1006:$S$1006,0)), HYPERLINK("#",""), HYPERLINK(CONCATENATE("#metadata!", ADDRESS(INDEX($K$2:$K$1001,MATCH(ROWS($I$2:I417),$I$2:$I$1001,0),0), INDEX($P$1004:$S$1004,1,MATCH(COLUMNS($P$1006:P1006),$P$1006:$S$1006,0)))),"Fix")))</f>
        <v>0</v>
      </c>
      <c r="C417" s="3">
        <f>IF(OR(INDEX($J$2:$J$1001,MATCH(ROWS($I$2:I417),$I$2:$I$1001,0),1)&gt;=100000,INDEX($P$1005:$S$1005,1,MATCH(COLUMNS($P$1006:Q1006),$P$1006:$S$1006,0))&gt;=100000), " ",IF(INDEX($P$2:$S$1001,MATCH(ROWS($I$2:I417),$I$2:$I$1001,0),MATCH(COLUMNS($P$1006:Q1006),$P$1006:$S$1006,0)), HYPERLINK("#",""), HYPERLINK(CONCATENATE("#metadata!", ADDRESS(INDEX($K$2:$K$1001,MATCH(ROWS($I$2:I417),$I$2:$I$1001,0),0), INDEX($P$1004:$S$1004,1,MATCH(COLUMNS($P$1006:Q1006),$P$1006:$S$1006,0)))),"Fix")))</f>
        <v>0</v>
      </c>
      <c r="D417" s="3">
        <f>IF(OR(INDEX($J$2:$J$1001,MATCH(ROWS($I$2:I417),$I$2:$I$1001,0),1)&gt;=100000,INDEX($P$1005:$S$1005,1,MATCH(COLUMNS($P$1006:R1006),$P$1006:$S$1006,0))&gt;=100000), " ",IF(INDEX($P$2:$S$1001,MATCH(ROWS($I$2:I417),$I$2:$I$1001,0),MATCH(COLUMNS($P$1006:R1006),$P$1006:$S$1006,0)), HYPERLINK("#",""), HYPERLINK(CONCATENATE("#metadata!", ADDRESS(INDEX($K$2:$K$1001,MATCH(ROWS($I$2:I417),$I$2:$I$1001,0),0), INDEX($P$1004:$S$1004,1,MATCH(COLUMNS($P$1006:R1006),$P$1006:$S$1006,0)))),"Fix")))</f>
        <v>0</v>
      </c>
      <c r="E417" s="3">
        <f>IF(OR(INDEX($J$2:$J$1001,MATCH(ROWS($I$2:I417),$I$2:$I$1001,0),1)&gt;=100000,INDEX($P$1005:$S$1005,1,MATCH(COLUMNS($P$1006:S1006),$P$1006:$S$1006,0))&gt;=100000), " ",IF(INDEX($P$2:$S$1001,MATCH(ROWS($I$2:I417),$I$2:$I$1001,0),MATCH(COLUMNS($P$1006:S1006),$P$1006:$S$1006,0)), HYPERLINK("#",""), HYPERLINK(CONCATENATE("#metadata!", ADDRESS(INDEX($K$2:$K$1001,MATCH(ROWS($I$2:I417),$I$2:$I$1001,0),0), INDEX($P$1004:$S$1004,1,MATCH(COLUMNS($P$1006:S1006),$P$1006:$S$1006,0)))),"Fix")))</f>
        <v>0</v>
      </c>
      <c r="I417">
        <v>0</v>
      </c>
      <c r="J417">
        <v>0</v>
      </c>
      <c r="K417">
        <v>0</v>
      </c>
      <c r="L417">
        <f>IF(M417,TRUE,AND(P417:S417))</f>
        <v>0</v>
      </c>
      <c r="M417">
        <f>COUNTBLANK(metadata!B417:E417)=COLUMNS(metadata!B417:E417)</f>
        <v>0</v>
      </c>
      <c r="N417">
        <v>0</v>
      </c>
      <c r="P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Q417">
        <f>AND(IF(metadata!C417="",FALSE,TRUE),exact(metadata!C417,"other"))</f>
        <v>0</v>
      </c>
      <c r="R417">
        <f>AND(IF(metadata!D417="",FALSE,TRUE),exact(metadata!D417,"metagenome"))</f>
        <v>0</v>
      </c>
      <c r="S417">
        <f>AND(IF(metadata!E417="",FALSE,TRUE),exact(metadata!E417,"256318"))</f>
        <v>0</v>
      </c>
    </row>
    <row r="418" spans="1:19">
      <c r="A418" s="4">
        <f>IF(B418=" "," ",HYPERLINK(CONCATENATE("#metadata!",ADDRESS(INDEX($K$2:$K$1001,MATCH(ROWS($I$2:I418),$I$2:$I$1001,0),0),1)),INDEX($N$2:$N$1001,MATCH(ROWS($I$2:I418),$I$2:$I$1001,0),0)))</f>
        <v>0</v>
      </c>
      <c r="B418" s="3">
        <f>IF(OR(INDEX($J$2:$J$1001,MATCH(ROWS($I$2:I418),$I$2:$I$1001,0),1)&gt;=100000,INDEX($P$1005:$S$1005,1,MATCH(COLUMNS($P$1006:P1006),$P$1006:$S$1006,0))&gt;=100000), " ",IF(INDEX($P$2:$S$1001,MATCH(ROWS($I$2:I418),$I$2:$I$1001,0),MATCH(COLUMNS($P$1006:P1006),$P$1006:$S$1006,0)), HYPERLINK("#",""), HYPERLINK(CONCATENATE("#metadata!", ADDRESS(INDEX($K$2:$K$1001,MATCH(ROWS($I$2:I418),$I$2:$I$1001,0),0), INDEX($P$1004:$S$1004,1,MATCH(COLUMNS($P$1006:P1006),$P$1006:$S$1006,0)))),"Fix")))</f>
        <v>0</v>
      </c>
      <c r="C418" s="3">
        <f>IF(OR(INDEX($J$2:$J$1001,MATCH(ROWS($I$2:I418),$I$2:$I$1001,0),1)&gt;=100000,INDEX($P$1005:$S$1005,1,MATCH(COLUMNS($P$1006:Q1006),$P$1006:$S$1006,0))&gt;=100000), " ",IF(INDEX($P$2:$S$1001,MATCH(ROWS($I$2:I418),$I$2:$I$1001,0),MATCH(COLUMNS($P$1006:Q1006),$P$1006:$S$1006,0)), HYPERLINK("#",""), HYPERLINK(CONCATENATE("#metadata!", ADDRESS(INDEX($K$2:$K$1001,MATCH(ROWS($I$2:I418),$I$2:$I$1001,0),0), INDEX($P$1004:$S$1004,1,MATCH(COLUMNS($P$1006:Q1006),$P$1006:$S$1006,0)))),"Fix")))</f>
        <v>0</v>
      </c>
      <c r="D418" s="3">
        <f>IF(OR(INDEX($J$2:$J$1001,MATCH(ROWS($I$2:I418),$I$2:$I$1001,0),1)&gt;=100000,INDEX($P$1005:$S$1005,1,MATCH(COLUMNS($P$1006:R1006),$P$1006:$S$1006,0))&gt;=100000), " ",IF(INDEX($P$2:$S$1001,MATCH(ROWS($I$2:I418),$I$2:$I$1001,0),MATCH(COLUMNS($P$1006:R1006),$P$1006:$S$1006,0)), HYPERLINK("#",""), HYPERLINK(CONCATENATE("#metadata!", ADDRESS(INDEX($K$2:$K$1001,MATCH(ROWS($I$2:I418),$I$2:$I$1001,0),0), INDEX($P$1004:$S$1004,1,MATCH(COLUMNS($P$1006:R1006),$P$1006:$S$1006,0)))),"Fix")))</f>
        <v>0</v>
      </c>
      <c r="E418" s="3">
        <f>IF(OR(INDEX($J$2:$J$1001,MATCH(ROWS($I$2:I418),$I$2:$I$1001,0),1)&gt;=100000,INDEX($P$1005:$S$1005,1,MATCH(COLUMNS($P$1006:S1006),$P$1006:$S$1006,0))&gt;=100000), " ",IF(INDEX($P$2:$S$1001,MATCH(ROWS($I$2:I418),$I$2:$I$1001,0),MATCH(COLUMNS($P$1006:S1006),$P$1006:$S$1006,0)), HYPERLINK("#",""), HYPERLINK(CONCATENATE("#metadata!", ADDRESS(INDEX($K$2:$K$1001,MATCH(ROWS($I$2:I418),$I$2:$I$1001,0),0), INDEX($P$1004:$S$1004,1,MATCH(COLUMNS($P$1006:S1006),$P$1006:$S$1006,0)))),"Fix")))</f>
        <v>0</v>
      </c>
      <c r="I418">
        <v>0</v>
      </c>
      <c r="J418">
        <v>0</v>
      </c>
      <c r="K418">
        <v>0</v>
      </c>
      <c r="L418">
        <f>IF(M418,TRUE,AND(P418:S418))</f>
        <v>0</v>
      </c>
      <c r="M418">
        <f>COUNTBLANK(metadata!B418:E418)=COLUMNS(metadata!B418:E418)</f>
        <v>0</v>
      </c>
      <c r="N418">
        <v>0</v>
      </c>
      <c r="P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Q418">
        <f>AND(IF(metadata!C418="",FALSE,TRUE),exact(metadata!C418,"other"))</f>
        <v>0</v>
      </c>
      <c r="R418">
        <f>AND(IF(metadata!D418="",FALSE,TRUE),exact(metadata!D418,"metagenome"))</f>
        <v>0</v>
      </c>
      <c r="S418">
        <f>AND(IF(metadata!E418="",FALSE,TRUE),exact(metadata!E418,"256318"))</f>
        <v>0</v>
      </c>
    </row>
    <row r="419" spans="1:19">
      <c r="A419" s="4">
        <f>IF(B419=" "," ",HYPERLINK(CONCATENATE("#metadata!",ADDRESS(INDEX($K$2:$K$1001,MATCH(ROWS($I$2:I419),$I$2:$I$1001,0),0),1)),INDEX($N$2:$N$1001,MATCH(ROWS($I$2:I419),$I$2:$I$1001,0),0)))</f>
        <v>0</v>
      </c>
      <c r="B419" s="3">
        <f>IF(OR(INDEX($J$2:$J$1001,MATCH(ROWS($I$2:I419),$I$2:$I$1001,0),1)&gt;=100000,INDEX($P$1005:$S$1005,1,MATCH(COLUMNS($P$1006:P1006),$P$1006:$S$1006,0))&gt;=100000), " ",IF(INDEX($P$2:$S$1001,MATCH(ROWS($I$2:I419),$I$2:$I$1001,0),MATCH(COLUMNS($P$1006:P1006),$P$1006:$S$1006,0)), HYPERLINK("#",""), HYPERLINK(CONCATENATE("#metadata!", ADDRESS(INDEX($K$2:$K$1001,MATCH(ROWS($I$2:I419),$I$2:$I$1001,0),0), INDEX($P$1004:$S$1004,1,MATCH(COLUMNS($P$1006:P1006),$P$1006:$S$1006,0)))),"Fix")))</f>
        <v>0</v>
      </c>
      <c r="C419" s="3">
        <f>IF(OR(INDEX($J$2:$J$1001,MATCH(ROWS($I$2:I419),$I$2:$I$1001,0),1)&gt;=100000,INDEX($P$1005:$S$1005,1,MATCH(COLUMNS($P$1006:Q1006),$P$1006:$S$1006,0))&gt;=100000), " ",IF(INDEX($P$2:$S$1001,MATCH(ROWS($I$2:I419),$I$2:$I$1001,0),MATCH(COLUMNS($P$1006:Q1006),$P$1006:$S$1006,0)), HYPERLINK("#",""), HYPERLINK(CONCATENATE("#metadata!", ADDRESS(INDEX($K$2:$K$1001,MATCH(ROWS($I$2:I419),$I$2:$I$1001,0),0), INDEX($P$1004:$S$1004,1,MATCH(COLUMNS($P$1006:Q1006),$P$1006:$S$1006,0)))),"Fix")))</f>
        <v>0</v>
      </c>
      <c r="D419" s="3">
        <f>IF(OR(INDEX($J$2:$J$1001,MATCH(ROWS($I$2:I419),$I$2:$I$1001,0),1)&gt;=100000,INDEX($P$1005:$S$1005,1,MATCH(COLUMNS($P$1006:R1006),$P$1006:$S$1006,0))&gt;=100000), " ",IF(INDEX($P$2:$S$1001,MATCH(ROWS($I$2:I419),$I$2:$I$1001,0),MATCH(COLUMNS($P$1006:R1006),$P$1006:$S$1006,0)), HYPERLINK("#",""), HYPERLINK(CONCATENATE("#metadata!", ADDRESS(INDEX($K$2:$K$1001,MATCH(ROWS($I$2:I419),$I$2:$I$1001,0),0), INDEX($P$1004:$S$1004,1,MATCH(COLUMNS($P$1006:R1006),$P$1006:$S$1006,0)))),"Fix")))</f>
        <v>0</v>
      </c>
      <c r="E419" s="3">
        <f>IF(OR(INDEX($J$2:$J$1001,MATCH(ROWS($I$2:I419),$I$2:$I$1001,0),1)&gt;=100000,INDEX($P$1005:$S$1005,1,MATCH(COLUMNS($P$1006:S1006),$P$1006:$S$1006,0))&gt;=100000), " ",IF(INDEX($P$2:$S$1001,MATCH(ROWS($I$2:I419),$I$2:$I$1001,0),MATCH(COLUMNS($P$1006:S1006),$P$1006:$S$1006,0)), HYPERLINK("#",""), HYPERLINK(CONCATENATE("#metadata!", ADDRESS(INDEX($K$2:$K$1001,MATCH(ROWS($I$2:I419),$I$2:$I$1001,0),0), INDEX($P$1004:$S$1004,1,MATCH(COLUMNS($P$1006:S1006),$P$1006:$S$1006,0)))),"Fix")))</f>
        <v>0</v>
      </c>
      <c r="I419">
        <v>0</v>
      </c>
      <c r="J419">
        <v>0</v>
      </c>
      <c r="K419">
        <v>0</v>
      </c>
      <c r="L419">
        <f>IF(M419,TRUE,AND(P419:S419))</f>
        <v>0</v>
      </c>
      <c r="M419">
        <f>COUNTBLANK(metadata!B419:E419)=COLUMNS(metadata!B419:E419)</f>
        <v>0</v>
      </c>
      <c r="N419">
        <v>0</v>
      </c>
      <c r="P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Q419">
        <f>AND(IF(metadata!C419="",FALSE,TRUE),exact(metadata!C419,"other"))</f>
        <v>0</v>
      </c>
      <c r="R419">
        <f>AND(IF(metadata!D419="",FALSE,TRUE),exact(metadata!D419,"metagenome"))</f>
        <v>0</v>
      </c>
      <c r="S419">
        <f>AND(IF(metadata!E419="",FALSE,TRUE),exact(metadata!E419,"256318"))</f>
        <v>0</v>
      </c>
    </row>
    <row r="420" spans="1:19">
      <c r="A420" s="4">
        <f>IF(B420=" "," ",HYPERLINK(CONCATENATE("#metadata!",ADDRESS(INDEX($K$2:$K$1001,MATCH(ROWS($I$2:I420),$I$2:$I$1001,0),0),1)),INDEX($N$2:$N$1001,MATCH(ROWS($I$2:I420),$I$2:$I$1001,0),0)))</f>
        <v>0</v>
      </c>
      <c r="B420" s="3">
        <f>IF(OR(INDEX($J$2:$J$1001,MATCH(ROWS($I$2:I420),$I$2:$I$1001,0),1)&gt;=100000,INDEX($P$1005:$S$1005,1,MATCH(COLUMNS($P$1006:P1006),$P$1006:$S$1006,0))&gt;=100000), " ",IF(INDEX($P$2:$S$1001,MATCH(ROWS($I$2:I420),$I$2:$I$1001,0),MATCH(COLUMNS($P$1006:P1006),$P$1006:$S$1006,0)), HYPERLINK("#",""), HYPERLINK(CONCATENATE("#metadata!", ADDRESS(INDEX($K$2:$K$1001,MATCH(ROWS($I$2:I420),$I$2:$I$1001,0),0), INDEX($P$1004:$S$1004,1,MATCH(COLUMNS($P$1006:P1006),$P$1006:$S$1006,0)))),"Fix")))</f>
        <v>0</v>
      </c>
      <c r="C420" s="3">
        <f>IF(OR(INDEX($J$2:$J$1001,MATCH(ROWS($I$2:I420),$I$2:$I$1001,0),1)&gt;=100000,INDEX($P$1005:$S$1005,1,MATCH(COLUMNS($P$1006:Q1006),$P$1006:$S$1006,0))&gt;=100000), " ",IF(INDEX($P$2:$S$1001,MATCH(ROWS($I$2:I420),$I$2:$I$1001,0),MATCH(COLUMNS($P$1006:Q1006),$P$1006:$S$1006,0)), HYPERLINK("#",""), HYPERLINK(CONCATENATE("#metadata!", ADDRESS(INDEX($K$2:$K$1001,MATCH(ROWS($I$2:I420),$I$2:$I$1001,0),0), INDEX($P$1004:$S$1004,1,MATCH(COLUMNS($P$1006:Q1006),$P$1006:$S$1006,0)))),"Fix")))</f>
        <v>0</v>
      </c>
      <c r="D420" s="3">
        <f>IF(OR(INDEX($J$2:$J$1001,MATCH(ROWS($I$2:I420),$I$2:$I$1001,0),1)&gt;=100000,INDEX($P$1005:$S$1005,1,MATCH(COLUMNS($P$1006:R1006),$P$1006:$S$1006,0))&gt;=100000), " ",IF(INDEX($P$2:$S$1001,MATCH(ROWS($I$2:I420),$I$2:$I$1001,0),MATCH(COLUMNS($P$1006:R1006),$P$1006:$S$1006,0)), HYPERLINK("#",""), HYPERLINK(CONCATENATE("#metadata!", ADDRESS(INDEX($K$2:$K$1001,MATCH(ROWS($I$2:I420),$I$2:$I$1001,0),0), INDEX($P$1004:$S$1004,1,MATCH(COLUMNS($P$1006:R1006),$P$1006:$S$1006,0)))),"Fix")))</f>
        <v>0</v>
      </c>
      <c r="E420" s="3">
        <f>IF(OR(INDEX($J$2:$J$1001,MATCH(ROWS($I$2:I420),$I$2:$I$1001,0),1)&gt;=100000,INDEX($P$1005:$S$1005,1,MATCH(COLUMNS($P$1006:S1006),$P$1006:$S$1006,0))&gt;=100000), " ",IF(INDEX($P$2:$S$1001,MATCH(ROWS($I$2:I420),$I$2:$I$1001,0),MATCH(COLUMNS($P$1006:S1006),$P$1006:$S$1006,0)), HYPERLINK("#",""), HYPERLINK(CONCATENATE("#metadata!", ADDRESS(INDEX($K$2:$K$1001,MATCH(ROWS($I$2:I420),$I$2:$I$1001,0),0), INDEX($P$1004:$S$1004,1,MATCH(COLUMNS($P$1006:S1006),$P$1006:$S$1006,0)))),"Fix")))</f>
        <v>0</v>
      </c>
      <c r="I420">
        <v>0</v>
      </c>
      <c r="J420">
        <v>0</v>
      </c>
      <c r="K420">
        <v>0</v>
      </c>
      <c r="L420">
        <f>IF(M420,TRUE,AND(P420:S420))</f>
        <v>0</v>
      </c>
      <c r="M420">
        <f>COUNTBLANK(metadata!B420:E420)=COLUMNS(metadata!B420:E420)</f>
        <v>0</v>
      </c>
      <c r="N420">
        <v>0</v>
      </c>
      <c r="P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Q420">
        <f>AND(IF(metadata!C420="",FALSE,TRUE),exact(metadata!C420,"other"))</f>
        <v>0</v>
      </c>
      <c r="R420">
        <f>AND(IF(metadata!D420="",FALSE,TRUE),exact(metadata!D420,"metagenome"))</f>
        <v>0</v>
      </c>
      <c r="S420">
        <f>AND(IF(metadata!E420="",FALSE,TRUE),exact(metadata!E420,"256318"))</f>
        <v>0</v>
      </c>
    </row>
    <row r="421" spans="1:19">
      <c r="A421" s="4">
        <f>IF(B421=" "," ",HYPERLINK(CONCATENATE("#metadata!",ADDRESS(INDEX($K$2:$K$1001,MATCH(ROWS($I$2:I421),$I$2:$I$1001,0),0),1)),INDEX($N$2:$N$1001,MATCH(ROWS($I$2:I421),$I$2:$I$1001,0),0)))</f>
        <v>0</v>
      </c>
      <c r="B421" s="3">
        <f>IF(OR(INDEX($J$2:$J$1001,MATCH(ROWS($I$2:I421),$I$2:$I$1001,0),1)&gt;=100000,INDEX($P$1005:$S$1005,1,MATCH(COLUMNS($P$1006:P1006),$P$1006:$S$1006,0))&gt;=100000), " ",IF(INDEX($P$2:$S$1001,MATCH(ROWS($I$2:I421),$I$2:$I$1001,0),MATCH(COLUMNS($P$1006:P1006),$P$1006:$S$1006,0)), HYPERLINK("#",""), HYPERLINK(CONCATENATE("#metadata!", ADDRESS(INDEX($K$2:$K$1001,MATCH(ROWS($I$2:I421),$I$2:$I$1001,0),0), INDEX($P$1004:$S$1004,1,MATCH(COLUMNS($P$1006:P1006),$P$1006:$S$1006,0)))),"Fix")))</f>
        <v>0</v>
      </c>
      <c r="C421" s="3">
        <f>IF(OR(INDEX($J$2:$J$1001,MATCH(ROWS($I$2:I421),$I$2:$I$1001,0),1)&gt;=100000,INDEX($P$1005:$S$1005,1,MATCH(COLUMNS($P$1006:Q1006),$P$1006:$S$1006,0))&gt;=100000), " ",IF(INDEX($P$2:$S$1001,MATCH(ROWS($I$2:I421),$I$2:$I$1001,0),MATCH(COLUMNS($P$1006:Q1006),$P$1006:$S$1006,0)), HYPERLINK("#",""), HYPERLINK(CONCATENATE("#metadata!", ADDRESS(INDEX($K$2:$K$1001,MATCH(ROWS($I$2:I421),$I$2:$I$1001,0),0), INDEX($P$1004:$S$1004,1,MATCH(COLUMNS($P$1006:Q1006),$P$1006:$S$1006,0)))),"Fix")))</f>
        <v>0</v>
      </c>
      <c r="D421" s="3">
        <f>IF(OR(INDEX($J$2:$J$1001,MATCH(ROWS($I$2:I421),$I$2:$I$1001,0),1)&gt;=100000,INDEX($P$1005:$S$1005,1,MATCH(COLUMNS($P$1006:R1006),$P$1006:$S$1006,0))&gt;=100000), " ",IF(INDEX($P$2:$S$1001,MATCH(ROWS($I$2:I421),$I$2:$I$1001,0),MATCH(COLUMNS($P$1006:R1006),$P$1006:$S$1006,0)), HYPERLINK("#",""), HYPERLINK(CONCATENATE("#metadata!", ADDRESS(INDEX($K$2:$K$1001,MATCH(ROWS($I$2:I421),$I$2:$I$1001,0),0), INDEX($P$1004:$S$1004,1,MATCH(COLUMNS($P$1006:R1006),$P$1006:$S$1006,0)))),"Fix")))</f>
        <v>0</v>
      </c>
      <c r="E421" s="3">
        <f>IF(OR(INDEX($J$2:$J$1001,MATCH(ROWS($I$2:I421),$I$2:$I$1001,0),1)&gt;=100000,INDEX($P$1005:$S$1005,1,MATCH(COLUMNS($P$1006:S1006),$P$1006:$S$1006,0))&gt;=100000), " ",IF(INDEX($P$2:$S$1001,MATCH(ROWS($I$2:I421),$I$2:$I$1001,0),MATCH(COLUMNS($P$1006:S1006),$P$1006:$S$1006,0)), HYPERLINK("#",""), HYPERLINK(CONCATENATE("#metadata!", ADDRESS(INDEX($K$2:$K$1001,MATCH(ROWS($I$2:I421),$I$2:$I$1001,0),0), INDEX($P$1004:$S$1004,1,MATCH(COLUMNS($P$1006:S1006),$P$1006:$S$1006,0)))),"Fix")))</f>
        <v>0</v>
      </c>
      <c r="I421">
        <v>0</v>
      </c>
      <c r="J421">
        <v>0</v>
      </c>
      <c r="K421">
        <v>0</v>
      </c>
      <c r="L421">
        <f>IF(M421,TRUE,AND(P421:S421))</f>
        <v>0</v>
      </c>
      <c r="M421">
        <f>COUNTBLANK(metadata!B421:E421)=COLUMNS(metadata!B421:E421)</f>
        <v>0</v>
      </c>
      <c r="N421">
        <v>0</v>
      </c>
      <c r="P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Q421">
        <f>AND(IF(metadata!C421="",FALSE,TRUE),exact(metadata!C421,"other"))</f>
        <v>0</v>
      </c>
      <c r="R421">
        <f>AND(IF(metadata!D421="",FALSE,TRUE),exact(metadata!D421,"metagenome"))</f>
        <v>0</v>
      </c>
      <c r="S421">
        <f>AND(IF(metadata!E421="",FALSE,TRUE),exact(metadata!E421,"256318"))</f>
        <v>0</v>
      </c>
    </row>
    <row r="422" spans="1:19">
      <c r="A422" s="4">
        <f>IF(B422=" "," ",HYPERLINK(CONCATENATE("#metadata!",ADDRESS(INDEX($K$2:$K$1001,MATCH(ROWS($I$2:I422),$I$2:$I$1001,0),0),1)),INDEX($N$2:$N$1001,MATCH(ROWS($I$2:I422),$I$2:$I$1001,0),0)))</f>
        <v>0</v>
      </c>
      <c r="B422" s="3">
        <f>IF(OR(INDEX($J$2:$J$1001,MATCH(ROWS($I$2:I422),$I$2:$I$1001,0),1)&gt;=100000,INDEX($P$1005:$S$1005,1,MATCH(COLUMNS($P$1006:P1006),$P$1006:$S$1006,0))&gt;=100000), " ",IF(INDEX($P$2:$S$1001,MATCH(ROWS($I$2:I422),$I$2:$I$1001,0),MATCH(COLUMNS($P$1006:P1006),$P$1006:$S$1006,0)), HYPERLINK("#",""), HYPERLINK(CONCATENATE("#metadata!", ADDRESS(INDEX($K$2:$K$1001,MATCH(ROWS($I$2:I422),$I$2:$I$1001,0),0), INDEX($P$1004:$S$1004,1,MATCH(COLUMNS($P$1006:P1006),$P$1006:$S$1006,0)))),"Fix")))</f>
        <v>0</v>
      </c>
      <c r="C422" s="3">
        <f>IF(OR(INDEX($J$2:$J$1001,MATCH(ROWS($I$2:I422),$I$2:$I$1001,0),1)&gt;=100000,INDEX($P$1005:$S$1005,1,MATCH(COLUMNS($P$1006:Q1006),$P$1006:$S$1006,0))&gt;=100000), " ",IF(INDEX($P$2:$S$1001,MATCH(ROWS($I$2:I422),$I$2:$I$1001,0),MATCH(COLUMNS($P$1006:Q1006),$P$1006:$S$1006,0)), HYPERLINK("#",""), HYPERLINK(CONCATENATE("#metadata!", ADDRESS(INDEX($K$2:$K$1001,MATCH(ROWS($I$2:I422),$I$2:$I$1001,0),0), INDEX($P$1004:$S$1004,1,MATCH(COLUMNS($P$1006:Q1006),$P$1006:$S$1006,0)))),"Fix")))</f>
        <v>0</v>
      </c>
      <c r="D422" s="3">
        <f>IF(OR(INDEX($J$2:$J$1001,MATCH(ROWS($I$2:I422),$I$2:$I$1001,0),1)&gt;=100000,INDEX($P$1005:$S$1005,1,MATCH(COLUMNS($P$1006:R1006),$P$1006:$S$1006,0))&gt;=100000), " ",IF(INDEX($P$2:$S$1001,MATCH(ROWS($I$2:I422),$I$2:$I$1001,0),MATCH(COLUMNS($P$1006:R1006),$P$1006:$S$1006,0)), HYPERLINK("#",""), HYPERLINK(CONCATENATE("#metadata!", ADDRESS(INDEX($K$2:$K$1001,MATCH(ROWS($I$2:I422),$I$2:$I$1001,0),0), INDEX($P$1004:$S$1004,1,MATCH(COLUMNS($P$1006:R1006),$P$1006:$S$1006,0)))),"Fix")))</f>
        <v>0</v>
      </c>
      <c r="E422" s="3">
        <f>IF(OR(INDEX($J$2:$J$1001,MATCH(ROWS($I$2:I422),$I$2:$I$1001,0),1)&gt;=100000,INDEX($P$1005:$S$1005,1,MATCH(COLUMNS($P$1006:S1006),$P$1006:$S$1006,0))&gt;=100000), " ",IF(INDEX($P$2:$S$1001,MATCH(ROWS($I$2:I422),$I$2:$I$1001,0),MATCH(COLUMNS($P$1006:S1006),$P$1006:$S$1006,0)), HYPERLINK("#",""), HYPERLINK(CONCATENATE("#metadata!", ADDRESS(INDEX($K$2:$K$1001,MATCH(ROWS($I$2:I422),$I$2:$I$1001,0),0), INDEX($P$1004:$S$1004,1,MATCH(COLUMNS($P$1006:S1006),$P$1006:$S$1006,0)))),"Fix")))</f>
        <v>0</v>
      </c>
      <c r="I422">
        <v>0</v>
      </c>
      <c r="J422">
        <v>0</v>
      </c>
      <c r="K422">
        <v>0</v>
      </c>
      <c r="L422">
        <f>IF(M422,TRUE,AND(P422:S422))</f>
        <v>0</v>
      </c>
      <c r="M422">
        <f>COUNTBLANK(metadata!B422:E422)=COLUMNS(metadata!B422:E422)</f>
        <v>0</v>
      </c>
      <c r="N422">
        <v>0</v>
      </c>
      <c r="P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Q422">
        <f>AND(IF(metadata!C422="",FALSE,TRUE),exact(metadata!C422,"other"))</f>
        <v>0</v>
      </c>
      <c r="R422">
        <f>AND(IF(metadata!D422="",FALSE,TRUE),exact(metadata!D422,"metagenome"))</f>
        <v>0</v>
      </c>
      <c r="S422">
        <f>AND(IF(metadata!E422="",FALSE,TRUE),exact(metadata!E422,"256318"))</f>
        <v>0</v>
      </c>
    </row>
    <row r="423" spans="1:19">
      <c r="A423" s="4">
        <f>IF(B423=" "," ",HYPERLINK(CONCATENATE("#metadata!",ADDRESS(INDEX($K$2:$K$1001,MATCH(ROWS($I$2:I423),$I$2:$I$1001,0),0),1)),INDEX($N$2:$N$1001,MATCH(ROWS($I$2:I423),$I$2:$I$1001,0),0)))</f>
        <v>0</v>
      </c>
      <c r="B423" s="3">
        <f>IF(OR(INDEX($J$2:$J$1001,MATCH(ROWS($I$2:I423),$I$2:$I$1001,0),1)&gt;=100000,INDEX($P$1005:$S$1005,1,MATCH(COLUMNS($P$1006:P1006),$P$1006:$S$1006,0))&gt;=100000), " ",IF(INDEX($P$2:$S$1001,MATCH(ROWS($I$2:I423),$I$2:$I$1001,0),MATCH(COLUMNS($P$1006:P1006),$P$1006:$S$1006,0)), HYPERLINK("#",""), HYPERLINK(CONCATENATE("#metadata!", ADDRESS(INDEX($K$2:$K$1001,MATCH(ROWS($I$2:I423),$I$2:$I$1001,0),0), INDEX($P$1004:$S$1004,1,MATCH(COLUMNS($P$1006:P1006),$P$1006:$S$1006,0)))),"Fix")))</f>
        <v>0</v>
      </c>
      <c r="C423" s="3">
        <f>IF(OR(INDEX($J$2:$J$1001,MATCH(ROWS($I$2:I423),$I$2:$I$1001,0),1)&gt;=100000,INDEX($P$1005:$S$1005,1,MATCH(COLUMNS($P$1006:Q1006),$P$1006:$S$1006,0))&gt;=100000), " ",IF(INDEX($P$2:$S$1001,MATCH(ROWS($I$2:I423),$I$2:$I$1001,0),MATCH(COLUMNS($P$1006:Q1006),$P$1006:$S$1006,0)), HYPERLINK("#",""), HYPERLINK(CONCATENATE("#metadata!", ADDRESS(INDEX($K$2:$K$1001,MATCH(ROWS($I$2:I423),$I$2:$I$1001,0),0), INDEX($P$1004:$S$1004,1,MATCH(COLUMNS($P$1006:Q1006),$P$1006:$S$1006,0)))),"Fix")))</f>
        <v>0</v>
      </c>
      <c r="D423" s="3">
        <f>IF(OR(INDEX($J$2:$J$1001,MATCH(ROWS($I$2:I423),$I$2:$I$1001,0),1)&gt;=100000,INDEX($P$1005:$S$1005,1,MATCH(COLUMNS($P$1006:R1006),$P$1006:$S$1006,0))&gt;=100000), " ",IF(INDEX($P$2:$S$1001,MATCH(ROWS($I$2:I423),$I$2:$I$1001,0),MATCH(COLUMNS($P$1006:R1006),$P$1006:$S$1006,0)), HYPERLINK("#",""), HYPERLINK(CONCATENATE("#metadata!", ADDRESS(INDEX($K$2:$K$1001,MATCH(ROWS($I$2:I423),$I$2:$I$1001,0),0), INDEX($P$1004:$S$1004,1,MATCH(COLUMNS($P$1006:R1006),$P$1006:$S$1006,0)))),"Fix")))</f>
        <v>0</v>
      </c>
      <c r="E423" s="3">
        <f>IF(OR(INDEX($J$2:$J$1001,MATCH(ROWS($I$2:I423),$I$2:$I$1001,0),1)&gt;=100000,INDEX($P$1005:$S$1005,1,MATCH(COLUMNS($P$1006:S1006),$P$1006:$S$1006,0))&gt;=100000), " ",IF(INDEX($P$2:$S$1001,MATCH(ROWS($I$2:I423),$I$2:$I$1001,0),MATCH(COLUMNS($P$1006:S1006),$P$1006:$S$1006,0)), HYPERLINK("#",""), HYPERLINK(CONCATENATE("#metadata!", ADDRESS(INDEX($K$2:$K$1001,MATCH(ROWS($I$2:I423),$I$2:$I$1001,0),0), INDEX($P$1004:$S$1004,1,MATCH(COLUMNS($P$1006:S1006),$P$1006:$S$1006,0)))),"Fix")))</f>
        <v>0</v>
      </c>
      <c r="I423">
        <v>0</v>
      </c>
      <c r="J423">
        <v>0</v>
      </c>
      <c r="K423">
        <v>0</v>
      </c>
      <c r="L423">
        <f>IF(M423,TRUE,AND(P423:S423))</f>
        <v>0</v>
      </c>
      <c r="M423">
        <f>COUNTBLANK(metadata!B423:E423)=COLUMNS(metadata!B423:E423)</f>
        <v>0</v>
      </c>
      <c r="N423">
        <v>0</v>
      </c>
      <c r="P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Q423">
        <f>AND(IF(metadata!C423="",FALSE,TRUE),exact(metadata!C423,"other"))</f>
        <v>0</v>
      </c>
      <c r="R423">
        <f>AND(IF(metadata!D423="",FALSE,TRUE),exact(metadata!D423,"metagenome"))</f>
        <v>0</v>
      </c>
      <c r="S423">
        <f>AND(IF(metadata!E423="",FALSE,TRUE),exact(metadata!E423,"256318"))</f>
        <v>0</v>
      </c>
    </row>
    <row r="424" spans="1:19">
      <c r="A424" s="4">
        <f>IF(B424=" "," ",HYPERLINK(CONCATENATE("#metadata!",ADDRESS(INDEX($K$2:$K$1001,MATCH(ROWS($I$2:I424),$I$2:$I$1001,0),0),1)),INDEX($N$2:$N$1001,MATCH(ROWS($I$2:I424),$I$2:$I$1001,0),0)))</f>
        <v>0</v>
      </c>
      <c r="B424" s="3">
        <f>IF(OR(INDEX($J$2:$J$1001,MATCH(ROWS($I$2:I424),$I$2:$I$1001,0),1)&gt;=100000,INDEX($P$1005:$S$1005,1,MATCH(COLUMNS($P$1006:P1006),$P$1006:$S$1006,0))&gt;=100000), " ",IF(INDEX($P$2:$S$1001,MATCH(ROWS($I$2:I424),$I$2:$I$1001,0),MATCH(COLUMNS($P$1006:P1006),$P$1006:$S$1006,0)), HYPERLINK("#",""), HYPERLINK(CONCATENATE("#metadata!", ADDRESS(INDEX($K$2:$K$1001,MATCH(ROWS($I$2:I424),$I$2:$I$1001,0),0), INDEX($P$1004:$S$1004,1,MATCH(COLUMNS($P$1006:P1006),$P$1006:$S$1006,0)))),"Fix")))</f>
        <v>0</v>
      </c>
      <c r="C424" s="3">
        <f>IF(OR(INDEX($J$2:$J$1001,MATCH(ROWS($I$2:I424),$I$2:$I$1001,0),1)&gt;=100000,INDEX($P$1005:$S$1005,1,MATCH(COLUMNS($P$1006:Q1006),$P$1006:$S$1006,0))&gt;=100000), " ",IF(INDEX($P$2:$S$1001,MATCH(ROWS($I$2:I424),$I$2:$I$1001,0),MATCH(COLUMNS($P$1006:Q1006),$P$1006:$S$1006,0)), HYPERLINK("#",""), HYPERLINK(CONCATENATE("#metadata!", ADDRESS(INDEX($K$2:$K$1001,MATCH(ROWS($I$2:I424),$I$2:$I$1001,0),0), INDEX($P$1004:$S$1004,1,MATCH(COLUMNS($P$1006:Q1006),$P$1006:$S$1006,0)))),"Fix")))</f>
        <v>0</v>
      </c>
      <c r="D424" s="3">
        <f>IF(OR(INDEX($J$2:$J$1001,MATCH(ROWS($I$2:I424),$I$2:$I$1001,0),1)&gt;=100000,INDEX($P$1005:$S$1005,1,MATCH(COLUMNS($P$1006:R1006),$P$1006:$S$1006,0))&gt;=100000), " ",IF(INDEX($P$2:$S$1001,MATCH(ROWS($I$2:I424),$I$2:$I$1001,0),MATCH(COLUMNS($P$1006:R1006),$P$1006:$S$1006,0)), HYPERLINK("#",""), HYPERLINK(CONCATENATE("#metadata!", ADDRESS(INDEX($K$2:$K$1001,MATCH(ROWS($I$2:I424),$I$2:$I$1001,0),0), INDEX($P$1004:$S$1004,1,MATCH(COLUMNS($P$1006:R1006),$P$1006:$S$1006,0)))),"Fix")))</f>
        <v>0</v>
      </c>
      <c r="E424" s="3">
        <f>IF(OR(INDEX($J$2:$J$1001,MATCH(ROWS($I$2:I424),$I$2:$I$1001,0),1)&gt;=100000,INDEX($P$1005:$S$1005,1,MATCH(COLUMNS($P$1006:S1006),$P$1006:$S$1006,0))&gt;=100000), " ",IF(INDEX($P$2:$S$1001,MATCH(ROWS($I$2:I424),$I$2:$I$1001,0),MATCH(COLUMNS($P$1006:S1006),$P$1006:$S$1006,0)), HYPERLINK("#",""), HYPERLINK(CONCATENATE("#metadata!", ADDRESS(INDEX($K$2:$K$1001,MATCH(ROWS($I$2:I424),$I$2:$I$1001,0),0), INDEX($P$1004:$S$1004,1,MATCH(COLUMNS($P$1006:S1006),$P$1006:$S$1006,0)))),"Fix")))</f>
        <v>0</v>
      </c>
      <c r="I424">
        <v>0</v>
      </c>
      <c r="J424">
        <v>0</v>
      </c>
      <c r="K424">
        <v>0</v>
      </c>
      <c r="L424">
        <f>IF(M424,TRUE,AND(P424:S424))</f>
        <v>0</v>
      </c>
      <c r="M424">
        <f>COUNTBLANK(metadata!B424:E424)=COLUMNS(metadata!B424:E424)</f>
        <v>0</v>
      </c>
      <c r="N424">
        <v>0</v>
      </c>
      <c r="P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Q424">
        <f>AND(IF(metadata!C424="",FALSE,TRUE),exact(metadata!C424,"other"))</f>
        <v>0</v>
      </c>
      <c r="R424">
        <f>AND(IF(metadata!D424="",FALSE,TRUE),exact(metadata!D424,"metagenome"))</f>
        <v>0</v>
      </c>
      <c r="S424">
        <f>AND(IF(metadata!E424="",FALSE,TRUE),exact(metadata!E424,"256318"))</f>
        <v>0</v>
      </c>
    </row>
    <row r="425" spans="1:19">
      <c r="A425" s="4">
        <f>IF(B425=" "," ",HYPERLINK(CONCATENATE("#metadata!",ADDRESS(INDEX($K$2:$K$1001,MATCH(ROWS($I$2:I425),$I$2:$I$1001,0),0),1)),INDEX($N$2:$N$1001,MATCH(ROWS($I$2:I425),$I$2:$I$1001,0),0)))</f>
        <v>0</v>
      </c>
      <c r="B425" s="3">
        <f>IF(OR(INDEX($J$2:$J$1001,MATCH(ROWS($I$2:I425),$I$2:$I$1001,0),1)&gt;=100000,INDEX($P$1005:$S$1005,1,MATCH(COLUMNS($P$1006:P1006),$P$1006:$S$1006,0))&gt;=100000), " ",IF(INDEX($P$2:$S$1001,MATCH(ROWS($I$2:I425),$I$2:$I$1001,0),MATCH(COLUMNS($P$1006:P1006),$P$1006:$S$1006,0)), HYPERLINK("#",""), HYPERLINK(CONCATENATE("#metadata!", ADDRESS(INDEX($K$2:$K$1001,MATCH(ROWS($I$2:I425),$I$2:$I$1001,0),0), INDEX($P$1004:$S$1004,1,MATCH(COLUMNS($P$1006:P1006),$P$1006:$S$1006,0)))),"Fix")))</f>
        <v>0</v>
      </c>
      <c r="C425" s="3">
        <f>IF(OR(INDEX($J$2:$J$1001,MATCH(ROWS($I$2:I425),$I$2:$I$1001,0),1)&gt;=100000,INDEX($P$1005:$S$1005,1,MATCH(COLUMNS($P$1006:Q1006),$P$1006:$S$1006,0))&gt;=100000), " ",IF(INDEX($P$2:$S$1001,MATCH(ROWS($I$2:I425),$I$2:$I$1001,0),MATCH(COLUMNS($P$1006:Q1006),$P$1006:$S$1006,0)), HYPERLINK("#",""), HYPERLINK(CONCATENATE("#metadata!", ADDRESS(INDEX($K$2:$K$1001,MATCH(ROWS($I$2:I425),$I$2:$I$1001,0),0), INDEX($P$1004:$S$1004,1,MATCH(COLUMNS($P$1006:Q1006),$P$1006:$S$1006,0)))),"Fix")))</f>
        <v>0</v>
      </c>
      <c r="D425" s="3">
        <f>IF(OR(INDEX($J$2:$J$1001,MATCH(ROWS($I$2:I425),$I$2:$I$1001,0),1)&gt;=100000,INDEX($P$1005:$S$1005,1,MATCH(COLUMNS($P$1006:R1006),$P$1006:$S$1006,0))&gt;=100000), " ",IF(INDEX($P$2:$S$1001,MATCH(ROWS($I$2:I425),$I$2:$I$1001,0),MATCH(COLUMNS($P$1006:R1006),$P$1006:$S$1006,0)), HYPERLINK("#",""), HYPERLINK(CONCATENATE("#metadata!", ADDRESS(INDEX($K$2:$K$1001,MATCH(ROWS($I$2:I425),$I$2:$I$1001,0),0), INDEX($P$1004:$S$1004,1,MATCH(COLUMNS($P$1006:R1006),$P$1006:$S$1006,0)))),"Fix")))</f>
        <v>0</v>
      </c>
      <c r="E425" s="3">
        <f>IF(OR(INDEX($J$2:$J$1001,MATCH(ROWS($I$2:I425),$I$2:$I$1001,0),1)&gt;=100000,INDEX($P$1005:$S$1005,1,MATCH(COLUMNS($P$1006:S1006),$P$1006:$S$1006,0))&gt;=100000), " ",IF(INDEX($P$2:$S$1001,MATCH(ROWS($I$2:I425),$I$2:$I$1001,0),MATCH(COLUMNS($P$1006:S1006),$P$1006:$S$1006,0)), HYPERLINK("#",""), HYPERLINK(CONCATENATE("#metadata!", ADDRESS(INDEX($K$2:$K$1001,MATCH(ROWS($I$2:I425),$I$2:$I$1001,0),0), INDEX($P$1004:$S$1004,1,MATCH(COLUMNS($P$1006:S1006),$P$1006:$S$1006,0)))),"Fix")))</f>
        <v>0</v>
      </c>
      <c r="I425">
        <v>0</v>
      </c>
      <c r="J425">
        <v>0</v>
      </c>
      <c r="K425">
        <v>0</v>
      </c>
      <c r="L425">
        <f>IF(M425,TRUE,AND(P425:S425))</f>
        <v>0</v>
      </c>
      <c r="M425">
        <f>COUNTBLANK(metadata!B425:E425)=COLUMNS(metadata!B425:E425)</f>
        <v>0</v>
      </c>
      <c r="N425">
        <v>0</v>
      </c>
      <c r="P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Q425">
        <f>AND(IF(metadata!C425="",FALSE,TRUE),exact(metadata!C425,"other"))</f>
        <v>0</v>
      </c>
      <c r="R425">
        <f>AND(IF(metadata!D425="",FALSE,TRUE),exact(metadata!D425,"metagenome"))</f>
        <v>0</v>
      </c>
      <c r="S425">
        <f>AND(IF(metadata!E425="",FALSE,TRUE),exact(metadata!E425,"256318"))</f>
        <v>0</v>
      </c>
    </row>
    <row r="426" spans="1:19">
      <c r="A426" s="4">
        <f>IF(B426=" "," ",HYPERLINK(CONCATENATE("#metadata!",ADDRESS(INDEX($K$2:$K$1001,MATCH(ROWS($I$2:I426),$I$2:$I$1001,0),0),1)),INDEX($N$2:$N$1001,MATCH(ROWS($I$2:I426),$I$2:$I$1001,0),0)))</f>
        <v>0</v>
      </c>
      <c r="B426" s="3">
        <f>IF(OR(INDEX($J$2:$J$1001,MATCH(ROWS($I$2:I426),$I$2:$I$1001,0),1)&gt;=100000,INDEX($P$1005:$S$1005,1,MATCH(COLUMNS($P$1006:P1006),$P$1006:$S$1006,0))&gt;=100000), " ",IF(INDEX($P$2:$S$1001,MATCH(ROWS($I$2:I426),$I$2:$I$1001,0),MATCH(COLUMNS($P$1006:P1006),$P$1006:$S$1006,0)), HYPERLINK("#",""), HYPERLINK(CONCATENATE("#metadata!", ADDRESS(INDEX($K$2:$K$1001,MATCH(ROWS($I$2:I426),$I$2:$I$1001,0),0), INDEX($P$1004:$S$1004,1,MATCH(COLUMNS($P$1006:P1006),$P$1006:$S$1006,0)))),"Fix")))</f>
        <v>0</v>
      </c>
      <c r="C426" s="3">
        <f>IF(OR(INDEX($J$2:$J$1001,MATCH(ROWS($I$2:I426),$I$2:$I$1001,0),1)&gt;=100000,INDEX($P$1005:$S$1005,1,MATCH(COLUMNS($P$1006:Q1006),$P$1006:$S$1006,0))&gt;=100000), " ",IF(INDEX($P$2:$S$1001,MATCH(ROWS($I$2:I426),$I$2:$I$1001,0),MATCH(COLUMNS($P$1006:Q1006),$P$1006:$S$1006,0)), HYPERLINK("#",""), HYPERLINK(CONCATENATE("#metadata!", ADDRESS(INDEX($K$2:$K$1001,MATCH(ROWS($I$2:I426),$I$2:$I$1001,0),0), INDEX($P$1004:$S$1004,1,MATCH(COLUMNS($P$1006:Q1006),$P$1006:$S$1006,0)))),"Fix")))</f>
        <v>0</v>
      </c>
      <c r="D426" s="3">
        <f>IF(OR(INDEX($J$2:$J$1001,MATCH(ROWS($I$2:I426),$I$2:$I$1001,0),1)&gt;=100000,INDEX($P$1005:$S$1005,1,MATCH(COLUMNS($P$1006:R1006),$P$1006:$S$1006,0))&gt;=100000), " ",IF(INDEX($P$2:$S$1001,MATCH(ROWS($I$2:I426),$I$2:$I$1001,0),MATCH(COLUMNS($P$1006:R1006),$P$1006:$S$1006,0)), HYPERLINK("#",""), HYPERLINK(CONCATENATE("#metadata!", ADDRESS(INDEX($K$2:$K$1001,MATCH(ROWS($I$2:I426),$I$2:$I$1001,0),0), INDEX($P$1004:$S$1004,1,MATCH(COLUMNS($P$1006:R1006),$P$1006:$S$1006,0)))),"Fix")))</f>
        <v>0</v>
      </c>
      <c r="E426" s="3">
        <f>IF(OR(INDEX($J$2:$J$1001,MATCH(ROWS($I$2:I426),$I$2:$I$1001,0),1)&gt;=100000,INDEX($P$1005:$S$1005,1,MATCH(COLUMNS($P$1006:S1006),$P$1006:$S$1006,0))&gt;=100000), " ",IF(INDEX($P$2:$S$1001,MATCH(ROWS($I$2:I426),$I$2:$I$1001,0),MATCH(COLUMNS($P$1006:S1006),$P$1006:$S$1006,0)), HYPERLINK("#",""), HYPERLINK(CONCATENATE("#metadata!", ADDRESS(INDEX($K$2:$K$1001,MATCH(ROWS($I$2:I426),$I$2:$I$1001,0),0), INDEX($P$1004:$S$1004,1,MATCH(COLUMNS($P$1006:S1006),$P$1006:$S$1006,0)))),"Fix")))</f>
        <v>0</v>
      </c>
      <c r="I426">
        <v>0</v>
      </c>
      <c r="J426">
        <v>0</v>
      </c>
      <c r="K426">
        <v>0</v>
      </c>
      <c r="L426">
        <f>IF(M426,TRUE,AND(P426:S426))</f>
        <v>0</v>
      </c>
      <c r="M426">
        <f>COUNTBLANK(metadata!B426:E426)=COLUMNS(metadata!B426:E426)</f>
        <v>0</v>
      </c>
      <c r="N426">
        <v>0</v>
      </c>
      <c r="P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Q426">
        <f>AND(IF(metadata!C426="",FALSE,TRUE),exact(metadata!C426,"other"))</f>
        <v>0</v>
      </c>
      <c r="R426">
        <f>AND(IF(metadata!D426="",FALSE,TRUE),exact(metadata!D426,"metagenome"))</f>
        <v>0</v>
      </c>
      <c r="S426">
        <f>AND(IF(metadata!E426="",FALSE,TRUE),exact(metadata!E426,"256318"))</f>
        <v>0</v>
      </c>
    </row>
    <row r="427" spans="1:19">
      <c r="A427" s="4">
        <f>IF(B427=" "," ",HYPERLINK(CONCATENATE("#metadata!",ADDRESS(INDEX($K$2:$K$1001,MATCH(ROWS($I$2:I427),$I$2:$I$1001,0),0),1)),INDEX($N$2:$N$1001,MATCH(ROWS($I$2:I427),$I$2:$I$1001,0),0)))</f>
        <v>0</v>
      </c>
      <c r="B427" s="3">
        <f>IF(OR(INDEX($J$2:$J$1001,MATCH(ROWS($I$2:I427),$I$2:$I$1001,0),1)&gt;=100000,INDEX($P$1005:$S$1005,1,MATCH(COLUMNS($P$1006:P1006),$P$1006:$S$1006,0))&gt;=100000), " ",IF(INDEX($P$2:$S$1001,MATCH(ROWS($I$2:I427),$I$2:$I$1001,0),MATCH(COLUMNS($P$1006:P1006),$P$1006:$S$1006,0)), HYPERLINK("#",""), HYPERLINK(CONCATENATE("#metadata!", ADDRESS(INDEX($K$2:$K$1001,MATCH(ROWS($I$2:I427),$I$2:$I$1001,0),0), INDEX($P$1004:$S$1004,1,MATCH(COLUMNS($P$1006:P1006),$P$1006:$S$1006,0)))),"Fix")))</f>
        <v>0</v>
      </c>
      <c r="C427" s="3">
        <f>IF(OR(INDEX($J$2:$J$1001,MATCH(ROWS($I$2:I427),$I$2:$I$1001,0),1)&gt;=100000,INDEX($P$1005:$S$1005,1,MATCH(COLUMNS($P$1006:Q1006),$P$1006:$S$1006,0))&gt;=100000), " ",IF(INDEX($P$2:$S$1001,MATCH(ROWS($I$2:I427),$I$2:$I$1001,0),MATCH(COLUMNS($P$1006:Q1006),$P$1006:$S$1006,0)), HYPERLINK("#",""), HYPERLINK(CONCATENATE("#metadata!", ADDRESS(INDEX($K$2:$K$1001,MATCH(ROWS($I$2:I427),$I$2:$I$1001,0),0), INDEX($P$1004:$S$1004,1,MATCH(COLUMNS($P$1006:Q1006),$P$1006:$S$1006,0)))),"Fix")))</f>
        <v>0</v>
      </c>
      <c r="D427" s="3">
        <f>IF(OR(INDEX($J$2:$J$1001,MATCH(ROWS($I$2:I427),$I$2:$I$1001,0),1)&gt;=100000,INDEX($P$1005:$S$1005,1,MATCH(COLUMNS($P$1006:R1006),$P$1006:$S$1006,0))&gt;=100000), " ",IF(INDEX($P$2:$S$1001,MATCH(ROWS($I$2:I427),$I$2:$I$1001,0),MATCH(COLUMNS($P$1006:R1006),$P$1006:$S$1006,0)), HYPERLINK("#",""), HYPERLINK(CONCATENATE("#metadata!", ADDRESS(INDEX($K$2:$K$1001,MATCH(ROWS($I$2:I427),$I$2:$I$1001,0),0), INDEX($P$1004:$S$1004,1,MATCH(COLUMNS($P$1006:R1006),$P$1006:$S$1006,0)))),"Fix")))</f>
        <v>0</v>
      </c>
      <c r="E427" s="3">
        <f>IF(OR(INDEX($J$2:$J$1001,MATCH(ROWS($I$2:I427),$I$2:$I$1001,0),1)&gt;=100000,INDEX($P$1005:$S$1005,1,MATCH(COLUMNS($P$1006:S1006),$P$1006:$S$1006,0))&gt;=100000), " ",IF(INDEX($P$2:$S$1001,MATCH(ROWS($I$2:I427),$I$2:$I$1001,0),MATCH(COLUMNS($P$1006:S1006),$P$1006:$S$1006,0)), HYPERLINK("#",""), HYPERLINK(CONCATENATE("#metadata!", ADDRESS(INDEX($K$2:$K$1001,MATCH(ROWS($I$2:I427),$I$2:$I$1001,0),0), INDEX($P$1004:$S$1004,1,MATCH(COLUMNS($P$1006:S1006),$P$1006:$S$1006,0)))),"Fix")))</f>
        <v>0</v>
      </c>
      <c r="I427">
        <v>0</v>
      </c>
      <c r="J427">
        <v>0</v>
      </c>
      <c r="K427">
        <v>0</v>
      </c>
      <c r="L427">
        <f>IF(M427,TRUE,AND(P427:S427))</f>
        <v>0</v>
      </c>
      <c r="M427">
        <f>COUNTBLANK(metadata!B427:E427)=COLUMNS(metadata!B427:E427)</f>
        <v>0</v>
      </c>
      <c r="N427">
        <v>0</v>
      </c>
      <c r="P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Q427">
        <f>AND(IF(metadata!C427="",FALSE,TRUE),exact(metadata!C427,"other"))</f>
        <v>0</v>
      </c>
      <c r="R427">
        <f>AND(IF(metadata!D427="",FALSE,TRUE),exact(metadata!D427,"metagenome"))</f>
        <v>0</v>
      </c>
      <c r="S427">
        <f>AND(IF(metadata!E427="",FALSE,TRUE),exact(metadata!E427,"256318"))</f>
        <v>0</v>
      </c>
    </row>
    <row r="428" spans="1:19">
      <c r="A428" s="4">
        <f>IF(B428=" "," ",HYPERLINK(CONCATENATE("#metadata!",ADDRESS(INDEX($K$2:$K$1001,MATCH(ROWS($I$2:I428),$I$2:$I$1001,0),0),1)),INDEX($N$2:$N$1001,MATCH(ROWS($I$2:I428),$I$2:$I$1001,0),0)))</f>
        <v>0</v>
      </c>
      <c r="B428" s="3">
        <f>IF(OR(INDEX($J$2:$J$1001,MATCH(ROWS($I$2:I428),$I$2:$I$1001,0),1)&gt;=100000,INDEX($P$1005:$S$1005,1,MATCH(COLUMNS($P$1006:P1006),$P$1006:$S$1006,0))&gt;=100000), " ",IF(INDEX($P$2:$S$1001,MATCH(ROWS($I$2:I428),$I$2:$I$1001,0),MATCH(COLUMNS($P$1006:P1006),$P$1006:$S$1006,0)), HYPERLINK("#",""), HYPERLINK(CONCATENATE("#metadata!", ADDRESS(INDEX($K$2:$K$1001,MATCH(ROWS($I$2:I428),$I$2:$I$1001,0),0), INDEX($P$1004:$S$1004,1,MATCH(COLUMNS($P$1006:P1006),$P$1006:$S$1006,0)))),"Fix")))</f>
        <v>0</v>
      </c>
      <c r="C428" s="3">
        <f>IF(OR(INDEX($J$2:$J$1001,MATCH(ROWS($I$2:I428),$I$2:$I$1001,0),1)&gt;=100000,INDEX($P$1005:$S$1005,1,MATCH(COLUMNS($P$1006:Q1006),$P$1006:$S$1006,0))&gt;=100000), " ",IF(INDEX($P$2:$S$1001,MATCH(ROWS($I$2:I428),$I$2:$I$1001,0),MATCH(COLUMNS($P$1006:Q1006),$P$1006:$S$1006,0)), HYPERLINK("#",""), HYPERLINK(CONCATENATE("#metadata!", ADDRESS(INDEX($K$2:$K$1001,MATCH(ROWS($I$2:I428),$I$2:$I$1001,0),0), INDEX($P$1004:$S$1004,1,MATCH(COLUMNS($P$1006:Q1006),$P$1006:$S$1006,0)))),"Fix")))</f>
        <v>0</v>
      </c>
      <c r="D428" s="3">
        <f>IF(OR(INDEX($J$2:$J$1001,MATCH(ROWS($I$2:I428),$I$2:$I$1001,0),1)&gt;=100000,INDEX($P$1005:$S$1005,1,MATCH(COLUMNS($P$1006:R1006),$P$1006:$S$1006,0))&gt;=100000), " ",IF(INDEX($P$2:$S$1001,MATCH(ROWS($I$2:I428),$I$2:$I$1001,0),MATCH(COLUMNS($P$1006:R1006),$P$1006:$S$1006,0)), HYPERLINK("#",""), HYPERLINK(CONCATENATE("#metadata!", ADDRESS(INDEX($K$2:$K$1001,MATCH(ROWS($I$2:I428),$I$2:$I$1001,0),0), INDEX($P$1004:$S$1004,1,MATCH(COLUMNS($P$1006:R1006),$P$1006:$S$1006,0)))),"Fix")))</f>
        <v>0</v>
      </c>
      <c r="E428" s="3">
        <f>IF(OR(INDEX($J$2:$J$1001,MATCH(ROWS($I$2:I428),$I$2:$I$1001,0),1)&gt;=100000,INDEX($P$1005:$S$1005,1,MATCH(COLUMNS($P$1006:S1006),$P$1006:$S$1006,0))&gt;=100000), " ",IF(INDEX($P$2:$S$1001,MATCH(ROWS($I$2:I428),$I$2:$I$1001,0),MATCH(COLUMNS($P$1006:S1006),$P$1006:$S$1006,0)), HYPERLINK("#",""), HYPERLINK(CONCATENATE("#metadata!", ADDRESS(INDEX($K$2:$K$1001,MATCH(ROWS($I$2:I428),$I$2:$I$1001,0),0), INDEX($P$1004:$S$1004,1,MATCH(COLUMNS($P$1006:S1006),$P$1006:$S$1006,0)))),"Fix")))</f>
        <v>0</v>
      </c>
      <c r="I428">
        <v>0</v>
      </c>
      <c r="J428">
        <v>0</v>
      </c>
      <c r="K428">
        <v>0</v>
      </c>
      <c r="L428">
        <f>IF(M428,TRUE,AND(P428:S428))</f>
        <v>0</v>
      </c>
      <c r="M428">
        <f>COUNTBLANK(metadata!B428:E428)=COLUMNS(metadata!B428:E428)</f>
        <v>0</v>
      </c>
      <c r="N428">
        <v>0</v>
      </c>
      <c r="P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Q428">
        <f>AND(IF(metadata!C428="",FALSE,TRUE),exact(metadata!C428,"other"))</f>
        <v>0</v>
      </c>
      <c r="R428">
        <f>AND(IF(metadata!D428="",FALSE,TRUE),exact(metadata!D428,"metagenome"))</f>
        <v>0</v>
      </c>
      <c r="S428">
        <f>AND(IF(metadata!E428="",FALSE,TRUE),exact(metadata!E428,"256318"))</f>
        <v>0</v>
      </c>
    </row>
    <row r="429" spans="1:19">
      <c r="A429" s="4">
        <f>IF(B429=" "," ",HYPERLINK(CONCATENATE("#metadata!",ADDRESS(INDEX($K$2:$K$1001,MATCH(ROWS($I$2:I429),$I$2:$I$1001,0),0),1)),INDEX($N$2:$N$1001,MATCH(ROWS($I$2:I429),$I$2:$I$1001,0),0)))</f>
        <v>0</v>
      </c>
      <c r="B429" s="3">
        <f>IF(OR(INDEX($J$2:$J$1001,MATCH(ROWS($I$2:I429),$I$2:$I$1001,0),1)&gt;=100000,INDEX($P$1005:$S$1005,1,MATCH(COLUMNS($P$1006:P1006),$P$1006:$S$1006,0))&gt;=100000), " ",IF(INDEX($P$2:$S$1001,MATCH(ROWS($I$2:I429),$I$2:$I$1001,0),MATCH(COLUMNS($P$1006:P1006),$P$1006:$S$1006,0)), HYPERLINK("#",""), HYPERLINK(CONCATENATE("#metadata!", ADDRESS(INDEX($K$2:$K$1001,MATCH(ROWS($I$2:I429),$I$2:$I$1001,0),0), INDEX($P$1004:$S$1004,1,MATCH(COLUMNS($P$1006:P1006),$P$1006:$S$1006,0)))),"Fix")))</f>
        <v>0</v>
      </c>
      <c r="C429" s="3">
        <f>IF(OR(INDEX($J$2:$J$1001,MATCH(ROWS($I$2:I429),$I$2:$I$1001,0),1)&gt;=100000,INDEX($P$1005:$S$1005,1,MATCH(COLUMNS($P$1006:Q1006),$P$1006:$S$1006,0))&gt;=100000), " ",IF(INDEX($P$2:$S$1001,MATCH(ROWS($I$2:I429),$I$2:$I$1001,0),MATCH(COLUMNS($P$1006:Q1006),$P$1006:$S$1006,0)), HYPERLINK("#",""), HYPERLINK(CONCATENATE("#metadata!", ADDRESS(INDEX($K$2:$K$1001,MATCH(ROWS($I$2:I429),$I$2:$I$1001,0),0), INDEX($P$1004:$S$1004,1,MATCH(COLUMNS($P$1006:Q1006),$P$1006:$S$1006,0)))),"Fix")))</f>
        <v>0</v>
      </c>
      <c r="D429" s="3">
        <f>IF(OR(INDEX($J$2:$J$1001,MATCH(ROWS($I$2:I429),$I$2:$I$1001,0),1)&gt;=100000,INDEX($P$1005:$S$1005,1,MATCH(COLUMNS($P$1006:R1006),$P$1006:$S$1006,0))&gt;=100000), " ",IF(INDEX($P$2:$S$1001,MATCH(ROWS($I$2:I429),$I$2:$I$1001,0),MATCH(COLUMNS($P$1006:R1006),$P$1006:$S$1006,0)), HYPERLINK("#",""), HYPERLINK(CONCATENATE("#metadata!", ADDRESS(INDEX($K$2:$K$1001,MATCH(ROWS($I$2:I429),$I$2:$I$1001,0),0), INDEX($P$1004:$S$1004,1,MATCH(COLUMNS($P$1006:R1006),$P$1006:$S$1006,0)))),"Fix")))</f>
        <v>0</v>
      </c>
      <c r="E429" s="3">
        <f>IF(OR(INDEX($J$2:$J$1001,MATCH(ROWS($I$2:I429),$I$2:$I$1001,0),1)&gt;=100000,INDEX($P$1005:$S$1005,1,MATCH(COLUMNS($P$1006:S1006),$P$1006:$S$1006,0))&gt;=100000), " ",IF(INDEX($P$2:$S$1001,MATCH(ROWS($I$2:I429),$I$2:$I$1001,0),MATCH(COLUMNS($P$1006:S1006),$P$1006:$S$1006,0)), HYPERLINK("#",""), HYPERLINK(CONCATENATE("#metadata!", ADDRESS(INDEX($K$2:$K$1001,MATCH(ROWS($I$2:I429),$I$2:$I$1001,0),0), INDEX($P$1004:$S$1004,1,MATCH(COLUMNS($P$1006:S1006),$P$1006:$S$1006,0)))),"Fix")))</f>
        <v>0</v>
      </c>
      <c r="I429">
        <v>0</v>
      </c>
      <c r="J429">
        <v>0</v>
      </c>
      <c r="K429">
        <v>0</v>
      </c>
      <c r="L429">
        <f>IF(M429,TRUE,AND(P429:S429))</f>
        <v>0</v>
      </c>
      <c r="M429">
        <f>COUNTBLANK(metadata!B429:E429)=COLUMNS(metadata!B429:E429)</f>
        <v>0</v>
      </c>
      <c r="N429">
        <v>0</v>
      </c>
      <c r="P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Q429">
        <f>AND(IF(metadata!C429="",FALSE,TRUE),exact(metadata!C429,"other"))</f>
        <v>0</v>
      </c>
      <c r="R429">
        <f>AND(IF(metadata!D429="",FALSE,TRUE),exact(metadata!D429,"metagenome"))</f>
        <v>0</v>
      </c>
      <c r="S429">
        <f>AND(IF(metadata!E429="",FALSE,TRUE),exact(metadata!E429,"256318"))</f>
        <v>0</v>
      </c>
    </row>
    <row r="430" spans="1:19">
      <c r="A430" s="4">
        <f>IF(B430=" "," ",HYPERLINK(CONCATENATE("#metadata!",ADDRESS(INDEX($K$2:$K$1001,MATCH(ROWS($I$2:I430),$I$2:$I$1001,0),0),1)),INDEX($N$2:$N$1001,MATCH(ROWS($I$2:I430),$I$2:$I$1001,0),0)))</f>
        <v>0</v>
      </c>
      <c r="B430" s="3">
        <f>IF(OR(INDEX($J$2:$J$1001,MATCH(ROWS($I$2:I430),$I$2:$I$1001,0),1)&gt;=100000,INDEX($P$1005:$S$1005,1,MATCH(COLUMNS($P$1006:P1006),$P$1006:$S$1006,0))&gt;=100000), " ",IF(INDEX($P$2:$S$1001,MATCH(ROWS($I$2:I430),$I$2:$I$1001,0),MATCH(COLUMNS($P$1006:P1006),$P$1006:$S$1006,0)), HYPERLINK("#",""), HYPERLINK(CONCATENATE("#metadata!", ADDRESS(INDEX($K$2:$K$1001,MATCH(ROWS($I$2:I430),$I$2:$I$1001,0),0), INDEX($P$1004:$S$1004,1,MATCH(COLUMNS($P$1006:P1006),$P$1006:$S$1006,0)))),"Fix")))</f>
        <v>0</v>
      </c>
      <c r="C430" s="3">
        <f>IF(OR(INDEX($J$2:$J$1001,MATCH(ROWS($I$2:I430),$I$2:$I$1001,0),1)&gt;=100000,INDEX($P$1005:$S$1005,1,MATCH(COLUMNS($P$1006:Q1006),$P$1006:$S$1006,0))&gt;=100000), " ",IF(INDEX($P$2:$S$1001,MATCH(ROWS($I$2:I430),$I$2:$I$1001,0),MATCH(COLUMNS($P$1006:Q1006),$P$1006:$S$1006,0)), HYPERLINK("#",""), HYPERLINK(CONCATENATE("#metadata!", ADDRESS(INDEX($K$2:$K$1001,MATCH(ROWS($I$2:I430),$I$2:$I$1001,0),0), INDEX($P$1004:$S$1004,1,MATCH(COLUMNS($P$1006:Q1006),$P$1006:$S$1006,0)))),"Fix")))</f>
        <v>0</v>
      </c>
      <c r="D430" s="3">
        <f>IF(OR(INDEX($J$2:$J$1001,MATCH(ROWS($I$2:I430),$I$2:$I$1001,0),1)&gt;=100000,INDEX($P$1005:$S$1005,1,MATCH(COLUMNS($P$1006:R1006),$P$1006:$S$1006,0))&gt;=100000), " ",IF(INDEX($P$2:$S$1001,MATCH(ROWS($I$2:I430),$I$2:$I$1001,0),MATCH(COLUMNS($P$1006:R1006),$P$1006:$S$1006,0)), HYPERLINK("#",""), HYPERLINK(CONCATENATE("#metadata!", ADDRESS(INDEX($K$2:$K$1001,MATCH(ROWS($I$2:I430),$I$2:$I$1001,0),0), INDEX($P$1004:$S$1004,1,MATCH(COLUMNS($P$1006:R1006),$P$1006:$S$1006,0)))),"Fix")))</f>
        <v>0</v>
      </c>
      <c r="E430" s="3">
        <f>IF(OR(INDEX($J$2:$J$1001,MATCH(ROWS($I$2:I430),$I$2:$I$1001,0),1)&gt;=100000,INDEX($P$1005:$S$1005,1,MATCH(COLUMNS($P$1006:S1006),$P$1006:$S$1006,0))&gt;=100000), " ",IF(INDEX($P$2:$S$1001,MATCH(ROWS($I$2:I430),$I$2:$I$1001,0),MATCH(COLUMNS($P$1006:S1006),$P$1006:$S$1006,0)), HYPERLINK("#",""), HYPERLINK(CONCATENATE("#metadata!", ADDRESS(INDEX($K$2:$K$1001,MATCH(ROWS($I$2:I430),$I$2:$I$1001,0),0), INDEX($P$1004:$S$1004,1,MATCH(COLUMNS($P$1006:S1006),$P$1006:$S$1006,0)))),"Fix")))</f>
        <v>0</v>
      </c>
      <c r="I430">
        <v>0</v>
      </c>
      <c r="J430">
        <v>0</v>
      </c>
      <c r="K430">
        <v>0</v>
      </c>
      <c r="L430">
        <f>IF(M430,TRUE,AND(P430:S430))</f>
        <v>0</v>
      </c>
      <c r="M430">
        <f>COUNTBLANK(metadata!B430:E430)=COLUMNS(metadata!B430:E430)</f>
        <v>0</v>
      </c>
      <c r="N430">
        <v>0</v>
      </c>
      <c r="P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Q430">
        <f>AND(IF(metadata!C430="",FALSE,TRUE),exact(metadata!C430,"other"))</f>
        <v>0</v>
      </c>
      <c r="R430">
        <f>AND(IF(metadata!D430="",FALSE,TRUE),exact(metadata!D430,"metagenome"))</f>
        <v>0</v>
      </c>
      <c r="S430">
        <f>AND(IF(metadata!E430="",FALSE,TRUE),exact(metadata!E430,"256318"))</f>
        <v>0</v>
      </c>
    </row>
    <row r="431" spans="1:19">
      <c r="A431" s="4">
        <f>IF(B431=" "," ",HYPERLINK(CONCATENATE("#metadata!",ADDRESS(INDEX($K$2:$K$1001,MATCH(ROWS($I$2:I431),$I$2:$I$1001,0),0),1)),INDEX($N$2:$N$1001,MATCH(ROWS($I$2:I431),$I$2:$I$1001,0),0)))</f>
        <v>0</v>
      </c>
      <c r="B431" s="3">
        <f>IF(OR(INDEX($J$2:$J$1001,MATCH(ROWS($I$2:I431),$I$2:$I$1001,0),1)&gt;=100000,INDEX($P$1005:$S$1005,1,MATCH(COLUMNS($P$1006:P1006),$P$1006:$S$1006,0))&gt;=100000), " ",IF(INDEX($P$2:$S$1001,MATCH(ROWS($I$2:I431),$I$2:$I$1001,0),MATCH(COLUMNS($P$1006:P1006),$P$1006:$S$1006,0)), HYPERLINK("#",""), HYPERLINK(CONCATENATE("#metadata!", ADDRESS(INDEX($K$2:$K$1001,MATCH(ROWS($I$2:I431),$I$2:$I$1001,0),0), INDEX($P$1004:$S$1004,1,MATCH(COLUMNS($P$1006:P1006),$P$1006:$S$1006,0)))),"Fix")))</f>
        <v>0</v>
      </c>
      <c r="C431" s="3">
        <f>IF(OR(INDEX($J$2:$J$1001,MATCH(ROWS($I$2:I431),$I$2:$I$1001,0),1)&gt;=100000,INDEX($P$1005:$S$1005,1,MATCH(COLUMNS($P$1006:Q1006),$P$1006:$S$1006,0))&gt;=100000), " ",IF(INDEX($P$2:$S$1001,MATCH(ROWS($I$2:I431),$I$2:$I$1001,0),MATCH(COLUMNS($P$1006:Q1006),$P$1006:$S$1006,0)), HYPERLINK("#",""), HYPERLINK(CONCATENATE("#metadata!", ADDRESS(INDEX($K$2:$K$1001,MATCH(ROWS($I$2:I431),$I$2:$I$1001,0),0), INDEX($P$1004:$S$1004,1,MATCH(COLUMNS($P$1006:Q1006),$P$1006:$S$1006,0)))),"Fix")))</f>
        <v>0</v>
      </c>
      <c r="D431" s="3">
        <f>IF(OR(INDEX($J$2:$J$1001,MATCH(ROWS($I$2:I431),$I$2:$I$1001,0),1)&gt;=100000,INDEX($P$1005:$S$1005,1,MATCH(COLUMNS($P$1006:R1006),$P$1006:$S$1006,0))&gt;=100000), " ",IF(INDEX($P$2:$S$1001,MATCH(ROWS($I$2:I431),$I$2:$I$1001,0),MATCH(COLUMNS($P$1006:R1006),$P$1006:$S$1006,0)), HYPERLINK("#",""), HYPERLINK(CONCATENATE("#metadata!", ADDRESS(INDEX($K$2:$K$1001,MATCH(ROWS($I$2:I431),$I$2:$I$1001,0),0), INDEX($P$1004:$S$1004,1,MATCH(COLUMNS($P$1006:R1006),$P$1006:$S$1006,0)))),"Fix")))</f>
        <v>0</v>
      </c>
      <c r="E431" s="3">
        <f>IF(OR(INDEX($J$2:$J$1001,MATCH(ROWS($I$2:I431),$I$2:$I$1001,0),1)&gt;=100000,INDEX($P$1005:$S$1005,1,MATCH(COLUMNS($P$1006:S1006),$P$1006:$S$1006,0))&gt;=100000), " ",IF(INDEX($P$2:$S$1001,MATCH(ROWS($I$2:I431),$I$2:$I$1001,0),MATCH(COLUMNS($P$1006:S1006),$P$1006:$S$1006,0)), HYPERLINK("#",""), HYPERLINK(CONCATENATE("#metadata!", ADDRESS(INDEX($K$2:$K$1001,MATCH(ROWS($I$2:I431),$I$2:$I$1001,0),0), INDEX($P$1004:$S$1004,1,MATCH(COLUMNS($P$1006:S1006),$P$1006:$S$1006,0)))),"Fix")))</f>
        <v>0</v>
      </c>
      <c r="I431">
        <v>0</v>
      </c>
      <c r="J431">
        <v>0</v>
      </c>
      <c r="K431">
        <v>0</v>
      </c>
      <c r="L431">
        <f>IF(M431,TRUE,AND(P431:S431))</f>
        <v>0</v>
      </c>
      <c r="M431">
        <f>COUNTBLANK(metadata!B431:E431)=COLUMNS(metadata!B431:E431)</f>
        <v>0</v>
      </c>
      <c r="N431">
        <v>0</v>
      </c>
      <c r="P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Q431">
        <f>AND(IF(metadata!C431="",FALSE,TRUE),exact(metadata!C431,"other"))</f>
        <v>0</v>
      </c>
      <c r="R431">
        <f>AND(IF(metadata!D431="",FALSE,TRUE),exact(metadata!D431,"metagenome"))</f>
        <v>0</v>
      </c>
      <c r="S431">
        <f>AND(IF(metadata!E431="",FALSE,TRUE),exact(metadata!E431,"256318"))</f>
        <v>0</v>
      </c>
    </row>
    <row r="432" spans="1:19">
      <c r="A432" s="4">
        <f>IF(B432=" "," ",HYPERLINK(CONCATENATE("#metadata!",ADDRESS(INDEX($K$2:$K$1001,MATCH(ROWS($I$2:I432),$I$2:$I$1001,0),0),1)),INDEX($N$2:$N$1001,MATCH(ROWS($I$2:I432),$I$2:$I$1001,0),0)))</f>
        <v>0</v>
      </c>
      <c r="B432" s="3">
        <f>IF(OR(INDEX($J$2:$J$1001,MATCH(ROWS($I$2:I432),$I$2:$I$1001,0),1)&gt;=100000,INDEX($P$1005:$S$1005,1,MATCH(COLUMNS($P$1006:P1006),$P$1006:$S$1006,0))&gt;=100000), " ",IF(INDEX($P$2:$S$1001,MATCH(ROWS($I$2:I432),$I$2:$I$1001,0),MATCH(COLUMNS($P$1006:P1006),$P$1006:$S$1006,0)), HYPERLINK("#",""), HYPERLINK(CONCATENATE("#metadata!", ADDRESS(INDEX($K$2:$K$1001,MATCH(ROWS($I$2:I432),$I$2:$I$1001,0),0), INDEX($P$1004:$S$1004,1,MATCH(COLUMNS($P$1006:P1006),$P$1006:$S$1006,0)))),"Fix")))</f>
        <v>0</v>
      </c>
      <c r="C432" s="3">
        <f>IF(OR(INDEX($J$2:$J$1001,MATCH(ROWS($I$2:I432),$I$2:$I$1001,0),1)&gt;=100000,INDEX($P$1005:$S$1005,1,MATCH(COLUMNS($P$1006:Q1006),$P$1006:$S$1006,0))&gt;=100000), " ",IF(INDEX($P$2:$S$1001,MATCH(ROWS($I$2:I432),$I$2:$I$1001,0),MATCH(COLUMNS($P$1006:Q1006),$P$1006:$S$1006,0)), HYPERLINK("#",""), HYPERLINK(CONCATENATE("#metadata!", ADDRESS(INDEX($K$2:$K$1001,MATCH(ROWS($I$2:I432),$I$2:$I$1001,0),0), INDEX($P$1004:$S$1004,1,MATCH(COLUMNS($P$1006:Q1006),$P$1006:$S$1006,0)))),"Fix")))</f>
        <v>0</v>
      </c>
      <c r="D432" s="3">
        <f>IF(OR(INDEX($J$2:$J$1001,MATCH(ROWS($I$2:I432),$I$2:$I$1001,0),1)&gt;=100000,INDEX($P$1005:$S$1005,1,MATCH(COLUMNS($P$1006:R1006),$P$1006:$S$1006,0))&gt;=100000), " ",IF(INDEX($P$2:$S$1001,MATCH(ROWS($I$2:I432),$I$2:$I$1001,0),MATCH(COLUMNS($P$1006:R1006),$P$1006:$S$1006,0)), HYPERLINK("#",""), HYPERLINK(CONCATENATE("#metadata!", ADDRESS(INDEX($K$2:$K$1001,MATCH(ROWS($I$2:I432),$I$2:$I$1001,0),0), INDEX($P$1004:$S$1004,1,MATCH(COLUMNS($P$1006:R1006),$P$1006:$S$1006,0)))),"Fix")))</f>
        <v>0</v>
      </c>
      <c r="E432" s="3">
        <f>IF(OR(INDEX($J$2:$J$1001,MATCH(ROWS($I$2:I432),$I$2:$I$1001,0),1)&gt;=100000,INDEX($P$1005:$S$1005,1,MATCH(COLUMNS($P$1006:S1006),$P$1006:$S$1006,0))&gt;=100000), " ",IF(INDEX($P$2:$S$1001,MATCH(ROWS($I$2:I432),$I$2:$I$1001,0),MATCH(COLUMNS($P$1006:S1006),$P$1006:$S$1006,0)), HYPERLINK("#",""), HYPERLINK(CONCATENATE("#metadata!", ADDRESS(INDEX($K$2:$K$1001,MATCH(ROWS($I$2:I432),$I$2:$I$1001,0),0), INDEX($P$1004:$S$1004,1,MATCH(COLUMNS($P$1006:S1006),$P$1006:$S$1006,0)))),"Fix")))</f>
        <v>0</v>
      </c>
      <c r="I432">
        <v>0</v>
      </c>
      <c r="J432">
        <v>0</v>
      </c>
      <c r="K432">
        <v>0</v>
      </c>
      <c r="L432">
        <f>IF(M432,TRUE,AND(P432:S432))</f>
        <v>0</v>
      </c>
      <c r="M432">
        <f>COUNTBLANK(metadata!B432:E432)=COLUMNS(metadata!B432:E432)</f>
        <v>0</v>
      </c>
      <c r="N432">
        <v>0</v>
      </c>
      <c r="P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Q432">
        <f>AND(IF(metadata!C432="",FALSE,TRUE),exact(metadata!C432,"other"))</f>
        <v>0</v>
      </c>
      <c r="R432">
        <f>AND(IF(metadata!D432="",FALSE,TRUE),exact(metadata!D432,"metagenome"))</f>
        <v>0</v>
      </c>
      <c r="S432">
        <f>AND(IF(metadata!E432="",FALSE,TRUE),exact(metadata!E432,"256318"))</f>
        <v>0</v>
      </c>
    </row>
    <row r="433" spans="1:19">
      <c r="A433" s="4">
        <f>IF(B433=" "," ",HYPERLINK(CONCATENATE("#metadata!",ADDRESS(INDEX($K$2:$K$1001,MATCH(ROWS($I$2:I433),$I$2:$I$1001,0),0),1)),INDEX($N$2:$N$1001,MATCH(ROWS($I$2:I433),$I$2:$I$1001,0),0)))</f>
        <v>0</v>
      </c>
      <c r="B433" s="3">
        <f>IF(OR(INDEX($J$2:$J$1001,MATCH(ROWS($I$2:I433),$I$2:$I$1001,0),1)&gt;=100000,INDEX($P$1005:$S$1005,1,MATCH(COLUMNS($P$1006:P1006),$P$1006:$S$1006,0))&gt;=100000), " ",IF(INDEX($P$2:$S$1001,MATCH(ROWS($I$2:I433),$I$2:$I$1001,0),MATCH(COLUMNS($P$1006:P1006),$P$1006:$S$1006,0)), HYPERLINK("#",""), HYPERLINK(CONCATENATE("#metadata!", ADDRESS(INDEX($K$2:$K$1001,MATCH(ROWS($I$2:I433),$I$2:$I$1001,0),0), INDEX($P$1004:$S$1004,1,MATCH(COLUMNS($P$1006:P1006),$P$1006:$S$1006,0)))),"Fix")))</f>
        <v>0</v>
      </c>
      <c r="C433" s="3">
        <f>IF(OR(INDEX($J$2:$J$1001,MATCH(ROWS($I$2:I433),$I$2:$I$1001,0),1)&gt;=100000,INDEX($P$1005:$S$1005,1,MATCH(COLUMNS($P$1006:Q1006),$P$1006:$S$1006,0))&gt;=100000), " ",IF(INDEX($P$2:$S$1001,MATCH(ROWS($I$2:I433),$I$2:$I$1001,0),MATCH(COLUMNS($P$1006:Q1006),$P$1006:$S$1006,0)), HYPERLINK("#",""), HYPERLINK(CONCATENATE("#metadata!", ADDRESS(INDEX($K$2:$K$1001,MATCH(ROWS($I$2:I433),$I$2:$I$1001,0),0), INDEX($P$1004:$S$1004,1,MATCH(COLUMNS($P$1006:Q1006),$P$1006:$S$1006,0)))),"Fix")))</f>
        <v>0</v>
      </c>
      <c r="D433" s="3">
        <f>IF(OR(INDEX($J$2:$J$1001,MATCH(ROWS($I$2:I433),$I$2:$I$1001,0),1)&gt;=100000,INDEX($P$1005:$S$1005,1,MATCH(COLUMNS($P$1006:R1006),$P$1006:$S$1006,0))&gt;=100000), " ",IF(INDEX($P$2:$S$1001,MATCH(ROWS($I$2:I433),$I$2:$I$1001,0),MATCH(COLUMNS($P$1006:R1006),$P$1006:$S$1006,0)), HYPERLINK("#",""), HYPERLINK(CONCATENATE("#metadata!", ADDRESS(INDEX($K$2:$K$1001,MATCH(ROWS($I$2:I433),$I$2:$I$1001,0),0), INDEX($P$1004:$S$1004,1,MATCH(COLUMNS($P$1006:R1006),$P$1006:$S$1006,0)))),"Fix")))</f>
        <v>0</v>
      </c>
      <c r="E433" s="3">
        <f>IF(OR(INDEX($J$2:$J$1001,MATCH(ROWS($I$2:I433),$I$2:$I$1001,0),1)&gt;=100000,INDEX($P$1005:$S$1005,1,MATCH(COLUMNS($P$1006:S1006),$P$1006:$S$1006,0))&gt;=100000), " ",IF(INDEX($P$2:$S$1001,MATCH(ROWS($I$2:I433),$I$2:$I$1001,0),MATCH(COLUMNS($P$1006:S1006),$P$1006:$S$1006,0)), HYPERLINK("#",""), HYPERLINK(CONCATENATE("#metadata!", ADDRESS(INDEX($K$2:$K$1001,MATCH(ROWS($I$2:I433),$I$2:$I$1001,0),0), INDEX($P$1004:$S$1004,1,MATCH(COLUMNS($P$1006:S1006),$P$1006:$S$1006,0)))),"Fix")))</f>
        <v>0</v>
      </c>
      <c r="I433">
        <v>0</v>
      </c>
      <c r="J433">
        <v>0</v>
      </c>
      <c r="K433">
        <v>0</v>
      </c>
      <c r="L433">
        <f>IF(M433,TRUE,AND(P433:S433))</f>
        <v>0</v>
      </c>
      <c r="M433">
        <f>COUNTBLANK(metadata!B433:E433)=COLUMNS(metadata!B433:E433)</f>
        <v>0</v>
      </c>
      <c r="N433">
        <v>0</v>
      </c>
      <c r="P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Q433">
        <f>AND(IF(metadata!C433="",FALSE,TRUE),exact(metadata!C433,"other"))</f>
        <v>0</v>
      </c>
      <c r="R433">
        <f>AND(IF(metadata!D433="",FALSE,TRUE),exact(metadata!D433,"metagenome"))</f>
        <v>0</v>
      </c>
      <c r="S433">
        <f>AND(IF(metadata!E433="",FALSE,TRUE),exact(metadata!E433,"256318"))</f>
        <v>0</v>
      </c>
    </row>
    <row r="434" spans="1:19">
      <c r="A434" s="4">
        <f>IF(B434=" "," ",HYPERLINK(CONCATENATE("#metadata!",ADDRESS(INDEX($K$2:$K$1001,MATCH(ROWS($I$2:I434),$I$2:$I$1001,0),0),1)),INDEX($N$2:$N$1001,MATCH(ROWS($I$2:I434),$I$2:$I$1001,0),0)))</f>
        <v>0</v>
      </c>
      <c r="B434" s="3">
        <f>IF(OR(INDEX($J$2:$J$1001,MATCH(ROWS($I$2:I434),$I$2:$I$1001,0),1)&gt;=100000,INDEX($P$1005:$S$1005,1,MATCH(COLUMNS($P$1006:P1006),$P$1006:$S$1006,0))&gt;=100000), " ",IF(INDEX($P$2:$S$1001,MATCH(ROWS($I$2:I434),$I$2:$I$1001,0),MATCH(COLUMNS($P$1006:P1006),$P$1006:$S$1006,0)), HYPERLINK("#",""), HYPERLINK(CONCATENATE("#metadata!", ADDRESS(INDEX($K$2:$K$1001,MATCH(ROWS($I$2:I434),$I$2:$I$1001,0),0), INDEX($P$1004:$S$1004,1,MATCH(COLUMNS($P$1006:P1006),$P$1006:$S$1006,0)))),"Fix")))</f>
        <v>0</v>
      </c>
      <c r="C434" s="3">
        <f>IF(OR(INDEX($J$2:$J$1001,MATCH(ROWS($I$2:I434),$I$2:$I$1001,0),1)&gt;=100000,INDEX($P$1005:$S$1005,1,MATCH(COLUMNS($P$1006:Q1006),$P$1006:$S$1006,0))&gt;=100000), " ",IF(INDEX($P$2:$S$1001,MATCH(ROWS($I$2:I434),$I$2:$I$1001,0),MATCH(COLUMNS($P$1006:Q1006),$P$1006:$S$1006,0)), HYPERLINK("#",""), HYPERLINK(CONCATENATE("#metadata!", ADDRESS(INDEX($K$2:$K$1001,MATCH(ROWS($I$2:I434),$I$2:$I$1001,0),0), INDEX($P$1004:$S$1004,1,MATCH(COLUMNS($P$1006:Q1006),$P$1006:$S$1006,0)))),"Fix")))</f>
        <v>0</v>
      </c>
      <c r="D434" s="3">
        <f>IF(OR(INDEX($J$2:$J$1001,MATCH(ROWS($I$2:I434),$I$2:$I$1001,0),1)&gt;=100000,INDEX($P$1005:$S$1005,1,MATCH(COLUMNS($P$1006:R1006),$P$1006:$S$1006,0))&gt;=100000), " ",IF(INDEX($P$2:$S$1001,MATCH(ROWS($I$2:I434),$I$2:$I$1001,0),MATCH(COLUMNS($P$1006:R1006),$P$1006:$S$1006,0)), HYPERLINK("#",""), HYPERLINK(CONCATENATE("#metadata!", ADDRESS(INDEX($K$2:$K$1001,MATCH(ROWS($I$2:I434),$I$2:$I$1001,0),0), INDEX($P$1004:$S$1004,1,MATCH(COLUMNS($P$1006:R1006),$P$1006:$S$1006,0)))),"Fix")))</f>
        <v>0</v>
      </c>
      <c r="E434" s="3">
        <f>IF(OR(INDEX($J$2:$J$1001,MATCH(ROWS($I$2:I434),$I$2:$I$1001,0),1)&gt;=100000,INDEX($P$1005:$S$1005,1,MATCH(COLUMNS($P$1006:S1006),$P$1006:$S$1006,0))&gt;=100000), " ",IF(INDEX($P$2:$S$1001,MATCH(ROWS($I$2:I434),$I$2:$I$1001,0),MATCH(COLUMNS($P$1006:S1006),$P$1006:$S$1006,0)), HYPERLINK("#",""), HYPERLINK(CONCATENATE("#metadata!", ADDRESS(INDEX($K$2:$K$1001,MATCH(ROWS($I$2:I434),$I$2:$I$1001,0),0), INDEX($P$1004:$S$1004,1,MATCH(COLUMNS($P$1006:S1006),$P$1006:$S$1006,0)))),"Fix")))</f>
        <v>0</v>
      </c>
      <c r="I434">
        <v>0</v>
      </c>
      <c r="J434">
        <v>0</v>
      </c>
      <c r="K434">
        <v>0</v>
      </c>
      <c r="L434">
        <f>IF(M434,TRUE,AND(P434:S434))</f>
        <v>0</v>
      </c>
      <c r="M434">
        <f>COUNTBLANK(metadata!B434:E434)=COLUMNS(metadata!B434:E434)</f>
        <v>0</v>
      </c>
      <c r="N434">
        <v>0</v>
      </c>
      <c r="P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Q434">
        <f>AND(IF(metadata!C434="",FALSE,TRUE),exact(metadata!C434,"other"))</f>
        <v>0</v>
      </c>
      <c r="R434">
        <f>AND(IF(metadata!D434="",FALSE,TRUE),exact(metadata!D434,"metagenome"))</f>
        <v>0</v>
      </c>
      <c r="S434">
        <f>AND(IF(metadata!E434="",FALSE,TRUE),exact(metadata!E434,"256318"))</f>
        <v>0</v>
      </c>
    </row>
    <row r="435" spans="1:19">
      <c r="A435" s="4">
        <f>IF(B435=" "," ",HYPERLINK(CONCATENATE("#metadata!",ADDRESS(INDEX($K$2:$K$1001,MATCH(ROWS($I$2:I435),$I$2:$I$1001,0),0),1)),INDEX($N$2:$N$1001,MATCH(ROWS($I$2:I435),$I$2:$I$1001,0),0)))</f>
        <v>0</v>
      </c>
      <c r="B435" s="3">
        <f>IF(OR(INDEX($J$2:$J$1001,MATCH(ROWS($I$2:I435),$I$2:$I$1001,0),1)&gt;=100000,INDEX($P$1005:$S$1005,1,MATCH(COLUMNS($P$1006:P1006),$P$1006:$S$1006,0))&gt;=100000), " ",IF(INDEX($P$2:$S$1001,MATCH(ROWS($I$2:I435),$I$2:$I$1001,0),MATCH(COLUMNS($P$1006:P1006),$P$1006:$S$1006,0)), HYPERLINK("#",""), HYPERLINK(CONCATENATE("#metadata!", ADDRESS(INDEX($K$2:$K$1001,MATCH(ROWS($I$2:I435),$I$2:$I$1001,0),0), INDEX($P$1004:$S$1004,1,MATCH(COLUMNS($P$1006:P1006),$P$1006:$S$1006,0)))),"Fix")))</f>
        <v>0</v>
      </c>
      <c r="C435" s="3">
        <f>IF(OR(INDEX($J$2:$J$1001,MATCH(ROWS($I$2:I435),$I$2:$I$1001,0),1)&gt;=100000,INDEX($P$1005:$S$1005,1,MATCH(COLUMNS($P$1006:Q1006),$P$1006:$S$1006,0))&gt;=100000), " ",IF(INDEX($P$2:$S$1001,MATCH(ROWS($I$2:I435),$I$2:$I$1001,0),MATCH(COLUMNS($P$1006:Q1006),$P$1006:$S$1006,0)), HYPERLINK("#",""), HYPERLINK(CONCATENATE("#metadata!", ADDRESS(INDEX($K$2:$K$1001,MATCH(ROWS($I$2:I435),$I$2:$I$1001,0),0), INDEX($P$1004:$S$1004,1,MATCH(COLUMNS($P$1006:Q1006),$P$1006:$S$1006,0)))),"Fix")))</f>
        <v>0</v>
      </c>
      <c r="D435" s="3">
        <f>IF(OR(INDEX($J$2:$J$1001,MATCH(ROWS($I$2:I435),$I$2:$I$1001,0),1)&gt;=100000,INDEX($P$1005:$S$1005,1,MATCH(COLUMNS($P$1006:R1006),$P$1006:$S$1006,0))&gt;=100000), " ",IF(INDEX($P$2:$S$1001,MATCH(ROWS($I$2:I435),$I$2:$I$1001,0),MATCH(COLUMNS($P$1006:R1006),$P$1006:$S$1006,0)), HYPERLINK("#",""), HYPERLINK(CONCATENATE("#metadata!", ADDRESS(INDEX($K$2:$K$1001,MATCH(ROWS($I$2:I435),$I$2:$I$1001,0),0), INDEX($P$1004:$S$1004,1,MATCH(COLUMNS($P$1006:R1006),$P$1006:$S$1006,0)))),"Fix")))</f>
        <v>0</v>
      </c>
      <c r="E435" s="3">
        <f>IF(OR(INDEX($J$2:$J$1001,MATCH(ROWS($I$2:I435),$I$2:$I$1001,0),1)&gt;=100000,INDEX($P$1005:$S$1005,1,MATCH(COLUMNS($P$1006:S1006),$P$1006:$S$1006,0))&gt;=100000), " ",IF(INDEX($P$2:$S$1001,MATCH(ROWS($I$2:I435),$I$2:$I$1001,0),MATCH(COLUMNS($P$1006:S1006),$P$1006:$S$1006,0)), HYPERLINK("#",""), HYPERLINK(CONCATENATE("#metadata!", ADDRESS(INDEX($K$2:$K$1001,MATCH(ROWS($I$2:I435),$I$2:$I$1001,0),0), INDEX($P$1004:$S$1004,1,MATCH(COLUMNS($P$1006:S1006),$P$1006:$S$1006,0)))),"Fix")))</f>
        <v>0</v>
      </c>
      <c r="I435">
        <v>0</v>
      </c>
      <c r="J435">
        <v>0</v>
      </c>
      <c r="K435">
        <v>0</v>
      </c>
      <c r="L435">
        <f>IF(M435,TRUE,AND(P435:S435))</f>
        <v>0</v>
      </c>
      <c r="M435">
        <f>COUNTBLANK(metadata!B435:E435)=COLUMNS(metadata!B435:E435)</f>
        <v>0</v>
      </c>
      <c r="N435">
        <v>0</v>
      </c>
      <c r="P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Q435">
        <f>AND(IF(metadata!C435="",FALSE,TRUE),exact(metadata!C435,"other"))</f>
        <v>0</v>
      </c>
      <c r="R435">
        <f>AND(IF(metadata!D435="",FALSE,TRUE),exact(metadata!D435,"metagenome"))</f>
        <v>0</v>
      </c>
      <c r="S435">
        <f>AND(IF(metadata!E435="",FALSE,TRUE),exact(metadata!E435,"256318"))</f>
        <v>0</v>
      </c>
    </row>
    <row r="436" spans="1:19">
      <c r="A436" s="4">
        <f>IF(B436=" "," ",HYPERLINK(CONCATENATE("#metadata!",ADDRESS(INDEX($K$2:$K$1001,MATCH(ROWS($I$2:I436),$I$2:$I$1001,0),0),1)),INDEX($N$2:$N$1001,MATCH(ROWS($I$2:I436),$I$2:$I$1001,0),0)))</f>
        <v>0</v>
      </c>
      <c r="B436" s="3">
        <f>IF(OR(INDEX($J$2:$J$1001,MATCH(ROWS($I$2:I436),$I$2:$I$1001,0),1)&gt;=100000,INDEX($P$1005:$S$1005,1,MATCH(COLUMNS($P$1006:P1006),$P$1006:$S$1006,0))&gt;=100000), " ",IF(INDEX($P$2:$S$1001,MATCH(ROWS($I$2:I436),$I$2:$I$1001,0),MATCH(COLUMNS($P$1006:P1006),$P$1006:$S$1006,0)), HYPERLINK("#",""), HYPERLINK(CONCATENATE("#metadata!", ADDRESS(INDEX($K$2:$K$1001,MATCH(ROWS($I$2:I436),$I$2:$I$1001,0),0), INDEX($P$1004:$S$1004,1,MATCH(COLUMNS($P$1006:P1006),$P$1006:$S$1006,0)))),"Fix")))</f>
        <v>0</v>
      </c>
      <c r="C436" s="3">
        <f>IF(OR(INDEX($J$2:$J$1001,MATCH(ROWS($I$2:I436),$I$2:$I$1001,0),1)&gt;=100000,INDEX($P$1005:$S$1005,1,MATCH(COLUMNS($P$1006:Q1006),$P$1006:$S$1006,0))&gt;=100000), " ",IF(INDEX($P$2:$S$1001,MATCH(ROWS($I$2:I436),$I$2:$I$1001,0),MATCH(COLUMNS($P$1006:Q1006),$P$1006:$S$1006,0)), HYPERLINK("#",""), HYPERLINK(CONCATENATE("#metadata!", ADDRESS(INDEX($K$2:$K$1001,MATCH(ROWS($I$2:I436),$I$2:$I$1001,0),0), INDEX($P$1004:$S$1004,1,MATCH(COLUMNS($P$1006:Q1006),$P$1006:$S$1006,0)))),"Fix")))</f>
        <v>0</v>
      </c>
      <c r="D436" s="3">
        <f>IF(OR(INDEX($J$2:$J$1001,MATCH(ROWS($I$2:I436),$I$2:$I$1001,0),1)&gt;=100000,INDEX($P$1005:$S$1005,1,MATCH(COLUMNS($P$1006:R1006),$P$1006:$S$1006,0))&gt;=100000), " ",IF(INDEX($P$2:$S$1001,MATCH(ROWS($I$2:I436),$I$2:$I$1001,0),MATCH(COLUMNS($P$1006:R1006),$P$1006:$S$1006,0)), HYPERLINK("#",""), HYPERLINK(CONCATENATE("#metadata!", ADDRESS(INDEX($K$2:$K$1001,MATCH(ROWS($I$2:I436),$I$2:$I$1001,0),0), INDEX($P$1004:$S$1004,1,MATCH(COLUMNS($P$1006:R1006),$P$1006:$S$1006,0)))),"Fix")))</f>
        <v>0</v>
      </c>
      <c r="E436" s="3">
        <f>IF(OR(INDEX($J$2:$J$1001,MATCH(ROWS($I$2:I436),$I$2:$I$1001,0),1)&gt;=100000,INDEX($P$1005:$S$1005,1,MATCH(COLUMNS($P$1006:S1006),$P$1006:$S$1006,0))&gt;=100000), " ",IF(INDEX($P$2:$S$1001,MATCH(ROWS($I$2:I436),$I$2:$I$1001,0),MATCH(COLUMNS($P$1006:S1006),$P$1006:$S$1006,0)), HYPERLINK("#",""), HYPERLINK(CONCATENATE("#metadata!", ADDRESS(INDEX($K$2:$K$1001,MATCH(ROWS($I$2:I436),$I$2:$I$1001,0),0), INDEX($P$1004:$S$1004,1,MATCH(COLUMNS($P$1006:S1006),$P$1006:$S$1006,0)))),"Fix")))</f>
        <v>0</v>
      </c>
      <c r="I436">
        <v>0</v>
      </c>
      <c r="J436">
        <v>0</v>
      </c>
      <c r="K436">
        <v>0</v>
      </c>
      <c r="L436">
        <f>IF(M436,TRUE,AND(P436:S436))</f>
        <v>0</v>
      </c>
      <c r="M436">
        <f>COUNTBLANK(metadata!B436:E436)=COLUMNS(metadata!B436:E436)</f>
        <v>0</v>
      </c>
      <c r="N436">
        <v>0</v>
      </c>
      <c r="P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Q436">
        <f>AND(IF(metadata!C436="",FALSE,TRUE),exact(metadata!C436,"other"))</f>
        <v>0</v>
      </c>
      <c r="R436">
        <f>AND(IF(metadata!D436="",FALSE,TRUE),exact(metadata!D436,"metagenome"))</f>
        <v>0</v>
      </c>
      <c r="S436">
        <f>AND(IF(metadata!E436="",FALSE,TRUE),exact(metadata!E436,"256318"))</f>
        <v>0</v>
      </c>
    </row>
    <row r="437" spans="1:19">
      <c r="A437" s="4">
        <f>IF(B437=" "," ",HYPERLINK(CONCATENATE("#metadata!",ADDRESS(INDEX($K$2:$K$1001,MATCH(ROWS($I$2:I437),$I$2:$I$1001,0),0),1)),INDEX($N$2:$N$1001,MATCH(ROWS($I$2:I437),$I$2:$I$1001,0),0)))</f>
        <v>0</v>
      </c>
      <c r="B437" s="3">
        <f>IF(OR(INDEX($J$2:$J$1001,MATCH(ROWS($I$2:I437),$I$2:$I$1001,0),1)&gt;=100000,INDEX($P$1005:$S$1005,1,MATCH(COLUMNS($P$1006:P1006),$P$1006:$S$1006,0))&gt;=100000), " ",IF(INDEX($P$2:$S$1001,MATCH(ROWS($I$2:I437),$I$2:$I$1001,0),MATCH(COLUMNS($P$1006:P1006),$P$1006:$S$1006,0)), HYPERLINK("#",""), HYPERLINK(CONCATENATE("#metadata!", ADDRESS(INDEX($K$2:$K$1001,MATCH(ROWS($I$2:I437),$I$2:$I$1001,0),0), INDEX($P$1004:$S$1004,1,MATCH(COLUMNS($P$1006:P1006),$P$1006:$S$1006,0)))),"Fix")))</f>
        <v>0</v>
      </c>
      <c r="C437" s="3">
        <f>IF(OR(INDEX($J$2:$J$1001,MATCH(ROWS($I$2:I437),$I$2:$I$1001,0),1)&gt;=100000,INDEX($P$1005:$S$1005,1,MATCH(COLUMNS($P$1006:Q1006),$P$1006:$S$1006,0))&gt;=100000), " ",IF(INDEX($P$2:$S$1001,MATCH(ROWS($I$2:I437),$I$2:$I$1001,0),MATCH(COLUMNS($P$1006:Q1006),$P$1006:$S$1006,0)), HYPERLINK("#",""), HYPERLINK(CONCATENATE("#metadata!", ADDRESS(INDEX($K$2:$K$1001,MATCH(ROWS($I$2:I437),$I$2:$I$1001,0),0), INDEX($P$1004:$S$1004,1,MATCH(COLUMNS($P$1006:Q1006),$P$1006:$S$1006,0)))),"Fix")))</f>
        <v>0</v>
      </c>
      <c r="D437" s="3">
        <f>IF(OR(INDEX($J$2:$J$1001,MATCH(ROWS($I$2:I437),$I$2:$I$1001,0),1)&gt;=100000,INDEX($P$1005:$S$1005,1,MATCH(COLUMNS($P$1006:R1006),$P$1006:$S$1006,0))&gt;=100000), " ",IF(INDEX($P$2:$S$1001,MATCH(ROWS($I$2:I437),$I$2:$I$1001,0),MATCH(COLUMNS($P$1006:R1006),$P$1006:$S$1006,0)), HYPERLINK("#",""), HYPERLINK(CONCATENATE("#metadata!", ADDRESS(INDEX($K$2:$K$1001,MATCH(ROWS($I$2:I437),$I$2:$I$1001,0),0), INDEX($P$1004:$S$1004,1,MATCH(COLUMNS($P$1006:R1006),$P$1006:$S$1006,0)))),"Fix")))</f>
        <v>0</v>
      </c>
      <c r="E437" s="3">
        <f>IF(OR(INDEX($J$2:$J$1001,MATCH(ROWS($I$2:I437),$I$2:$I$1001,0),1)&gt;=100000,INDEX($P$1005:$S$1005,1,MATCH(COLUMNS($P$1006:S1006),$P$1006:$S$1006,0))&gt;=100000), " ",IF(INDEX($P$2:$S$1001,MATCH(ROWS($I$2:I437),$I$2:$I$1001,0),MATCH(COLUMNS($P$1006:S1006),$P$1006:$S$1006,0)), HYPERLINK("#",""), HYPERLINK(CONCATENATE("#metadata!", ADDRESS(INDEX($K$2:$K$1001,MATCH(ROWS($I$2:I437),$I$2:$I$1001,0),0), INDEX($P$1004:$S$1004,1,MATCH(COLUMNS($P$1006:S1006),$P$1006:$S$1006,0)))),"Fix")))</f>
        <v>0</v>
      </c>
      <c r="I437">
        <v>0</v>
      </c>
      <c r="J437">
        <v>0</v>
      </c>
      <c r="K437">
        <v>0</v>
      </c>
      <c r="L437">
        <f>IF(M437,TRUE,AND(P437:S437))</f>
        <v>0</v>
      </c>
      <c r="M437">
        <f>COUNTBLANK(metadata!B437:E437)=COLUMNS(metadata!B437:E437)</f>
        <v>0</v>
      </c>
      <c r="N437">
        <v>0</v>
      </c>
      <c r="P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Q437">
        <f>AND(IF(metadata!C437="",FALSE,TRUE),exact(metadata!C437,"other"))</f>
        <v>0</v>
      </c>
      <c r="R437">
        <f>AND(IF(metadata!D437="",FALSE,TRUE),exact(metadata!D437,"metagenome"))</f>
        <v>0</v>
      </c>
      <c r="S437">
        <f>AND(IF(metadata!E437="",FALSE,TRUE),exact(metadata!E437,"256318"))</f>
        <v>0</v>
      </c>
    </row>
    <row r="438" spans="1:19">
      <c r="A438" s="4">
        <f>IF(B438=" "," ",HYPERLINK(CONCATENATE("#metadata!",ADDRESS(INDEX($K$2:$K$1001,MATCH(ROWS($I$2:I438),$I$2:$I$1001,0),0),1)),INDEX($N$2:$N$1001,MATCH(ROWS($I$2:I438),$I$2:$I$1001,0),0)))</f>
        <v>0</v>
      </c>
      <c r="B438" s="3">
        <f>IF(OR(INDEX($J$2:$J$1001,MATCH(ROWS($I$2:I438),$I$2:$I$1001,0),1)&gt;=100000,INDEX($P$1005:$S$1005,1,MATCH(COLUMNS($P$1006:P1006),$P$1006:$S$1006,0))&gt;=100000), " ",IF(INDEX($P$2:$S$1001,MATCH(ROWS($I$2:I438),$I$2:$I$1001,0),MATCH(COLUMNS($P$1006:P1006),$P$1006:$S$1006,0)), HYPERLINK("#",""), HYPERLINK(CONCATENATE("#metadata!", ADDRESS(INDEX($K$2:$K$1001,MATCH(ROWS($I$2:I438),$I$2:$I$1001,0),0), INDEX($P$1004:$S$1004,1,MATCH(COLUMNS($P$1006:P1006),$P$1006:$S$1006,0)))),"Fix")))</f>
        <v>0</v>
      </c>
      <c r="C438" s="3">
        <f>IF(OR(INDEX($J$2:$J$1001,MATCH(ROWS($I$2:I438),$I$2:$I$1001,0),1)&gt;=100000,INDEX($P$1005:$S$1005,1,MATCH(COLUMNS($P$1006:Q1006),$P$1006:$S$1006,0))&gt;=100000), " ",IF(INDEX($P$2:$S$1001,MATCH(ROWS($I$2:I438),$I$2:$I$1001,0),MATCH(COLUMNS($P$1006:Q1006),$P$1006:$S$1006,0)), HYPERLINK("#",""), HYPERLINK(CONCATENATE("#metadata!", ADDRESS(INDEX($K$2:$K$1001,MATCH(ROWS($I$2:I438),$I$2:$I$1001,0),0), INDEX($P$1004:$S$1004,1,MATCH(COLUMNS($P$1006:Q1006),$P$1006:$S$1006,0)))),"Fix")))</f>
        <v>0</v>
      </c>
      <c r="D438" s="3">
        <f>IF(OR(INDEX($J$2:$J$1001,MATCH(ROWS($I$2:I438),$I$2:$I$1001,0),1)&gt;=100000,INDEX($P$1005:$S$1005,1,MATCH(COLUMNS($P$1006:R1006),$P$1006:$S$1006,0))&gt;=100000), " ",IF(INDEX($P$2:$S$1001,MATCH(ROWS($I$2:I438),$I$2:$I$1001,0),MATCH(COLUMNS($P$1006:R1006),$P$1006:$S$1006,0)), HYPERLINK("#",""), HYPERLINK(CONCATENATE("#metadata!", ADDRESS(INDEX($K$2:$K$1001,MATCH(ROWS($I$2:I438),$I$2:$I$1001,0),0), INDEX($P$1004:$S$1004,1,MATCH(COLUMNS($P$1006:R1006),$P$1006:$S$1006,0)))),"Fix")))</f>
        <v>0</v>
      </c>
      <c r="E438" s="3">
        <f>IF(OR(INDEX($J$2:$J$1001,MATCH(ROWS($I$2:I438),$I$2:$I$1001,0),1)&gt;=100000,INDEX($P$1005:$S$1005,1,MATCH(COLUMNS($P$1006:S1006),$P$1006:$S$1006,0))&gt;=100000), " ",IF(INDEX($P$2:$S$1001,MATCH(ROWS($I$2:I438),$I$2:$I$1001,0),MATCH(COLUMNS($P$1006:S1006),$P$1006:$S$1006,0)), HYPERLINK("#",""), HYPERLINK(CONCATENATE("#metadata!", ADDRESS(INDEX($K$2:$K$1001,MATCH(ROWS($I$2:I438),$I$2:$I$1001,0),0), INDEX($P$1004:$S$1004,1,MATCH(COLUMNS($P$1006:S1006),$P$1006:$S$1006,0)))),"Fix")))</f>
        <v>0</v>
      </c>
      <c r="I438">
        <v>0</v>
      </c>
      <c r="J438">
        <v>0</v>
      </c>
      <c r="K438">
        <v>0</v>
      </c>
      <c r="L438">
        <f>IF(M438,TRUE,AND(P438:S438))</f>
        <v>0</v>
      </c>
      <c r="M438">
        <f>COUNTBLANK(metadata!B438:E438)=COLUMNS(metadata!B438:E438)</f>
        <v>0</v>
      </c>
      <c r="N438">
        <v>0</v>
      </c>
      <c r="P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Q438">
        <f>AND(IF(metadata!C438="",FALSE,TRUE),exact(metadata!C438,"other"))</f>
        <v>0</v>
      </c>
      <c r="R438">
        <f>AND(IF(metadata!D438="",FALSE,TRUE),exact(metadata!D438,"metagenome"))</f>
        <v>0</v>
      </c>
      <c r="S438">
        <f>AND(IF(metadata!E438="",FALSE,TRUE),exact(metadata!E438,"256318"))</f>
        <v>0</v>
      </c>
    </row>
    <row r="439" spans="1:19">
      <c r="A439" s="4">
        <f>IF(B439=" "," ",HYPERLINK(CONCATENATE("#metadata!",ADDRESS(INDEX($K$2:$K$1001,MATCH(ROWS($I$2:I439),$I$2:$I$1001,0),0),1)),INDEX($N$2:$N$1001,MATCH(ROWS($I$2:I439),$I$2:$I$1001,0),0)))</f>
        <v>0</v>
      </c>
      <c r="B439" s="3">
        <f>IF(OR(INDEX($J$2:$J$1001,MATCH(ROWS($I$2:I439),$I$2:$I$1001,0),1)&gt;=100000,INDEX($P$1005:$S$1005,1,MATCH(COLUMNS($P$1006:P1006),$P$1006:$S$1006,0))&gt;=100000), " ",IF(INDEX($P$2:$S$1001,MATCH(ROWS($I$2:I439),$I$2:$I$1001,0),MATCH(COLUMNS($P$1006:P1006),$P$1006:$S$1006,0)), HYPERLINK("#",""), HYPERLINK(CONCATENATE("#metadata!", ADDRESS(INDEX($K$2:$K$1001,MATCH(ROWS($I$2:I439),$I$2:$I$1001,0),0), INDEX($P$1004:$S$1004,1,MATCH(COLUMNS($P$1006:P1006),$P$1006:$S$1006,0)))),"Fix")))</f>
        <v>0</v>
      </c>
      <c r="C439" s="3">
        <f>IF(OR(INDEX($J$2:$J$1001,MATCH(ROWS($I$2:I439),$I$2:$I$1001,0),1)&gt;=100000,INDEX($P$1005:$S$1005,1,MATCH(COLUMNS($P$1006:Q1006),$P$1006:$S$1006,0))&gt;=100000), " ",IF(INDEX($P$2:$S$1001,MATCH(ROWS($I$2:I439),$I$2:$I$1001,0),MATCH(COLUMNS($P$1006:Q1006),$P$1006:$S$1006,0)), HYPERLINK("#",""), HYPERLINK(CONCATENATE("#metadata!", ADDRESS(INDEX($K$2:$K$1001,MATCH(ROWS($I$2:I439),$I$2:$I$1001,0),0), INDEX($P$1004:$S$1004,1,MATCH(COLUMNS($P$1006:Q1006),$P$1006:$S$1006,0)))),"Fix")))</f>
        <v>0</v>
      </c>
      <c r="D439" s="3">
        <f>IF(OR(INDEX($J$2:$J$1001,MATCH(ROWS($I$2:I439),$I$2:$I$1001,0),1)&gt;=100000,INDEX($P$1005:$S$1005,1,MATCH(COLUMNS($P$1006:R1006),$P$1006:$S$1006,0))&gt;=100000), " ",IF(INDEX($P$2:$S$1001,MATCH(ROWS($I$2:I439),$I$2:$I$1001,0),MATCH(COLUMNS($P$1006:R1006),$P$1006:$S$1006,0)), HYPERLINK("#",""), HYPERLINK(CONCATENATE("#metadata!", ADDRESS(INDEX($K$2:$K$1001,MATCH(ROWS($I$2:I439),$I$2:$I$1001,0),0), INDEX($P$1004:$S$1004,1,MATCH(COLUMNS($P$1006:R1006),$P$1006:$S$1006,0)))),"Fix")))</f>
        <v>0</v>
      </c>
      <c r="E439" s="3">
        <f>IF(OR(INDEX($J$2:$J$1001,MATCH(ROWS($I$2:I439),$I$2:$I$1001,0),1)&gt;=100000,INDEX($P$1005:$S$1005,1,MATCH(COLUMNS($P$1006:S1006),$P$1006:$S$1006,0))&gt;=100000), " ",IF(INDEX($P$2:$S$1001,MATCH(ROWS($I$2:I439),$I$2:$I$1001,0),MATCH(COLUMNS($P$1006:S1006),$P$1006:$S$1006,0)), HYPERLINK("#",""), HYPERLINK(CONCATENATE("#metadata!", ADDRESS(INDEX($K$2:$K$1001,MATCH(ROWS($I$2:I439),$I$2:$I$1001,0),0), INDEX($P$1004:$S$1004,1,MATCH(COLUMNS($P$1006:S1006),$P$1006:$S$1006,0)))),"Fix")))</f>
        <v>0</v>
      </c>
      <c r="I439">
        <v>0</v>
      </c>
      <c r="J439">
        <v>0</v>
      </c>
      <c r="K439">
        <v>0</v>
      </c>
      <c r="L439">
        <f>IF(M439,TRUE,AND(P439:S439))</f>
        <v>0</v>
      </c>
      <c r="M439">
        <f>COUNTBLANK(metadata!B439:E439)=COLUMNS(metadata!B439:E439)</f>
        <v>0</v>
      </c>
      <c r="N439">
        <v>0</v>
      </c>
      <c r="P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Q439">
        <f>AND(IF(metadata!C439="",FALSE,TRUE),exact(metadata!C439,"other"))</f>
        <v>0</v>
      </c>
      <c r="R439">
        <f>AND(IF(metadata!D439="",FALSE,TRUE),exact(metadata!D439,"metagenome"))</f>
        <v>0</v>
      </c>
      <c r="S439">
        <f>AND(IF(metadata!E439="",FALSE,TRUE),exact(metadata!E439,"256318"))</f>
        <v>0</v>
      </c>
    </row>
    <row r="440" spans="1:19">
      <c r="A440" s="4">
        <f>IF(B440=" "," ",HYPERLINK(CONCATENATE("#metadata!",ADDRESS(INDEX($K$2:$K$1001,MATCH(ROWS($I$2:I440),$I$2:$I$1001,0),0),1)),INDEX($N$2:$N$1001,MATCH(ROWS($I$2:I440),$I$2:$I$1001,0),0)))</f>
        <v>0</v>
      </c>
      <c r="B440" s="3">
        <f>IF(OR(INDEX($J$2:$J$1001,MATCH(ROWS($I$2:I440),$I$2:$I$1001,0),1)&gt;=100000,INDEX($P$1005:$S$1005,1,MATCH(COLUMNS($P$1006:P1006),$P$1006:$S$1006,0))&gt;=100000), " ",IF(INDEX($P$2:$S$1001,MATCH(ROWS($I$2:I440),$I$2:$I$1001,0),MATCH(COLUMNS($P$1006:P1006),$P$1006:$S$1006,0)), HYPERLINK("#",""), HYPERLINK(CONCATENATE("#metadata!", ADDRESS(INDEX($K$2:$K$1001,MATCH(ROWS($I$2:I440),$I$2:$I$1001,0),0), INDEX($P$1004:$S$1004,1,MATCH(COLUMNS($P$1006:P1006),$P$1006:$S$1006,0)))),"Fix")))</f>
        <v>0</v>
      </c>
      <c r="C440" s="3">
        <f>IF(OR(INDEX($J$2:$J$1001,MATCH(ROWS($I$2:I440),$I$2:$I$1001,0),1)&gt;=100000,INDEX($P$1005:$S$1005,1,MATCH(COLUMNS($P$1006:Q1006),$P$1006:$S$1006,0))&gt;=100000), " ",IF(INDEX($P$2:$S$1001,MATCH(ROWS($I$2:I440),$I$2:$I$1001,0),MATCH(COLUMNS($P$1006:Q1006),$P$1006:$S$1006,0)), HYPERLINK("#",""), HYPERLINK(CONCATENATE("#metadata!", ADDRESS(INDEX($K$2:$K$1001,MATCH(ROWS($I$2:I440),$I$2:$I$1001,0),0), INDEX($P$1004:$S$1004,1,MATCH(COLUMNS($P$1006:Q1006),$P$1006:$S$1006,0)))),"Fix")))</f>
        <v>0</v>
      </c>
      <c r="D440" s="3">
        <f>IF(OR(INDEX($J$2:$J$1001,MATCH(ROWS($I$2:I440),$I$2:$I$1001,0),1)&gt;=100000,INDEX($P$1005:$S$1005,1,MATCH(COLUMNS($P$1006:R1006),$P$1006:$S$1006,0))&gt;=100000), " ",IF(INDEX($P$2:$S$1001,MATCH(ROWS($I$2:I440),$I$2:$I$1001,0),MATCH(COLUMNS($P$1006:R1006),$P$1006:$S$1006,0)), HYPERLINK("#",""), HYPERLINK(CONCATENATE("#metadata!", ADDRESS(INDEX($K$2:$K$1001,MATCH(ROWS($I$2:I440),$I$2:$I$1001,0),0), INDEX($P$1004:$S$1004,1,MATCH(COLUMNS($P$1006:R1006),$P$1006:$S$1006,0)))),"Fix")))</f>
        <v>0</v>
      </c>
      <c r="E440" s="3">
        <f>IF(OR(INDEX($J$2:$J$1001,MATCH(ROWS($I$2:I440),$I$2:$I$1001,0),1)&gt;=100000,INDEX($P$1005:$S$1005,1,MATCH(COLUMNS($P$1006:S1006),$P$1006:$S$1006,0))&gt;=100000), " ",IF(INDEX($P$2:$S$1001,MATCH(ROWS($I$2:I440),$I$2:$I$1001,0),MATCH(COLUMNS($P$1006:S1006),$P$1006:$S$1006,0)), HYPERLINK("#",""), HYPERLINK(CONCATENATE("#metadata!", ADDRESS(INDEX($K$2:$K$1001,MATCH(ROWS($I$2:I440),$I$2:$I$1001,0),0), INDEX($P$1004:$S$1004,1,MATCH(COLUMNS($P$1006:S1006),$P$1006:$S$1006,0)))),"Fix")))</f>
        <v>0</v>
      </c>
      <c r="I440">
        <v>0</v>
      </c>
      <c r="J440">
        <v>0</v>
      </c>
      <c r="K440">
        <v>0</v>
      </c>
      <c r="L440">
        <f>IF(M440,TRUE,AND(P440:S440))</f>
        <v>0</v>
      </c>
      <c r="M440">
        <f>COUNTBLANK(metadata!B440:E440)=COLUMNS(metadata!B440:E440)</f>
        <v>0</v>
      </c>
      <c r="N440">
        <v>0</v>
      </c>
      <c r="P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Q440">
        <f>AND(IF(metadata!C440="",FALSE,TRUE),exact(metadata!C440,"other"))</f>
        <v>0</v>
      </c>
      <c r="R440">
        <f>AND(IF(metadata!D440="",FALSE,TRUE),exact(metadata!D440,"metagenome"))</f>
        <v>0</v>
      </c>
      <c r="S440">
        <f>AND(IF(metadata!E440="",FALSE,TRUE),exact(metadata!E440,"256318"))</f>
        <v>0</v>
      </c>
    </row>
    <row r="441" spans="1:19">
      <c r="A441" s="4">
        <f>IF(B441=" "," ",HYPERLINK(CONCATENATE("#metadata!",ADDRESS(INDEX($K$2:$K$1001,MATCH(ROWS($I$2:I441),$I$2:$I$1001,0),0),1)),INDEX($N$2:$N$1001,MATCH(ROWS($I$2:I441),$I$2:$I$1001,0),0)))</f>
        <v>0</v>
      </c>
      <c r="B441" s="3">
        <f>IF(OR(INDEX($J$2:$J$1001,MATCH(ROWS($I$2:I441),$I$2:$I$1001,0),1)&gt;=100000,INDEX($P$1005:$S$1005,1,MATCH(COLUMNS($P$1006:P1006),$P$1006:$S$1006,0))&gt;=100000), " ",IF(INDEX($P$2:$S$1001,MATCH(ROWS($I$2:I441),$I$2:$I$1001,0),MATCH(COLUMNS($P$1006:P1006),$P$1006:$S$1006,0)), HYPERLINK("#",""), HYPERLINK(CONCATENATE("#metadata!", ADDRESS(INDEX($K$2:$K$1001,MATCH(ROWS($I$2:I441),$I$2:$I$1001,0),0), INDEX($P$1004:$S$1004,1,MATCH(COLUMNS($P$1006:P1006),$P$1006:$S$1006,0)))),"Fix")))</f>
        <v>0</v>
      </c>
      <c r="C441" s="3">
        <f>IF(OR(INDEX($J$2:$J$1001,MATCH(ROWS($I$2:I441),$I$2:$I$1001,0),1)&gt;=100000,INDEX($P$1005:$S$1005,1,MATCH(COLUMNS($P$1006:Q1006),$P$1006:$S$1006,0))&gt;=100000), " ",IF(INDEX($P$2:$S$1001,MATCH(ROWS($I$2:I441),$I$2:$I$1001,0),MATCH(COLUMNS($P$1006:Q1006),$P$1006:$S$1006,0)), HYPERLINK("#",""), HYPERLINK(CONCATENATE("#metadata!", ADDRESS(INDEX($K$2:$K$1001,MATCH(ROWS($I$2:I441),$I$2:$I$1001,0),0), INDEX($P$1004:$S$1004,1,MATCH(COLUMNS($P$1006:Q1006),$P$1006:$S$1006,0)))),"Fix")))</f>
        <v>0</v>
      </c>
      <c r="D441" s="3">
        <f>IF(OR(INDEX($J$2:$J$1001,MATCH(ROWS($I$2:I441),$I$2:$I$1001,0),1)&gt;=100000,INDEX($P$1005:$S$1005,1,MATCH(COLUMNS($P$1006:R1006),$P$1006:$S$1006,0))&gt;=100000), " ",IF(INDEX($P$2:$S$1001,MATCH(ROWS($I$2:I441),$I$2:$I$1001,0),MATCH(COLUMNS($P$1006:R1006),$P$1006:$S$1006,0)), HYPERLINK("#",""), HYPERLINK(CONCATENATE("#metadata!", ADDRESS(INDEX($K$2:$K$1001,MATCH(ROWS($I$2:I441),$I$2:$I$1001,0),0), INDEX($P$1004:$S$1004,1,MATCH(COLUMNS($P$1006:R1006),$P$1006:$S$1006,0)))),"Fix")))</f>
        <v>0</v>
      </c>
      <c r="E441" s="3">
        <f>IF(OR(INDEX($J$2:$J$1001,MATCH(ROWS($I$2:I441),$I$2:$I$1001,0),1)&gt;=100000,INDEX($P$1005:$S$1005,1,MATCH(COLUMNS($P$1006:S1006),$P$1006:$S$1006,0))&gt;=100000), " ",IF(INDEX($P$2:$S$1001,MATCH(ROWS($I$2:I441),$I$2:$I$1001,0),MATCH(COLUMNS($P$1006:S1006),$P$1006:$S$1006,0)), HYPERLINK("#",""), HYPERLINK(CONCATENATE("#metadata!", ADDRESS(INDEX($K$2:$K$1001,MATCH(ROWS($I$2:I441),$I$2:$I$1001,0),0), INDEX($P$1004:$S$1004,1,MATCH(COLUMNS($P$1006:S1006),$P$1006:$S$1006,0)))),"Fix")))</f>
        <v>0</v>
      </c>
      <c r="I441">
        <v>0</v>
      </c>
      <c r="J441">
        <v>0</v>
      </c>
      <c r="K441">
        <v>0</v>
      </c>
      <c r="L441">
        <f>IF(M441,TRUE,AND(P441:S441))</f>
        <v>0</v>
      </c>
      <c r="M441">
        <f>COUNTBLANK(metadata!B441:E441)=COLUMNS(metadata!B441:E441)</f>
        <v>0</v>
      </c>
      <c r="N441">
        <v>0</v>
      </c>
      <c r="P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Q441">
        <f>AND(IF(metadata!C441="",FALSE,TRUE),exact(metadata!C441,"other"))</f>
        <v>0</v>
      </c>
      <c r="R441">
        <f>AND(IF(metadata!D441="",FALSE,TRUE),exact(metadata!D441,"metagenome"))</f>
        <v>0</v>
      </c>
      <c r="S441">
        <f>AND(IF(metadata!E441="",FALSE,TRUE),exact(metadata!E441,"256318"))</f>
        <v>0</v>
      </c>
    </row>
    <row r="442" spans="1:19">
      <c r="A442" s="4">
        <f>IF(B442=" "," ",HYPERLINK(CONCATENATE("#metadata!",ADDRESS(INDEX($K$2:$K$1001,MATCH(ROWS($I$2:I442),$I$2:$I$1001,0),0),1)),INDEX($N$2:$N$1001,MATCH(ROWS($I$2:I442),$I$2:$I$1001,0),0)))</f>
        <v>0</v>
      </c>
      <c r="B442" s="3">
        <f>IF(OR(INDEX($J$2:$J$1001,MATCH(ROWS($I$2:I442),$I$2:$I$1001,0),1)&gt;=100000,INDEX($P$1005:$S$1005,1,MATCH(COLUMNS($P$1006:P1006),$P$1006:$S$1006,0))&gt;=100000), " ",IF(INDEX($P$2:$S$1001,MATCH(ROWS($I$2:I442),$I$2:$I$1001,0),MATCH(COLUMNS($P$1006:P1006),$P$1006:$S$1006,0)), HYPERLINK("#",""), HYPERLINK(CONCATENATE("#metadata!", ADDRESS(INDEX($K$2:$K$1001,MATCH(ROWS($I$2:I442),$I$2:$I$1001,0),0), INDEX($P$1004:$S$1004,1,MATCH(COLUMNS($P$1006:P1006),$P$1006:$S$1006,0)))),"Fix")))</f>
        <v>0</v>
      </c>
      <c r="C442" s="3">
        <f>IF(OR(INDEX($J$2:$J$1001,MATCH(ROWS($I$2:I442),$I$2:$I$1001,0),1)&gt;=100000,INDEX($P$1005:$S$1005,1,MATCH(COLUMNS($P$1006:Q1006),$P$1006:$S$1006,0))&gt;=100000), " ",IF(INDEX($P$2:$S$1001,MATCH(ROWS($I$2:I442),$I$2:$I$1001,0),MATCH(COLUMNS($P$1006:Q1006),$P$1006:$S$1006,0)), HYPERLINK("#",""), HYPERLINK(CONCATENATE("#metadata!", ADDRESS(INDEX($K$2:$K$1001,MATCH(ROWS($I$2:I442),$I$2:$I$1001,0),0), INDEX($P$1004:$S$1004,1,MATCH(COLUMNS($P$1006:Q1006),$P$1006:$S$1006,0)))),"Fix")))</f>
        <v>0</v>
      </c>
      <c r="D442" s="3">
        <f>IF(OR(INDEX($J$2:$J$1001,MATCH(ROWS($I$2:I442),$I$2:$I$1001,0),1)&gt;=100000,INDEX($P$1005:$S$1005,1,MATCH(COLUMNS($P$1006:R1006),$P$1006:$S$1006,0))&gt;=100000), " ",IF(INDEX($P$2:$S$1001,MATCH(ROWS($I$2:I442),$I$2:$I$1001,0),MATCH(COLUMNS($P$1006:R1006),$P$1006:$S$1006,0)), HYPERLINK("#",""), HYPERLINK(CONCATENATE("#metadata!", ADDRESS(INDEX($K$2:$K$1001,MATCH(ROWS($I$2:I442),$I$2:$I$1001,0),0), INDEX($P$1004:$S$1004,1,MATCH(COLUMNS($P$1006:R1006),$P$1006:$S$1006,0)))),"Fix")))</f>
        <v>0</v>
      </c>
      <c r="E442" s="3">
        <f>IF(OR(INDEX($J$2:$J$1001,MATCH(ROWS($I$2:I442),$I$2:$I$1001,0),1)&gt;=100000,INDEX($P$1005:$S$1005,1,MATCH(COLUMNS($P$1006:S1006),$P$1006:$S$1006,0))&gt;=100000), " ",IF(INDEX($P$2:$S$1001,MATCH(ROWS($I$2:I442),$I$2:$I$1001,0),MATCH(COLUMNS($P$1006:S1006),$P$1006:$S$1006,0)), HYPERLINK("#",""), HYPERLINK(CONCATENATE("#metadata!", ADDRESS(INDEX($K$2:$K$1001,MATCH(ROWS($I$2:I442),$I$2:$I$1001,0),0), INDEX($P$1004:$S$1004,1,MATCH(COLUMNS($P$1006:S1006),$P$1006:$S$1006,0)))),"Fix")))</f>
        <v>0</v>
      </c>
      <c r="I442">
        <v>0</v>
      </c>
      <c r="J442">
        <v>0</v>
      </c>
      <c r="K442">
        <v>0</v>
      </c>
      <c r="L442">
        <f>IF(M442,TRUE,AND(P442:S442))</f>
        <v>0</v>
      </c>
      <c r="M442">
        <f>COUNTBLANK(metadata!B442:E442)=COLUMNS(metadata!B442:E442)</f>
        <v>0</v>
      </c>
      <c r="N442">
        <v>0</v>
      </c>
      <c r="P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Q442">
        <f>AND(IF(metadata!C442="",FALSE,TRUE),exact(metadata!C442,"other"))</f>
        <v>0</v>
      </c>
      <c r="R442">
        <f>AND(IF(metadata!D442="",FALSE,TRUE),exact(metadata!D442,"metagenome"))</f>
        <v>0</v>
      </c>
      <c r="S442">
        <f>AND(IF(metadata!E442="",FALSE,TRUE),exact(metadata!E442,"256318"))</f>
        <v>0</v>
      </c>
    </row>
    <row r="443" spans="1:19">
      <c r="A443" s="4">
        <f>IF(B443=" "," ",HYPERLINK(CONCATENATE("#metadata!",ADDRESS(INDEX($K$2:$K$1001,MATCH(ROWS($I$2:I443),$I$2:$I$1001,0),0),1)),INDEX($N$2:$N$1001,MATCH(ROWS($I$2:I443),$I$2:$I$1001,0),0)))</f>
        <v>0</v>
      </c>
      <c r="B443" s="3">
        <f>IF(OR(INDEX($J$2:$J$1001,MATCH(ROWS($I$2:I443),$I$2:$I$1001,0),1)&gt;=100000,INDEX($P$1005:$S$1005,1,MATCH(COLUMNS($P$1006:P1006),$P$1006:$S$1006,0))&gt;=100000), " ",IF(INDEX($P$2:$S$1001,MATCH(ROWS($I$2:I443),$I$2:$I$1001,0),MATCH(COLUMNS($P$1006:P1006),$P$1006:$S$1006,0)), HYPERLINK("#",""), HYPERLINK(CONCATENATE("#metadata!", ADDRESS(INDEX($K$2:$K$1001,MATCH(ROWS($I$2:I443),$I$2:$I$1001,0),0), INDEX($P$1004:$S$1004,1,MATCH(COLUMNS($P$1006:P1006),$P$1006:$S$1006,0)))),"Fix")))</f>
        <v>0</v>
      </c>
      <c r="C443" s="3">
        <f>IF(OR(INDEX($J$2:$J$1001,MATCH(ROWS($I$2:I443),$I$2:$I$1001,0),1)&gt;=100000,INDEX($P$1005:$S$1005,1,MATCH(COLUMNS($P$1006:Q1006),$P$1006:$S$1006,0))&gt;=100000), " ",IF(INDEX($P$2:$S$1001,MATCH(ROWS($I$2:I443),$I$2:$I$1001,0),MATCH(COLUMNS($P$1006:Q1006),$P$1006:$S$1006,0)), HYPERLINK("#",""), HYPERLINK(CONCATENATE("#metadata!", ADDRESS(INDEX($K$2:$K$1001,MATCH(ROWS($I$2:I443),$I$2:$I$1001,0),0), INDEX($P$1004:$S$1004,1,MATCH(COLUMNS($P$1006:Q1006),$P$1006:$S$1006,0)))),"Fix")))</f>
        <v>0</v>
      </c>
      <c r="D443" s="3">
        <f>IF(OR(INDEX($J$2:$J$1001,MATCH(ROWS($I$2:I443),$I$2:$I$1001,0),1)&gt;=100000,INDEX($P$1005:$S$1005,1,MATCH(COLUMNS($P$1006:R1006),$P$1006:$S$1006,0))&gt;=100000), " ",IF(INDEX($P$2:$S$1001,MATCH(ROWS($I$2:I443),$I$2:$I$1001,0),MATCH(COLUMNS($P$1006:R1006),$P$1006:$S$1006,0)), HYPERLINK("#",""), HYPERLINK(CONCATENATE("#metadata!", ADDRESS(INDEX($K$2:$K$1001,MATCH(ROWS($I$2:I443),$I$2:$I$1001,0),0), INDEX($P$1004:$S$1004,1,MATCH(COLUMNS($P$1006:R1006),$P$1006:$S$1006,0)))),"Fix")))</f>
        <v>0</v>
      </c>
      <c r="E443" s="3">
        <f>IF(OR(INDEX($J$2:$J$1001,MATCH(ROWS($I$2:I443),$I$2:$I$1001,0),1)&gt;=100000,INDEX($P$1005:$S$1005,1,MATCH(COLUMNS($P$1006:S1006),$P$1006:$S$1006,0))&gt;=100000), " ",IF(INDEX($P$2:$S$1001,MATCH(ROWS($I$2:I443),$I$2:$I$1001,0),MATCH(COLUMNS($P$1006:S1006),$P$1006:$S$1006,0)), HYPERLINK("#",""), HYPERLINK(CONCATENATE("#metadata!", ADDRESS(INDEX($K$2:$K$1001,MATCH(ROWS($I$2:I443),$I$2:$I$1001,0),0), INDEX($P$1004:$S$1004,1,MATCH(COLUMNS($P$1006:S1006),$P$1006:$S$1006,0)))),"Fix")))</f>
        <v>0</v>
      </c>
      <c r="I443">
        <v>0</v>
      </c>
      <c r="J443">
        <v>0</v>
      </c>
      <c r="K443">
        <v>0</v>
      </c>
      <c r="L443">
        <f>IF(M443,TRUE,AND(P443:S443))</f>
        <v>0</v>
      </c>
      <c r="M443">
        <f>COUNTBLANK(metadata!B443:E443)=COLUMNS(metadata!B443:E443)</f>
        <v>0</v>
      </c>
      <c r="N443">
        <v>0</v>
      </c>
      <c r="P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Q443">
        <f>AND(IF(metadata!C443="",FALSE,TRUE),exact(metadata!C443,"other"))</f>
        <v>0</v>
      </c>
      <c r="R443">
        <f>AND(IF(metadata!D443="",FALSE,TRUE),exact(metadata!D443,"metagenome"))</f>
        <v>0</v>
      </c>
      <c r="S443">
        <f>AND(IF(metadata!E443="",FALSE,TRUE),exact(metadata!E443,"256318"))</f>
        <v>0</v>
      </c>
    </row>
    <row r="444" spans="1:19">
      <c r="A444" s="4">
        <f>IF(B444=" "," ",HYPERLINK(CONCATENATE("#metadata!",ADDRESS(INDEX($K$2:$K$1001,MATCH(ROWS($I$2:I444),$I$2:$I$1001,0),0),1)),INDEX($N$2:$N$1001,MATCH(ROWS($I$2:I444),$I$2:$I$1001,0),0)))</f>
        <v>0</v>
      </c>
      <c r="B444" s="3">
        <f>IF(OR(INDEX($J$2:$J$1001,MATCH(ROWS($I$2:I444),$I$2:$I$1001,0),1)&gt;=100000,INDEX($P$1005:$S$1005,1,MATCH(COLUMNS($P$1006:P1006),$P$1006:$S$1006,0))&gt;=100000), " ",IF(INDEX($P$2:$S$1001,MATCH(ROWS($I$2:I444),$I$2:$I$1001,0),MATCH(COLUMNS($P$1006:P1006),$P$1006:$S$1006,0)), HYPERLINK("#",""), HYPERLINK(CONCATENATE("#metadata!", ADDRESS(INDEX($K$2:$K$1001,MATCH(ROWS($I$2:I444),$I$2:$I$1001,0),0), INDEX($P$1004:$S$1004,1,MATCH(COLUMNS($P$1006:P1006),$P$1006:$S$1006,0)))),"Fix")))</f>
        <v>0</v>
      </c>
      <c r="C444" s="3">
        <f>IF(OR(INDEX($J$2:$J$1001,MATCH(ROWS($I$2:I444),$I$2:$I$1001,0),1)&gt;=100000,INDEX($P$1005:$S$1005,1,MATCH(COLUMNS($P$1006:Q1006),$P$1006:$S$1006,0))&gt;=100000), " ",IF(INDEX($P$2:$S$1001,MATCH(ROWS($I$2:I444),$I$2:$I$1001,0),MATCH(COLUMNS($P$1006:Q1006),$P$1006:$S$1006,0)), HYPERLINK("#",""), HYPERLINK(CONCATENATE("#metadata!", ADDRESS(INDEX($K$2:$K$1001,MATCH(ROWS($I$2:I444),$I$2:$I$1001,0),0), INDEX($P$1004:$S$1004,1,MATCH(COLUMNS($P$1006:Q1006),$P$1006:$S$1006,0)))),"Fix")))</f>
        <v>0</v>
      </c>
      <c r="D444" s="3">
        <f>IF(OR(INDEX($J$2:$J$1001,MATCH(ROWS($I$2:I444),$I$2:$I$1001,0),1)&gt;=100000,INDEX($P$1005:$S$1005,1,MATCH(COLUMNS($P$1006:R1006),$P$1006:$S$1006,0))&gt;=100000), " ",IF(INDEX($P$2:$S$1001,MATCH(ROWS($I$2:I444),$I$2:$I$1001,0),MATCH(COLUMNS($P$1006:R1006),$P$1006:$S$1006,0)), HYPERLINK("#",""), HYPERLINK(CONCATENATE("#metadata!", ADDRESS(INDEX($K$2:$K$1001,MATCH(ROWS($I$2:I444),$I$2:$I$1001,0),0), INDEX($P$1004:$S$1004,1,MATCH(COLUMNS($P$1006:R1006),$P$1006:$S$1006,0)))),"Fix")))</f>
        <v>0</v>
      </c>
      <c r="E444" s="3">
        <f>IF(OR(INDEX($J$2:$J$1001,MATCH(ROWS($I$2:I444),$I$2:$I$1001,0),1)&gt;=100000,INDEX($P$1005:$S$1005,1,MATCH(COLUMNS($P$1006:S1006),$P$1006:$S$1006,0))&gt;=100000), " ",IF(INDEX($P$2:$S$1001,MATCH(ROWS($I$2:I444),$I$2:$I$1001,0),MATCH(COLUMNS($P$1006:S1006),$P$1006:$S$1006,0)), HYPERLINK("#",""), HYPERLINK(CONCATENATE("#metadata!", ADDRESS(INDEX($K$2:$K$1001,MATCH(ROWS($I$2:I444),$I$2:$I$1001,0),0), INDEX($P$1004:$S$1004,1,MATCH(COLUMNS($P$1006:S1006),$P$1006:$S$1006,0)))),"Fix")))</f>
        <v>0</v>
      </c>
      <c r="I444">
        <v>0</v>
      </c>
      <c r="J444">
        <v>0</v>
      </c>
      <c r="K444">
        <v>0</v>
      </c>
      <c r="L444">
        <f>IF(M444,TRUE,AND(P444:S444))</f>
        <v>0</v>
      </c>
      <c r="M444">
        <f>COUNTBLANK(metadata!B444:E444)=COLUMNS(metadata!B444:E444)</f>
        <v>0</v>
      </c>
      <c r="N444">
        <v>0</v>
      </c>
      <c r="P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Q444">
        <f>AND(IF(metadata!C444="",FALSE,TRUE),exact(metadata!C444,"other"))</f>
        <v>0</v>
      </c>
      <c r="R444">
        <f>AND(IF(metadata!D444="",FALSE,TRUE),exact(metadata!D444,"metagenome"))</f>
        <v>0</v>
      </c>
      <c r="S444">
        <f>AND(IF(metadata!E444="",FALSE,TRUE),exact(metadata!E444,"256318"))</f>
        <v>0</v>
      </c>
    </row>
    <row r="445" spans="1:19">
      <c r="A445" s="4">
        <f>IF(B445=" "," ",HYPERLINK(CONCATENATE("#metadata!",ADDRESS(INDEX($K$2:$K$1001,MATCH(ROWS($I$2:I445),$I$2:$I$1001,0),0),1)),INDEX($N$2:$N$1001,MATCH(ROWS($I$2:I445),$I$2:$I$1001,0),0)))</f>
        <v>0</v>
      </c>
      <c r="B445" s="3">
        <f>IF(OR(INDEX($J$2:$J$1001,MATCH(ROWS($I$2:I445),$I$2:$I$1001,0),1)&gt;=100000,INDEX($P$1005:$S$1005,1,MATCH(COLUMNS($P$1006:P1006),$P$1006:$S$1006,0))&gt;=100000), " ",IF(INDEX($P$2:$S$1001,MATCH(ROWS($I$2:I445),$I$2:$I$1001,0),MATCH(COLUMNS($P$1006:P1006),$P$1006:$S$1006,0)), HYPERLINK("#",""), HYPERLINK(CONCATENATE("#metadata!", ADDRESS(INDEX($K$2:$K$1001,MATCH(ROWS($I$2:I445),$I$2:$I$1001,0),0), INDEX($P$1004:$S$1004,1,MATCH(COLUMNS($P$1006:P1006),$P$1006:$S$1006,0)))),"Fix")))</f>
        <v>0</v>
      </c>
      <c r="C445" s="3">
        <f>IF(OR(INDEX($J$2:$J$1001,MATCH(ROWS($I$2:I445),$I$2:$I$1001,0),1)&gt;=100000,INDEX($P$1005:$S$1005,1,MATCH(COLUMNS($P$1006:Q1006),$P$1006:$S$1006,0))&gt;=100000), " ",IF(INDEX($P$2:$S$1001,MATCH(ROWS($I$2:I445),$I$2:$I$1001,0),MATCH(COLUMNS($P$1006:Q1006),$P$1006:$S$1006,0)), HYPERLINK("#",""), HYPERLINK(CONCATENATE("#metadata!", ADDRESS(INDEX($K$2:$K$1001,MATCH(ROWS($I$2:I445),$I$2:$I$1001,0),0), INDEX($P$1004:$S$1004,1,MATCH(COLUMNS($P$1006:Q1006),$P$1006:$S$1006,0)))),"Fix")))</f>
        <v>0</v>
      </c>
      <c r="D445" s="3">
        <f>IF(OR(INDEX($J$2:$J$1001,MATCH(ROWS($I$2:I445),$I$2:$I$1001,0),1)&gt;=100000,INDEX($P$1005:$S$1005,1,MATCH(COLUMNS($P$1006:R1006),$P$1006:$S$1006,0))&gt;=100000), " ",IF(INDEX($P$2:$S$1001,MATCH(ROWS($I$2:I445),$I$2:$I$1001,0),MATCH(COLUMNS($P$1006:R1006),$P$1006:$S$1006,0)), HYPERLINK("#",""), HYPERLINK(CONCATENATE("#metadata!", ADDRESS(INDEX($K$2:$K$1001,MATCH(ROWS($I$2:I445),$I$2:$I$1001,0),0), INDEX($P$1004:$S$1004,1,MATCH(COLUMNS($P$1006:R1006),$P$1006:$S$1006,0)))),"Fix")))</f>
        <v>0</v>
      </c>
      <c r="E445" s="3">
        <f>IF(OR(INDEX($J$2:$J$1001,MATCH(ROWS($I$2:I445),$I$2:$I$1001,0),1)&gt;=100000,INDEX($P$1005:$S$1005,1,MATCH(COLUMNS($P$1006:S1006),$P$1006:$S$1006,0))&gt;=100000), " ",IF(INDEX($P$2:$S$1001,MATCH(ROWS($I$2:I445),$I$2:$I$1001,0),MATCH(COLUMNS($P$1006:S1006),$P$1006:$S$1006,0)), HYPERLINK("#",""), HYPERLINK(CONCATENATE("#metadata!", ADDRESS(INDEX($K$2:$K$1001,MATCH(ROWS($I$2:I445),$I$2:$I$1001,0),0), INDEX($P$1004:$S$1004,1,MATCH(COLUMNS($P$1006:S1006),$P$1006:$S$1006,0)))),"Fix")))</f>
        <v>0</v>
      </c>
      <c r="I445">
        <v>0</v>
      </c>
      <c r="J445">
        <v>0</v>
      </c>
      <c r="K445">
        <v>0</v>
      </c>
      <c r="L445">
        <f>IF(M445,TRUE,AND(P445:S445))</f>
        <v>0</v>
      </c>
      <c r="M445">
        <f>COUNTBLANK(metadata!B445:E445)=COLUMNS(metadata!B445:E445)</f>
        <v>0</v>
      </c>
      <c r="N445">
        <v>0</v>
      </c>
      <c r="P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Q445">
        <f>AND(IF(metadata!C445="",FALSE,TRUE),exact(metadata!C445,"other"))</f>
        <v>0</v>
      </c>
      <c r="R445">
        <f>AND(IF(metadata!D445="",FALSE,TRUE),exact(metadata!D445,"metagenome"))</f>
        <v>0</v>
      </c>
      <c r="S445">
        <f>AND(IF(metadata!E445="",FALSE,TRUE),exact(metadata!E445,"256318"))</f>
        <v>0</v>
      </c>
    </row>
    <row r="446" spans="1:19">
      <c r="A446" s="4">
        <f>IF(B446=" "," ",HYPERLINK(CONCATENATE("#metadata!",ADDRESS(INDEX($K$2:$K$1001,MATCH(ROWS($I$2:I446),$I$2:$I$1001,0),0),1)),INDEX($N$2:$N$1001,MATCH(ROWS($I$2:I446),$I$2:$I$1001,0),0)))</f>
        <v>0</v>
      </c>
      <c r="B446" s="3">
        <f>IF(OR(INDEX($J$2:$J$1001,MATCH(ROWS($I$2:I446),$I$2:$I$1001,0),1)&gt;=100000,INDEX($P$1005:$S$1005,1,MATCH(COLUMNS($P$1006:P1006),$P$1006:$S$1006,0))&gt;=100000), " ",IF(INDEX($P$2:$S$1001,MATCH(ROWS($I$2:I446),$I$2:$I$1001,0),MATCH(COLUMNS($P$1006:P1006),$P$1006:$S$1006,0)), HYPERLINK("#",""), HYPERLINK(CONCATENATE("#metadata!", ADDRESS(INDEX($K$2:$K$1001,MATCH(ROWS($I$2:I446),$I$2:$I$1001,0),0), INDEX($P$1004:$S$1004,1,MATCH(COLUMNS($P$1006:P1006),$P$1006:$S$1006,0)))),"Fix")))</f>
        <v>0</v>
      </c>
      <c r="C446" s="3">
        <f>IF(OR(INDEX($J$2:$J$1001,MATCH(ROWS($I$2:I446),$I$2:$I$1001,0),1)&gt;=100000,INDEX($P$1005:$S$1005,1,MATCH(COLUMNS($P$1006:Q1006),$P$1006:$S$1006,0))&gt;=100000), " ",IF(INDEX($P$2:$S$1001,MATCH(ROWS($I$2:I446),$I$2:$I$1001,0),MATCH(COLUMNS($P$1006:Q1006),$P$1006:$S$1006,0)), HYPERLINK("#",""), HYPERLINK(CONCATENATE("#metadata!", ADDRESS(INDEX($K$2:$K$1001,MATCH(ROWS($I$2:I446),$I$2:$I$1001,0),0), INDEX($P$1004:$S$1004,1,MATCH(COLUMNS($P$1006:Q1006),$P$1006:$S$1006,0)))),"Fix")))</f>
        <v>0</v>
      </c>
      <c r="D446" s="3">
        <f>IF(OR(INDEX($J$2:$J$1001,MATCH(ROWS($I$2:I446),$I$2:$I$1001,0),1)&gt;=100000,INDEX($P$1005:$S$1005,1,MATCH(COLUMNS($P$1006:R1006),$P$1006:$S$1006,0))&gt;=100000), " ",IF(INDEX($P$2:$S$1001,MATCH(ROWS($I$2:I446),$I$2:$I$1001,0),MATCH(COLUMNS($P$1006:R1006),$P$1006:$S$1006,0)), HYPERLINK("#",""), HYPERLINK(CONCATENATE("#metadata!", ADDRESS(INDEX($K$2:$K$1001,MATCH(ROWS($I$2:I446),$I$2:$I$1001,0),0), INDEX($P$1004:$S$1004,1,MATCH(COLUMNS($P$1006:R1006),$P$1006:$S$1006,0)))),"Fix")))</f>
        <v>0</v>
      </c>
      <c r="E446" s="3">
        <f>IF(OR(INDEX($J$2:$J$1001,MATCH(ROWS($I$2:I446),$I$2:$I$1001,0),1)&gt;=100000,INDEX($P$1005:$S$1005,1,MATCH(COLUMNS($P$1006:S1006),$P$1006:$S$1006,0))&gt;=100000), " ",IF(INDEX($P$2:$S$1001,MATCH(ROWS($I$2:I446),$I$2:$I$1001,0),MATCH(COLUMNS($P$1006:S1006),$P$1006:$S$1006,0)), HYPERLINK("#",""), HYPERLINK(CONCATENATE("#metadata!", ADDRESS(INDEX($K$2:$K$1001,MATCH(ROWS($I$2:I446),$I$2:$I$1001,0),0), INDEX($P$1004:$S$1004,1,MATCH(COLUMNS($P$1006:S1006),$P$1006:$S$1006,0)))),"Fix")))</f>
        <v>0</v>
      </c>
      <c r="I446">
        <v>0</v>
      </c>
      <c r="J446">
        <v>0</v>
      </c>
      <c r="K446">
        <v>0</v>
      </c>
      <c r="L446">
        <f>IF(M446,TRUE,AND(P446:S446))</f>
        <v>0</v>
      </c>
      <c r="M446">
        <f>COUNTBLANK(metadata!B446:E446)=COLUMNS(metadata!B446:E446)</f>
        <v>0</v>
      </c>
      <c r="N446">
        <v>0</v>
      </c>
      <c r="P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Q446">
        <f>AND(IF(metadata!C446="",FALSE,TRUE),exact(metadata!C446,"other"))</f>
        <v>0</v>
      </c>
      <c r="R446">
        <f>AND(IF(metadata!D446="",FALSE,TRUE),exact(metadata!D446,"metagenome"))</f>
        <v>0</v>
      </c>
      <c r="S446">
        <f>AND(IF(metadata!E446="",FALSE,TRUE),exact(metadata!E446,"256318"))</f>
        <v>0</v>
      </c>
    </row>
    <row r="447" spans="1:19">
      <c r="A447" s="4">
        <f>IF(B447=" "," ",HYPERLINK(CONCATENATE("#metadata!",ADDRESS(INDEX($K$2:$K$1001,MATCH(ROWS($I$2:I447),$I$2:$I$1001,0),0),1)),INDEX($N$2:$N$1001,MATCH(ROWS($I$2:I447),$I$2:$I$1001,0),0)))</f>
        <v>0</v>
      </c>
      <c r="B447" s="3">
        <f>IF(OR(INDEX($J$2:$J$1001,MATCH(ROWS($I$2:I447),$I$2:$I$1001,0),1)&gt;=100000,INDEX($P$1005:$S$1005,1,MATCH(COLUMNS($P$1006:P1006),$P$1006:$S$1006,0))&gt;=100000), " ",IF(INDEX($P$2:$S$1001,MATCH(ROWS($I$2:I447),$I$2:$I$1001,0),MATCH(COLUMNS($P$1006:P1006),$P$1006:$S$1006,0)), HYPERLINK("#",""), HYPERLINK(CONCATENATE("#metadata!", ADDRESS(INDEX($K$2:$K$1001,MATCH(ROWS($I$2:I447),$I$2:$I$1001,0),0), INDEX($P$1004:$S$1004,1,MATCH(COLUMNS($P$1006:P1006),$P$1006:$S$1006,0)))),"Fix")))</f>
        <v>0</v>
      </c>
      <c r="C447" s="3">
        <f>IF(OR(INDEX($J$2:$J$1001,MATCH(ROWS($I$2:I447),$I$2:$I$1001,0),1)&gt;=100000,INDEX($P$1005:$S$1005,1,MATCH(COLUMNS($P$1006:Q1006),$P$1006:$S$1006,0))&gt;=100000), " ",IF(INDEX($P$2:$S$1001,MATCH(ROWS($I$2:I447),$I$2:$I$1001,0),MATCH(COLUMNS($P$1006:Q1006),$P$1006:$S$1006,0)), HYPERLINK("#",""), HYPERLINK(CONCATENATE("#metadata!", ADDRESS(INDEX($K$2:$K$1001,MATCH(ROWS($I$2:I447),$I$2:$I$1001,0),0), INDEX($P$1004:$S$1004,1,MATCH(COLUMNS($P$1006:Q1006),$P$1006:$S$1006,0)))),"Fix")))</f>
        <v>0</v>
      </c>
      <c r="D447" s="3">
        <f>IF(OR(INDEX($J$2:$J$1001,MATCH(ROWS($I$2:I447),$I$2:$I$1001,0),1)&gt;=100000,INDEX($P$1005:$S$1005,1,MATCH(COLUMNS($P$1006:R1006),$P$1006:$S$1006,0))&gt;=100000), " ",IF(INDEX($P$2:$S$1001,MATCH(ROWS($I$2:I447),$I$2:$I$1001,0),MATCH(COLUMNS($P$1006:R1006),$P$1006:$S$1006,0)), HYPERLINK("#",""), HYPERLINK(CONCATENATE("#metadata!", ADDRESS(INDEX($K$2:$K$1001,MATCH(ROWS($I$2:I447),$I$2:$I$1001,0),0), INDEX($P$1004:$S$1004,1,MATCH(COLUMNS($P$1006:R1006),$P$1006:$S$1006,0)))),"Fix")))</f>
        <v>0</v>
      </c>
      <c r="E447" s="3">
        <f>IF(OR(INDEX($J$2:$J$1001,MATCH(ROWS($I$2:I447),$I$2:$I$1001,0),1)&gt;=100000,INDEX($P$1005:$S$1005,1,MATCH(COLUMNS($P$1006:S1006),$P$1006:$S$1006,0))&gt;=100000), " ",IF(INDEX($P$2:$S$1001,MATCH(ROWS($I$2:I447),$I$2:$I$1001,0),MATCH(COLUMNS($P$1006:S1006),$P$1006:$S$1006,0)), HYPERLINK("#",""), HYPERLINK(CONCATENATE("#metadata!", ADDRESS(INDEX($K$2:$K$1001,MATCH(ROWS($I$2:I447),$I$2:$I$1001,0),0), INDEX($P$1004:$S$1004,1,MATCH(COLUMNS($P$1006:S1006),$P$1006:$S$1006,0)))),"Fix")))</f>
        <v>0</v>
      </c>
      <c r="I447">
        <v>0</v>
      </c>
      <c r="J447">
        <v>0</v>
      </c>
      <c r="K447">
        <v>0</v>
      </c>
      <c r="L447">
        <f>IF(M447,TRUE,AND(P447:S447))</f>
        <v>0</v>
      </c>
      <c r="M447">
        <f>COUNTBLANK(metadata!B447:E447)=COLUMNS(metadata!B447:E447)</f>
        <v>0</v>
      </c>
      <c r="N447">
        <v>0</v>
      </c>
      <c r="P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Q447">
        <f>AND(IF(metadata!C447="",FALSE,TRUE),exact(metadata!C447,"other"))</f>
        <v>0</v>
      </c>
      <c r="R447">
        <f>AND(IF(metadata!D447="",FALSE,TRUE),exact(metadata!D447,"metagenome"))</f>
        <v>0</v>
      </c>
      <c r="S447">
        <f>AND(IF(metadata!E447="",FALSE,TRUE),exact(metadata!E447,"256318"))</f>
        <v>0</v>
      </c>
    </row>
    <row r="448" spans="1:19">
      <c r="A448" s="4">
        <f>IF(B448=" "," ",HYPERLINK(CONCATENATE("#metadata!",ADDRESS(INDEX($K$2:$K$1001,MATCH(ROWS($I$2:I448),$I$2:$I$1001,0),0),1)),INDEX($N$2:$N$1001,MATCH(ROWS($I$2:I448),$I$2:$I$1001,0),0)))</f>
        <v>0</v>
      </c>
      <c r="B448" s="3">
        <f>IF(OR(INDEX($J$2:$J$1001,MATCH(ROWS($I$2:I448),$I$2:$I$1001,0),1)&gt;=100000,INDEX($P$1005:$S$1005,1,MATCH(COLUMNS($P$1006:P1006),$P$1006:$S$1006,0))&gt;=100000), " ",IF(INDEX($P$2:$S$1001,MATCH(ROWS($I$2:I448),$I$2:$I$1001,0),MATCH(COLUMNS($P$1006:P1006),$P$1006:$S$1006,0)), HYPERLINK("#",""), HYPERLINK(CONCATENATE("#metadata!", ADDRESS(INDEX($K$2:$K$1001,MATCH(ROWS($I$2:I448),$I$2:$I$1001,0),0), INDEX($P$1004:$S$1004,1,MATCH(COLUMNS($P$1006:P1006),$P$1006:$S$1006,0)))),"Fix")))</f>
        <v>0</v>
      </c>
      <c r="C448" s="3">
        <f>IF(OR(INDEX($J$2:$J$1001,MATCH(ROWS($I$2:I448),$I$2:$I$1001,0),1)&gt;=100000,INDEX($P$1005:$S$1005,1,MATCH(COLUMNS($P$1006:Q1006),$P$1006:$S$1006,0))&gt;=100000), " ",IF(INDEX($P$2:$S$1001,MATCH(ROWS($I$2:I448),$I$2:$I$1001,0),MATCH(COLUMNS($P$1006:Q1006),$P$1006:$S$1006,0)), HYPERLINK("#",""), HYPERLINK(CONCATENATE("#metadata!", ADDRESS(INDEX($K$2:$K$1001,MATCH(ROWS($I$2:I448),$I$2:$I$1001,0),0), INDEX($P$1004:$S$1004,1,MATCH(COLUMNS($P$1006:Q1006),$P$1006:$S$1006,0)))),"Fix")))</f>
        <v>0</v>
      </c>
      <c r="D448" s="3">
        <f>IF(OR(INDEX($J$2:$J$1001,MATCH(ROWS($I$2:I448),$I$2:$I$1001,0),1)&gt;=100000,INDEX($P$1005:$S$1005,1,MATCH(COLUMNS($P$1006:R1006),$P$1006:$S$1006,0))&gt;=100000), " ",IF(INDEX($P$2:$S$1001,MATCH(ROWS($I$2:I448),$I$2:$I$1001,0),MATCH(COLUMNS($P$1006:R1006),$P$1006:$S$1006,0)), HYPERLINK("#",""), HYPERLINK(CONCATENATE("#metadata!", ADDRESS(INDEX($K$2:$K$1001,MATCH(ROWS($I$2:I448),$I$2:$I$1001,0),0), INDEX($P$1004:$S$1004,1,MATCH(COLUMNS($P$1006:R1006),$P$1006:$S$1006,0)))),"Fix")))</f>
        <v>0</v>
      </c>
      <c r="E448" s="3">
        <f>IF(OR(INDEX($J$2:$J$1001,MATCH(ROWS($I$2:I448),$I$2:$I$1001,0),1)&gt;=100000,INDEX($P$1005:$S$1005,1,MATCH(COLUMNS($P$1006:S1006),$P$1006:$S$1006,0))&gt;=100000), " ",IF(INDEX($P$2:$S$1001,MATCH(ROWS($I$2:I448),$I$2:$I$1001,0),MATCH(COLUMNS($P$1006:S1006),$P$1006:$S$1006,0)), HYPERLINK("#",""), HYPERLINK(CONCATENATE("#metadata!", ADDRESS(INDEX($K$2:$K$1001,MATCH(ROWS($I$2:I448),$I$2:$I$1001,0),0), INDEX($P$1004:$S$1004,1,MATCH(COLUMNS($P$1006:S1006),$P$1006:$S$1006,0)))),"Fix")))</f>
        <v>0</v>
      </c>
      <c r="I448">
        <v>0</v>
      </c>
      <c r="J448">
        <v>0</v>
      </c>
      <c r="K448">
        <v>0</v>
      </c>
      <c r="L448">
        <f>IF(M448,TRUE,AND(P448:S448))</f>
        <v>0</v>
      </c>
      <c r="M448">
        <f>COUNTBLANK(metadata!B448:E448)=COLUMNS(metadata!B448:E448)</f>
        <v>0</v>
      </c>
      <c r="N448">
        <v>0</v>
      </c>
      <c r="P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Q448">
        <f>AND(IF(metadata!C448="",FALSE,TRUE),exact(metadata!C448,"other"))</f>
        <v>0</v>
      </c>
      <c r="R448">
        <f>AND(IF(metadata!D448="",FALSE,TRUE),exact(metadata!D448,"metagenome"))</f>
        <v>0</v>
      </c>
      <c r="S448">
        <f>AND(IF(metadata!E448="",FALSE,TRUE),exact(metadata!E448,"256318"))</f>
        <v>0</v>
      </c>
    </row>
    <row r="449" spans="1:19">
      <c r="A449" s="4">
        <f>IF(B449=" "," ",HYPERLINK(CONCATENATE("#metadata!",ADDRESS(INDEX($K$2:$K$1001,MATCH(ROWS($I$2:I449),$I$2:$I$1001,0),0),1)),INDEX($N$2:$N$1001,MATCH(ROWS($I$2:I449),$I$2:$I$1001,0),0)))</f>
        <v>0</v>
      </c>
      <c r="B449" s="3">
        <f>IF(OR(INDEX($J$2:$J$1001,MATCH(ROWS($I$2:I449),$I$2:$I$1001,0),1)&gt;=100000,INDEX($P$1005:$S$1005,1,MATCH(COLUMNS($P$1006:P1006),$P$1006:$S$1006,0))&gt;=100000), " ",IF(INDEX($P$2:$S$1001,MATCH(ROWS($I$2:I449),$I$2:$I$1001,0),MATCH(COLUMNS($P$1006:P1006),$P$1006:$S$1006,0)), HYPERLINK("#",""), HYPERLINK(CONCATENATE("#metadata!", ADDRESS(INDEX($K$2:$K$1001,MATCH(ROWS($I$2:I449),$I$2:$I$1001,0),0), INDEX($P$1004:$S$1004,1,MATCH(COLUMNS($P$1006:P1006),$P$1006:$S$1006,0)))),"Fix")))</f>
        <v>0</v>
      </c>
      <c r="C449" s="3">
        <f>IF(OR(INDEX($J$2:$J$1001,MATCH(ROWS($I$2:I449),$I$2:$I$1001,0),1)&gt;=100000,INDEX($P$1005:$S$1005,1,MATCH(COLUMNS($P$1006:Q1006),$P$1006:$S$1006,0))&gt;=100000), " ",IF(INDEX($P$2:$S$1001,MATCH(ROWS($I$2:I449),$I$2:$I$1001,0),MATCH(COLUMNS($P$1006:Q1006),$P$1006:$S$1006,0)), HYPERLINK("#",""), HYPERLINK(CONCATENATE("#metadata!", ADDRESS(INDEX($K$2:$K$1001,MATCH(ROWS($I$2:I449),$I$2:$I$1001,0),0), INDEX($P$1004:$S$1004,1,MATCH(COLUMNS($P$1006:Q1006),$P$1006:$S$1006,0)))),"Fix")))</f>
        <v>0</v>
      </c>
      <c r="D449" s="3">
        <f>IF(OR(INDEX($J$2:$J$1001,MATCH(ROWS($I$2:I449),$I$2:$I$1001,0),1)&gt;=100000,INDEX($P$1005:$S$1005,1,MATCH(COLUMNS($P$1006:R1006),$P$1006:$S$1006,0))&gt;=100000), " ",IF(INDEX($P$2:$S$1001,MATCH(ROWS($I$2:I449),$I$2:$I$1001,0),MATCH(COLUMNS($P$1006:R1006),$P$1006:$S$1006,0)), HYPERLINK("#",""), HYPERLINK(CONCATENATE("#metadata!", ADDRESS(INDEX($K$2:$K$1001,MATCH(ROWS($I$2:I449),$I$2:$I$1001,0),0), INDEX($P$1004:$S$1004,1,MATCH(COLUMNS($P$1006:R1006),$P$1006:$S$1006,0)))),"Fix")))</f>
        <v>0</v>
      </c>
      <c r="E449" s="3">
        <f>IF(OR(INDEX($J$2:$J$1001,MATCH(ROWS($I$2:I449),$I$2:$I$1001,0),1)&gt;=100000,INDEX($P$1005:$S$1005,1,MATCH(COLUMNS($P$1006:S1006),$P$1006:$S$1006,0))&gt;=100000), " ",IF(INDEX($P$2:$S$1001,MATCH(ROWS($I$2:I449),$I$2:$I$1001,0),MATCH(COLUMNS($P$1006:S1006),$P$1006:$S$1006,0)), HYPERLINK("#",""), HYPERLINK(CONCATENATE("#metadata!", ADDRESS(INDEX($K$2:$K$1001,MATCH(ROWS($I$2:I449),$I$2:$I$1001,0),0), INDEX($P$1004:$S$1004,1,MATCH(COLUMNS($P$1006:S1006),$P$1006:$S$1006,0)))),"Fix")))</f>
        <v>0</v>
      </c>
      <c r="I449">
        <v>0</v>
      </c>
      <c r="J449">
        <v>0</v>
      </c>
      <c r="K449">
        <v>0</v>
      </c>
      <c r="L449">
        <f>IF(M449,TRUE,AND(P449:S449))</f>
        <v>0</v>
      </c>
      <c r="M449">
        <f>COUNTBLANK(metadata!B449:E449)=COLUMNS(metadata!B449:E449)</f>
        <v>0</v>
      </c>
      <c r="N449">
        <v>0</v>
      </c>
      <c r="P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Q449">
        <f>AND(IF(metadata!C449="",FALSE,TRUE),exact(metadata!C449,"other"))</f>
        <v>0</v>
      </c>
      <c r="R449">
        <f>AND(IF(metadata!D449="",FALSE,TRUE),exact(metadata!D449,"metagenome"))</f>
        <v>0</v>
      </c>
      <c r="S449">
        <f>AND(IF(metadata!E449="",FALSE,TRUE),exact(metadata!E449,"256318"))</f>
        <v>0</v>
      </c>
    </row>
    <row r="450" spans="1:19">
      <c r="A450" s="4">
        <f>IF(B450=" "," ",HYPERLINK(CONCATENATE("#metadata!",ADDRESS(INDEX($K$2:$K$1001,MATCH(ROWS($I$2:I450),$I$2:$I$1001,0),0),1)),INDEX($N$2:$N$1001,MATCH(ROWS($I$2:I450),$I$2:$I$1001,0),0)))</f>
        <v>0</v>
      </c>
      <c r="B450" s="3">
        <f>IF(OR(INDEX($J$2:$J$1001,MATCH(ROWS($I$2:I450),$I$2:$I$1001,0),1)&gt;=100000,INDEX($P$1005:$S$1005,1,MATCH(COLUMNS($P$1006:P1006),$P$1006:$S$1006,0))&gt;=100000), " ",IF(INDEX($P$2:$S$1001,MATCH(ROWS($I$2:I450),$I$2:$I$1001,0),MATCH(COLUMNS($P$1006:P1006),$P$1006:$S$1006,0)), HYPERLINK("#",""), HYPERLINK(CONCATENATE("#metadata!", ADDRESS(INDEX($K$2:$K$1001,MATCH(ROWS($I$2:I450),$I$2:$I$1001,0),0), INDEX($P$1004:$S$1004,1,MATCH(COLUMNS($P$1006:P1006),$P$1006:$S$1006,0)))),"Fix")))</f>
        <v>0</v>
      </c>
      <c r="C450" s="3">
        <f>IF(OR(INDEX($J$2:$J$1001,MATCH(ROWS($I$2:I450),$I$2:$I$1001,0),1)&gt;=100000,INDEX($P$1005:$S$1005,1,MATCH(COLUMNS($P$1006:Q1006),$P$1006:$S$1006,0))&gt;=100000), " ",IF(INDEX($P$2:$S$1001,MATCH(ROWS($I$2:I450),$I$2:$I$1001,0),MATCH(COLUMNS($P$1006:Q1006),$P$1006:$S$1006,0)), HYPERLINK("#",""), HYPERLINK(CONCATENATE("#metadata!", ADDRESS(INDEX($K$2:$K$1001,MATCH(ROWS($I$2:I450),$I$2:$I$1001,0),0), INDEX($P$1004:$S$1004,1,MATCH(COLUMNS($P$1006:Q1006),$P$1006:$S$1006,0)))),"Fix")))</f>
        <v>0</v>
      </c>
      <c r="D450" s="3">
        <f>IF(OR(INDEX($J$2:$J$1001,MATCH(ROWS($I$2:I450),$I$2:$I$1001,0),1)&gt;=100000,INDEX($P$1005:$S$1005,1,MATCH(COLUMNS($P$1006:R1006),$P$1006:$S$1006,0))&gt;=100000), " ",IF(INDEX($P$2:$S$1001,MATCH(ROWS($I$2:I450),$I$2:$I$1001,0),MATCH(COLUMNS($P$1006:R1006),$P$1006:$S$1006,0)), HYPERLINK("#",""), HYPERLINK(CONCATENATE("#metadata!", ADDRESS(INDEX($K$2:$K$1001,MATCH(ROWS($I$2:I450),$I$2:$I$1001,0),0), INDEX($P$1004:$S$1004,1,MATCH(COLUMNS($P$1006:R1006),$P$1006:$S$1006,0)))),"Fix")))</f>
        <v>0</v>
      </c>
      <c r="E450" s="3">
        <f>IF(OR(INDEX($J$2:$J$1001,MATCH(ROWS($I$2:I450),$I$2:$I$1001,0),1)&gt;=100000,INDEX($P$1005:$S$1005,1,MATCH(COLUMNS($P$1006:S1006),$P$1006:$S$1006,0))&gt;=100000), " ",IF(INDEX($P$2:$S$1001,MATCH(ROWS($I$2:I450),$I$2:$I$1001,0),MATCH(COLUMNS($P$1006:S1006),$P$1006:$S$1006,0)), HYPERLINK("#",""), HYPERLINK(CONCATENATE("#metadata!", ADDRESS(INDEX($K$2:$K$1001,MATCH(ROWS($I$2:I450),$I$2:$I$1001,0),0), INDEX($P$1004:$S$1004,1,MATCH(COLUMNS($P$1006:S1006),$P$1006:$S$1006,0)))),"Fix")))</f>
        <v>0</v>
      </c>
      <c r="I450">
        <v>0</v>
      </c>
      <c r="J450">
        <v>0</v>
      </c>
      <c r="K450">
        <v>0</v>
      </c>
      <c r="L450">
        <f>IF(M450,TRUE,AND(P450:S450))</f>
        <v>0</v>
      </c>
      <c r="M450">
        <f>COUNTBLANK(metadata!B450:E450)=COLUMNS(metadata!B450:E450)</f>
        <v>0</v>
      </c>
      <c r="N450">
        <v>0</v>
      </c>
      <c r="P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Q450">
        <f>AND(IF(metadata!C450="",FALSE,TRUE),exact(metadata!C450,"other"))</f>
        <v>0</v>
      </c>
      <c r="R450">
        <f>AND(IF(metadata!D450="",FALSE,TRUE),exact(metadata!D450,"metagenome"))</f>
        <v>0</v>
      </c>
      <c r="S450">
        <f>AND(IF(metadata!E450="",FALSE,TRUE),exact(metadata!E450,"256318"))</f>
        <v>0</v>
      </c>
    </row>
    <row r="451" spans="1:19">
      <c r="A451" s="4">
        <f>IF(B451=" "," ",HYPERLINK(CONCATENATE("#metadata!",ADDRESS(INDEX($K$2:$K$1001,MATCH(ROWS($I$2:I451),$I$2:$I$1001,0),0),1)),INDEX($N$2:$N$1001,MATCH(ROWS($I$2:I451),$I$2:$I$1001,0),0)))</f>
        <v>0</v>
      </c>
      <c r="B451" s="3">
        <f>IF(OR(INDEX($J$2:$J$1001,MATCH(ROWS($I$2:I451),$I$2:$I$1001,0),1)&gt;=100000,INDEX($P$1005:$S$1005,1,MATCH(COLUMNS($P$1006:P1006),$P$1006:$S$1006,0))&gt;=100000), " ",IF(INDEX($P$2:$S$1001,MATCH(ROWS($I$2:I451),$I$2:$I$1001,0),MATCH(COLUMNS($P$1006:P1006),$P$1006:$S$1006,0)), HYPERLINK("#",""), HYPERLINK(CONCATENATE("#metadata!", ADDRESS(INDEX($K$2:$K$1001,MATCH(ROWS($I$2:I451),$I$2:$I$1001,0),0), INDEX($P$1004:$S$1004,1,MATCH(COLUMNS($P$1006:P1006),$P$1006:$S$1006,0)))),"Fix")))</f>
        <v>0</v>
      </c>
      <c r="C451" s="3">
        <f>IF(OR(INDEX($J$2:$J$1001,MATCH(ROWS($I$2:I451),$I$2:$I$1001,0),1)&gt;=100000,INDEX($P$1005:$S$1005,1,MATCH(COLUMNS($P$1006:Q1006),$P$1006:$S$1006,0))&gt;=100000), " ",IF(INDEX($P$2:$S$1001,MATCH(ROWS($I$2:I451),$I$2:$I$1001,0),MATCH(COLUMNS($P$1006:Q1006),$P$1006:$S$1006,0)), HYPERLINK("#",""), HYPERLINK(CONCATENATE("#metadata!", ADDRESS(INDEX($K$2:$K$1001,MATCH(ROWS($I$2:I451),$I$2:$I$1001,0),0), INDEX($P$1004:$S$1004,1,MATCH(COLUMNS($P$1006:Q1006),$P$1006:$S$1006,0)))),"Fix")))</f>
        <v>0</v>
      </c>
      <c r="D451" s="3">
        <f>IF(OR(INDEX($J$2:$J$1001,MATCH(ROWS($I$2:I451),$I$2:$I$1001,0),1)&gt;=100000,INDEX($P$1005:$S$1005,1,MATCH(COLUMNS($P$1006:R1006),$P$1006:$S$1006,0))&gt;=100000), " ",IF(INDEX($P$2:$S$1001,MATCH(ROWS($I$2:I451),$I$2:$I$1001,0),MATCH(COLUMNS($P$1006:R1006),$P$1006:$S$1006,0)), HYPERLINK("#",""), HYPERLINK(CONCATENATE("#metadata!", ADDRESS(INDEX($K$2:$K$1001,MATCH(ROWS($I$2:I451),$I$2:$I$1001,0),0), INDEX($P$1004:$S$1004,1,MATCH(COLUMNS($P$1006:R1006),$P$1006:$S$1006,0)))),"Fix")))</f>
        <v>0</v>
      </c>
      <c r="E451" s="3">
        <f>IF(OR(INDEX($J$2:$J$1001,MATCH(ROWS($I$2:I451),$I$2:$I$1001,0),1)&gt;=100000,INDEX($P$1005:$S$1005,1,MATCH(COLUMNS($P$1006:S1006),$P$1006:$S$1006,0))&gt;=100000), " ",IF(INDEX($P$2:$S$1001,MATCH(ROWS($I$2:I451),$I$2:$I$1001,0),MATCH(COLUMNS($P$1006:S1006),$P$1006:$S$1006,0)), HYPERLINK("#",""), HYPERLINK(CONCATENATE("#metadata!", ADDRESS(INDEX($K$2:$K$1001,MATCH(ROWS($I$2:I451),$I$2:$I$1001,0),0), INDEX($P$1004:$S$1004,1,MATCH(COLUMNS($P$1006:S1006),$P$1006:$S$1006,0)))),"Fix")))</f>
        <v>0</v>
      </c>
      <c r="I451">
        <v>0</v>
      </c>
      <c r="J451">
        <v>0</v>
      </c>
      <c r="K451">
        <v>0</v>
      </c>
      <c r="L451">
        <f>IF(M451,TRUE,AND(P451:S451))</f>
        <v>0</v>
      </c>
      <c r="M451">
        <f>COUNTBLANK(metadata!B451:E451)=COLUMNS(metadata!B451:E451)</f>
        <v>0</v>
      </c>
      <c r="N451">
        <v>0</v>
      </c>
      <c r="P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Q451">
        <f>AND(IF(metadata!C451="",FALSE,TRUE),exact(metadata!C451,"other"))</f>
        <v>0</v>
      </c>
      <c r="R451">
        <f>AND(IF(metadata!D451="",FALSE,TRUE),exact(metadata!D451,"metagenome"))</f>
        <v>0</v>
      </c>
      <c r="S451">
        <f>AND(IF(metadata!E451="",FALSE,TRUE),exact(metadata!E451,"256318"))</f>
        <v>0</v>
      </c>
    </row>
    <row r="452" spans="1:19">
      <c r="A452" s="4">
        <f>IF(B452=" "," ",HYPERLINK(CONCATENATE("#metadata!",ADDRESS(INDEX($K$2:$K$1001,MATCH(ROWS($I$2:I452),$I$2:$I$1001,0),0),1)),INDEX($N$2:$N$1001,MATCH(ROWS($I$2:I452),$I$2:$I$1001,0),0)))</f>
        <v>0</v>
      </c>
      <c r="B452" s="3">
        <f>IF(OR(INDEX($J$2:$J$1001,MATCH(ROWS($I$2:I452),$I$2:$I$1001,0),1)&gt;=100000,INDEX($P$1005:$S$1005,1,MATCH(COLUMNS($P$1006:P1006),$P$1006:$S$1006,0))&gt;=100000), " ",IF(INDEX($P$2:$S$1001,MATCH(ROWS($I$2:I452),$I$2:$I$1001,0),MATCH(COLUMNS($P$1006:P1006),$P$1006:$S$1006,0)), HYPERLINK("#",""), HYPERLINK(CONCATENATE("#metadata!", ADDRESS(INDEX($K$2:$K$1001,MATCH(ROWS($I$2:I452),$I$2:$I$1001,0),0), INDEX($P$1004:$S$1004,1,MATCH(COLUMNS($P$1006:P1006),$P$1006:$S$1006,0)))),"Fix")))</f>
        <v>0</v>
      </c>
      <c r="C452" s="3">
        <f>IF(OR(INDEX($J$2:$J$1001,MATCH(ROWS($I$2:I452),$I$2:$I$1001,0),1)&gt;=100000,INDEX($P$1005:$S$1005,1,MATCH(COLUMNS($P$1006:Q1006),$P$1006:$S$1006,0))&gt;=100000), " ",IF(INDEX($P$2:$S$1001,MATCH(ROWS($I$2:I452),$I$2:$I$1001,0),MATCH(COLUMNS($P$1006:Q1006),$P$1006:$S$1006,0)), HYPERLINK("#",""), HYPERLINK(CONCATENATE("#metadata!", ADDRESS(INDEX($K$2:$K$1001,MATCH(ROWS($I$2:I452),$I$2:$I$1001,0),0), INDEX($P$1004:$S$1004,1,MATCH(COLUMNS($P$1006:Q1006),$P$1006:$S$1006,0)))),"Fix")))</f>
        <v>0</v>
      </c>
      <c r="D452" s="3">
        <f>IF(OR(INDEX($J$2:$J$1001,MATCH(ROWS($I$2:I452),$I$2:$I$1001,0),1)&gt;=100000,INDEX($P$1005:$S$1005,1,MATCH(COLUMNS($P$1006:R1006),$P$1006:$S$1006,0))&gt;=100000), " ",IF(INDEX($P$2:$S$1001,MATCH(ROWS($I$2:I452),$I$2:$I$1001,0),MATCH(COLUMNS($P$1006:R1006),$P$1006:$S$1006,0)), HYPERLINK("#",""), HYPERLINK(CONCATENATE("#metadata!", ADDRESS(INDEX($K$2:$K$1001,MATCH(ROWS($I$2:I452),$I$2:$I$1001,0),0), INDEX($P$1004:$S$1004,1,MATCH(COLUMNS($P$1006:R1006),$P$1006:$S$1006,0)))),"Fix")))</f>
        <v>0</v>
      </c>
      <c r="E452" s="3">
        <f>IF(OR(INDEX($J$2:$J$1001,MATCH(ROWS($I$2:I452),$I$2:$I$1001,0),1)&gt;=100000,INDEX($P$1005:$S$1005,1,MATCH(COLUMNS($P$1006:S1006),$P$1006:$S$1006,0))&gt;=100000), " ",IF(INDEX($P$2:$S$1001,MATCH(ROWS($I$2:I452),$I$2:$I$1001,0),MATCH(COLUMNS($P$1006:S1006),$P$1006:$S$1006,0)), HYPERLINK("#",""), HYPERLINK(CONCATENATE("#metadata!", ADDRESS(INDEX($K$2:$K$1001,MATCH(ROWS($I$2:I452),$I$2:$I$1001,0),0), INDEX($P$1004:$S$1004,1,MATCH(COLUMNS($P$1006:S1006),$P$1006:$S$1006,0)))),"Fix")))</f>
        <v>0</v>
      </c>
      <c r="I452">
        <v>0</v>
      </c>
      <c r="J452">
        <v>0</v>
      </c>
      <c r="K452">
        <v>0</v>
      </c>
      <c r="L452">
        <f>IF(M452,TRUE,AND(P452:S452))</f>
        <v>0</v>
      </c>
      <c r="M452">
        <f>COUNTBLANK(metadata!B452:E452)=COLUMNS(metadata!B452:E452)</f>
        <v>0</v>
      </c>
      <c r="N452">
        <v>0</v>
      </c>
      <c r="P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Q452">
        <f>AND(IF(metadata!C452="",FALSE,TRUE),exact(metadata!C452,"other"))</f>
        <v>0</v>
      </c>
      <c r="R452">
        <f>AND(IF(metadata!D452="",FALSE,TRUE),exact(metadata!D452,"metagenome"))</f>
        <v>0</v>
      </c>
      <c r="S452">
        <f>AND(IF(metadata!E452="",FALSE,TRUE),exact(metadata!E452,"256318"))</f>
        <v>0</v>
      </c>
    </row>
    <row r="453" spans="1:19">
      <c r="A453" s="4">
        <f>IF(B453=" "," ",HYPERLINK(CONCATENATE("#metadata!",ADDRESS(INDEX($K$2:$K$1001,MATCH(ROWS($I$2:I453),$I$2:$I$1001,0),0),1)),INDEX($N$2:$N$1001,MATCH(ROWS($I$2:I453),$I$2:$I$1001,0),0)))</f>
        <v>0</v>
      </c>
      <c r="B453" s="3">
        <f>IF(OR(INDEX($J$2:$J$1001,MATCH(ROWS($I$2:I453),$I$2:$I$1001,0),1)&gt;=100000,INDEX($P$1005:$S$1005,1,MATCH(COLUMNS($P$1006:P1006),$P$1006:$S$1006,0))&gt;=100000), " ",IF(INDEX($P$2:$S$1001,MATCH(ROWS($I$2:I453),$I$2:$I$1001,0),MATCH(COLUMNS($P$1006:P1006),$P$1006:$S$1006,0)), HYPERLINK("#",""), HYPERLINK(CONCATENATE("#metadata!", ADDRESS(INDEX($K$2:$K$1001,MATCH(ROWS($I$2:I453),$I$2:$I$1001,0),0), INDEX($P$1004:$S$1004,1,MATCH(COLUMNS($P$1006:P1006),$P$1006:$S$1006,0)))),"Fix")))</f>
        <v>0</v>
      </c>
      <c r="C453" s="3">
        <f>IF(OR(INDEX($J$2:$J$1001,MATCH(ROWS($I$2:I453),$I$2:$I$1001,0),1)&gt;=100000,INDEX($P$1005:$S$1005,1,MATCH(COLUMNS($P$1006:Q1006),$P$1006:$S$1006,0))&gt;=100000), " ",IF(INDEX($P$2:$S$1001,MATCH(ROWS($I$2:I453),$I$2:$I$1001,0),MATCH(COLUMNS($P$1006:Q1006),$P$1006:$S$1006,0)), HYPERLINK("#",""), HYPERLINK(CONCATENATE("#metadata!", ADDRESS(INDEX($K$2:$K$1001,MATCH(ROWS($I$2:I453),$I$2:$I$1001,0),0), INDEX($P$1004:$S$1004,1,MATCH(COLUMNS($P$1006:Q1006),$P$1006:$S$1006,0)))),"Fix")))</f>
        <v>0</v>
      </c>
      <c r="D453" s="3">
        <f>IF(OR(INDEX($J$2:$J$1001,MATCH(ROWS($I$2:I453),$I$2:$I$1001,0),1)&gt;=100000,INDEX($P$1005:$S$1005,1,MATCH(COLUMNS($P$1006:R1006),$P$1006:$S$1006,0))&gt;=100000), " ",IF(INDEX($P$2:$S$1001,MATCH(ROWS($I$2:I453),$I$2:$I$1001,0),MATCH(COLUMNS($P$1006:R1006),$P$1006:$S$1006,0)), HYPERLINK("#",""), HYPERLINK(CONCATENATE("#metadata!", ADDRESS(INDEX($K$2:$K$1001,MATCH(ROWS($I$2:I453),$I$2:$I$1001,0),0), INDEX($P$1004:$S$1004,1,MATCH(COLUMNS($P$1006:R1006),$P$1006:$S$1006,0)))),"Fix")))</f>
        <v>0</v>
      </c>
      <c r="E453" s="3">
        <f>IF(OR(INDEX($J$2:$J$1001,MATCH(ROWS($I$2:I453),$I$2:$I$1001,0),1)&gt;=100000,INDEX($P$1005:$S$1005,1,MATCH(COLUMNS($P$1006:S1006),$P$1006:$S$1006,0))&gt;=100000), " ",IF(INDEX($P$2:$S$1001,MATCH(ROWS($I$2:I453),$I$2:$I$1001,0),MATCH(COLUMNS($P$1006:S1006),$P$1006:$S$1006,0)), HYPERLINK("#",""), HYPERLINK(CONCATENATE("#metadata!", ADDRESS(INDEX($K$2:$K$1001,MATCH(ROWS($I$2:I453),$I$2:$I$1001,0),0), INDEX($P$1004:$S$1004,1,MATCH(COLUMNS($P$1006:S1006),$P$1006:$S$1006,0)))),"Fix")))</f>
        <v>0</v>
      </c>
      <c r="I453">
        <v>0</v>
      </c>
      <c r="J453">
        <v>0</v>
      </c>
      <c r="K453">
        <v>0</v>
      </c>
      <c r="L453">
        <f>IF(M453,TRUE,AND(P453:S453))</f>
        <v>0</v>
      </c>
      <c r="M453">
        <f>COUNTBLANK(metadata!B453:E453)=COLUMNS(metadata!B453:E453)</f>
        <v>0</v>
      </c>
      <c r="N453">
        <v>0</v>
      </c>
      <c r="P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Q453">
        <f>AND(IF(metadata!C453="",FALSE,TRUE),exact(metadata!C453,"other"))</f>
        <v>0</v>
      </c>
      <c r="R453">
        <f>AND(IF(metadata!D453="",FALSE,TRUE),exact(metadata!D453,"metagenome"))</f>
        <v>0</v>
      </c>
      <c r="S453">
        <f>AND(IF(metadata!E453="",FALSE,TRUE),exact(metadata!E453,"256318"))</f>
        <v>0</v>
      </c>
    </row>
    <row r="454" spans="1:19">
      <c r="A454" s="4">
        <f>IF(B454=" "," ",HYPERLINK(CONCATENATE("#metadata!",ADDRESS(INDEX($K$2:$K$1001,MATCH(ROWS($I$2:I454),$I$2:$I$1001,0),0),1)),INDEX($N$2:$N$1001,MATCH(ROWS($I$2:I454),$I$2:$I$1001,0),0)))</f>
        <v>0</v>
      </c>
      <c r="B454" s="3">
        <f>IF(OR(INDEX($J$2:$J$1001,MATCH(ROWS($I$2:I454),$I$2:$I$1001,0),1)&gt;=100000,INDEX($P$1005:$S$1005,1,MATCH(COLUMNS($P$1006:P1006),$P$1006:$S$1006,0))&gt;=100000), " ",IF(INDEX($P$2:$S$1001,MATCH(ROWS($I$2:I454),$I$2:$I$1001,0),MATCH(COLUMNS($P$1006:P1006),$P$1006:$S$1006,0)), HYPERLINK("#",""), HYPERLINK(CONCATENATE("#metadata!", ADDRESS(INDEX($K$2:$K$1001,MATCH(ROWS($I$2:I454),$I$2:$I$1001,0),0), INDEX($P$1004:$S$1004,1,MATCH(COLUMNS($P$1006:P1006),$P$1006:$S$1006,0)))),"Fix")))</f>
        <v>0</v>
      </c>
      <c r="C454" s="3">
        <f>IF(OR(INDEX($J$2:$J$1001,MATCH(ROWS($I$2:I454),$I$2:$I$1001,0),1)&gt;=100000,INDEX($P$1005:$S$1005,1,MATCH(COLUMNS($P$1006:Q1006),$P$1006:$S$1006,0))&gt;=100000), " ",IF(INDEX($P$2:$S$1001,MATCH(ROWS($I$2:I454),$I$2:$I$1001,0),MATCH(COLUMNS($P$1006:Q1006),$P$1006:$S$1006,0)), HYPERLINK("#",""), HYPERLINK(CONCATENATE("#metadata!", ADDRESS(INDEX($K$2:$K$1001,MATCH(ROWS($I$2:I454),$I$2:$I$1001,0),0), INDEX($P$1004:$S$1004,1,MATCH(COLUMNS($P$1006:Q1006),$P$1006:$S$1006,0)))),"Fix")))</f>
        <v>0</v>
      </c>
      <c r="D454" s="3">
        <f>IF(OR(INDEX($J$2:$J$1001,MATCH(ROWS($I$2:I454),$I$2:$I$1001,0),1)&gt;=100000,INDEX($P$1005:$S$1005,1,MATCH(COLUMNS($P$1006:R1006),$P$1006:$S$1006,0))&gt;=100000), " ",IF(INDEX($P$2:$S$1001,MATCH(ROWS($I$2:I454),$I$2:$I$1001,0),MATCH(COLUMNS($P$1006:R1006),$P$1006:$S$1006,0)), HYPERLINK("#",""), HYPERLINK(CONCATENATE("#metadata!", ADDRESS(INDEX($K$2:$K$1001,MATCH(ROWS($I$2:I454),$I$2:$I$1001,0),0), INDEX($P$1004:$S$1004,1,MATCH(COLUMNS($P$1006:R1006),$P$1006:$S$1006,0)))),"Fix")))</f>
        <v>0</v>
      </c>
      <c r="E454" s="3">
        <f>IF(OR(INDEX($J$2:$J$1001,MATCH(ROWS($I$2:I454),$I$2:$I$1001,0),1)&gt;=100000,INDEX($P$1005:$S$1005,1,MATCH(COLUMNS($P$1006:S1006),$P$1006:$S$1006,0))&gt;=100000), " ",IF(INDEX($P$2:$S$1001,MATCH(ROWS($I$2:I454),$I$2:$I$1001,0),MATCH(COLUMNS($P$1006:S1006),$P$1006:$S$1006,0)), HYPERLINK("#",""), HYPERLINK(CONCATENATE("#metadata!", ADDRESS(INDEX($K$2:$K$1001,MATCH(ROWS($I$2:I454),$I$2:$I$1001,0),0), INDEX($P$1004:$S$1004,1,MATCH(COLUMNS($P$1006:S1006),$P$1006:$S$1006,0)))),"Fix")))</f>
        <v>0</v>
      </c>
      <c r="I454">
        <v>0</v>
      </c>
      <c r="J454">
        <v>0</v>
      </c>
      <c r="K454">
        <v>0</v>
      </c>
      <c r="L454">
        <f>IF(M454,TRUE,AND(P454:S454))</f>
        <v>0</v>
      </c>
      <c r="M454">
        <f>COUNTBLANK(metadata!B454:E454)=COLUMNS(metadata!B454:E454)</f>
        <v>0</v>
      </c>
      <c r="N454">
        <v>0</v>
      </c>
      <c r="P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Q454">
        <f>AND(IF(metadata!C454="",FALSE,TRUE),exact(metadata!C454,"other"))</f>
        <v>0</v>
      </c>
      <c r="R454">
        <f>AND(IF(metadata!D454="",FALSE,TRUE),exact(metadata!D454,"metagenome"))</f>
        <v>0</v>
      </c>
      <c r="S454">
        <f>AND(IF(metadata!E454="",FALSE,TRUE),exact(metadata!E454,"256318"))</f>
        <v>0</v>
      </c>
    </row>
    <row r="455" spans="1:19">
      <c r="A455" s="4">
        <f>IF(B455=" "," ",HYPERLINK(CONCATENATE("#metadata!",ADDRESS(INDEX($K$2:$K$1001,MATCH(ROWS($I$2:I455),$I$2:$I$1001,0),0),1)),INDEX($N$2:$N$1001,MATCH(ROWS($I$2:I455),$I$2:$I$1001,0),0)))</f>
        <v>0</v>
      </c>
      <c r="B455" s="3">
        <f>IF(OR(INDEX($J$2:$J$1001,MATCH(ROWS($I$2:I455),$I$2:$I$1001,0),1)&gt;=100000,INDEX($P$1005:$S$1005,1,MATCH(COLUMNS($P$1006:P1006),$P$1006:$S$1006,0))&gt;=100000), " ",IF(INDEX($P$2:$S$1001,MATCH(ROWS($I$2:I455),$I$2:$I$1001,0),MATCH(COLUMNS($P$1006:P1006),$P$1006:$S$1006,0)), HYPERLINK("#",""), HYPERLINK(CONCATENATE("#metadata!", ADDRESS(INDEX($K$2:$K$1001,MATCH(ROWS($I$2:I455),$I$2:$I$1001,0),0), INDEX($P$1004:$S$1004,1,MATCH(COLUMNS($P$1006:P1006),$P$1006:$S$1006,0)))),"Fix")))</f>
        <v>0</v>
      </c>
      <c r="C455" s="3">
        <f>IF(OR(INDEX($J$2:$J$1001,MATCH(ROWS($I$2:I455),$I$2:$I$1001,0),1)&gt;=100000,INDEX($P$1005:$S$1005,1,MATCH(COLUMNS($P$1006:Q1006),$P$1006:$S$1006,0))&gt;=100000), " ",IF(INDEX($P$2:$S$1001,MATCH(ROWS($I$2:I455),$I$2:$I$1001,0),MATCH(COLUMNS($P$1006:Q1006),$P$1006:$S$1006,0)), HYPERLINK("#",""), HYPERLINK(CONCATENATE("#metadata!", ADDRESS(INDEX($K$2:$K$1001,MATCH(ROWS($I$2:I455),$I$2:$I$1001,0),0), INDEX($P$1004:$S$1004,1,MATCH(COLUMNS($P$1006:Q1006),$P$1006:$S$1006,0)))),"Fix")))</f>
        <v>0</v>
      </c>
      <c r="D455" s="3">
        <f>IF(OR(INDEX($J$2:$J$1001,MATCH(ROWS($I$2:I455),$I$2:$I$1001,0),1)&gt;=100000,INDEX($P$1005:$S$1005,1,MATCH(COLUMNS($P$1006:R1006),$P$1006:$S$1006,0))&gt;=100000), " ",IF(INDEX($P$2:$S$1001,MATCH(ROWS($I$2:I455),$I$2:$I$1001,0),MATCH(COLUMNS($P$1006:R1006),$P$1006:$S$1006,0)), HYPERLINK("#",""), HYPERLINK(CONCATENATE("#metadata!", ADDRESS(INDEX($K$2:$K$1001,MATCH(ROWS($I$2:I455),$I$2:$I$1001,0),0), INDEX($P$1004:$S$1004,1,MATCH(COLUMNS($P$1006:R1006),$P$1006:$S$1006,0)))),"Fix")))</f>
        <v>0</v>
      </c>
      <c r="E455" s="3">
        <f>IF(OR(INDEX($J$2:$J$1001,MATCH(ROWS($I$2:I455),$I$2:$I$1001,0),1)&gt;=100000,INDEX($P$1005:$S$1005,1,MATCH(COLUMNS($P$1006:S1006),$P$1006:$S$1006,0))&gt;=100000), " ",IF(INDEX($P$2:$S$1001,MATCH(ROWS($I$2:I455),$I$2:$I$1001,0),MATCH(COLUMNS($P$1006:S1006),$P$1006:$S$1006,0)), HYPERLINK("#",""), HYPERLINK(CONCATENATE("#metadata!", ADDRESS(INDEX($K$2:$K$1001,MATCH(ROWS($I$2:I455),$I$2:$I$1001,0),0), INDEX($P$1004:$S$1004,1,MATCH(COLUMNS($P$1006:S1006),$P$1006:$S$1006,0)))),"Fix")))</f>
        <v>0</v>
      </c>
      <c r="I455">
        <v>0</v>
      </c>
      <c r="J455">
        <v>0</v>
      </c>
      <c r="K455">
        <v>0</v>
      </c>
      <c r="L455">
        <f>IF(M455,TRUE,AND(P455:S455))</f>
        <v>0</v>
      </c>
      <c r="M455">
        <f>COUNTBLANK(metadata!B455:E455)=COLUMNS(metadata!B455:E455)</f>
        <v>0</v>
      </c>
      <c r="N455">
        <v>0</v>
      </c>
      <c r="P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Q455">
        <f>AND(IF(metadata!C455="",FALSE,TRUE),exact(metadata!C455,"other"))</f>
        <v>0</v>
      </c>
      <c r="R455">
        <f>AND(IF(metadata!D455="",FALSE,TRUE),exact(metadata!D455,"metagenome"))</f>
        <v>0</v>
      </c>
      <c r="S455">
        <f>AND(IF(metadata!E455="",FALSE,TRUE),exact(metadata!E455,"256318"))</f>
        <v>0</v>
      </c>
    </row>
    <row r="456" spans="1:19">
      <c r="A456" s="4">
        <f>IF(B456=" "," ",HYPERLINK(CONCATENATE("#metadata!",ADDRESS(INDEX($K$2:$K$1001,MATCH(ROWS($I$2:I456),$I$2:$I$1001,0),0),1)),INDEX($N$2:$N$1001,MATCH(ROWS($I$2:I456),$I$2:$I$1001,0),0)))</f>
        <v>0</v>
      </c>
      <c r="B456" s="3">
        <f>IF(OR(INDEX($J$2:$J$1001,MATCH(ROWS($I$2:I456),$I$2:$I$1001,0),1)&gt;=100000,INDEX($P$1005:$S$1005,1,MATCH(COLUMNS($P$1006:P1006),$P$1006:$S$1006,0))&gt;=100000), " ",IF(INDEX($P$2:$S$1001,MATCH(ROWS($I$2:I456),$I$2:$I$1001,0),MATCH(COLUMNS($P$1006:P1006),$P$1006:$S$1006,0)), HYPERLINK("#",""), HYPERLINK(CONCATENATE("#metadata!", ADDRESS(INDEX($K$2:$K$1001,MATCH(ROWS($I$2:I456),$I$2:$I$1001,0),0), INDEX($P$1004:$S$1004,1,MATCH(COLUMNS($P$1006:P1006),$P$1006:$S$1006,0)))),"Fix")))</f>
        <v>0</v>
      </c>
      <c r="C456" s="3">
        <f>IF(OR(INDEX($J$2:$J$1001,MATCH(ROWS($I$2:I456),$I$2:$I$1001,0),1)&gt;=100000,INDEX($P$1005:$S$1005,1,MATCH(COLUMNS($P$1006:Q1006),$P$1006:$S$1006,0))&gt;=100000), " ",IF(INDEX($P$2:$S$1001,MATCH(ROWS($I$2:I456),$I$2:$I$1001,0),MATCH(COLUMNS($P$1006:Q1006),$P$1006:$S$1006,0)), HYPERLINK("#",""), HYPERLINK(CONCATENATE("#metadata!", ADDRESS(INDEX($K$2:$K$1001,MATCH(ROWS($I$2:I456),$I$2:$I$1001,0),0), INDEX($P$1004:$S$1004,1,MATCH(COLUMNS($P$1006:Q1006),$P$1006:$S$1006,0)))),"Fix")))</f>
        <v>0</v>
      </c>
      <c r="D456" s="3">
        <f>IF(OR(INDEX($J$2:$J$1001,MATCH(ROWS($I$2:I456),$I$2:$I$1001,0),1)&gt;=100000,INDEX($P$1005:$S$1005,1,MATCH(COLUMNS($P$1006:R1006),$P$1006:$S$1006,0))&gt;=100000), " ",IF(INDEX($P$2:$S$1001,MATCH(ROWS($I$2:I456),$I$2:$I$1001,0),MATCH(COLUMNS($P$1006:R1006),$P$1006:$S$1006,0)), HYPERLINK("#",""), HYPERLINK(CONCATENATE("#metadata!", ADDRESS(INDEX($K$2:$K$1001,MATCH(ROWS($I$2:I456),$I$2:$I$1001,0),0), INDEX($P$1004:$S$1004,1,MATCH(COLUMNS($P$1006:R1006),$P$1006:$S$1006,0)))),"Fix")))</f>
        <v>0</v>
      </c>
      <c r="E456" s="3">
        <f>IF(OR(INDEX($J$2:$J$1001,MATCH(ROWS($I$2:I456),$I$2:$I$1001,0),1)&gt;=100000,INDEX($P$1005:$S$1005,1,MATCH(COLUMNS($P$1006:S1006),$P$1006:$S$1006,0))&gt;=100000), " ",IF(INDEX($P$2:$S$1001,MATCH(ROWS($I$2:I456),$I$2:$I$1001,0),MATCH(COLUMNS($P$1006:S1006),$P$1006:$S$1006,0)), HYPERLINK("#",""), HYPERLINK(CONCATENATE("#metadata!", ADDRESS(INDEX($K$2:$K$1001,MATCH(ROWS($I$2:I456),$I$2:$I$1001,0),0), INDEX($P$1004:$S$1004,1,MATCH(COLUMNS($P$1006:S1006),$P$1006:$S$1006,0)))),"Fix")))</f>
        <v>0</v>
      </c>
      <c r="I456">
        <v>0</v>
      </c>
      <c r="J456">
        <v>0</v>
      </c>
      <c r="K456">
        <v>0</v>
      </c>
      <c r="L456">
        <f>IF(M456,TRUE,AND(P456:S456))</f>
        <v>0</v>
      </c>
      <c r="M456">
        <f>COUNTBLANK(metadata!B456:E456)=COLUMNS(metadata!B456:E456)</f>
        <v>0</v>
      </c>
      <c r="N456">
        <v>0</v>
      </c>
      <c r="P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Q456">
        <f>AND(IF(metadata!C456="",FALSE,TRUE),exact(metadata!C456,"other"))</f>
        <v>0</v>
      </c>
      <c r="R456">
        <f>AND(IF(metadata!D456="",FALSE,TRUE),exact(metadata!D456,"metagenome"))</f>
        <v>0</v>
      </c>
      <c r="S456">
        <f>AND(IF(metadata!E456="",FALSE,TRUE),exact(metadata!E456,"256318"))</f>
        <v>0</v>
      </c>
    </row>
    <row r="457" spans="1:19">
      <c r="A457" s="4">
        <f>IF(B457=" "," ",HYPERLINK(CONCATENATE("#metadata!",ADDRESS(INDEX($K$2:$K$1001,MATCH(ROWS($I$2:I457),$I$2:$I$1001,0),0),1)),INDEX($N$2:$N$1001,MATCH(ROWS($I$2:I457),$I$2:$I$1001,0),0)))</f>
        <v>0</v>
      </c>
      <c r="B457" s="3">
        <f>IF(OR(INDEX($J$2:$J$1001,MATCH(ROWS($I$2:I457),$I$2:$I$1001,0),1)&gt;=100000,INDEX($P$1005:$S$1005,1,MATCH(COLUMNS($P$1006:P1006),$P$1006:$S$1006,0))&gt;=100000), " ",IF(INDEX($P$2:$S$1001,MATCH(ROWS($I$2:I457),$I$2:$I$1001,0),MATCH(COLUMNS($P$1006:P1006),$P$1006:$S$1006,0)), HYPERLINK("#",""), HYPERLINK(CONCATENATE("#metadata!", ADDRESS(INDEX($K$2:$K$1001,MATCH(ROWS($I$2:I457),$I$2:$I$1001,0),0), INDEX($P$1004:$S$1004,1,MATCH(COLUMNS($P$1006:P1006),$P$1006:$S$1006,0)))),"Fix")))</f>
        <v>0</v>
      </c>
      <c r="C457" s="3">
        <f>IF(OR(INDEX($J$2:$J$1001,MATCH(ROWS($I$2:I457),$I$2:$I$1001,0),1)&gt;=100000,INDEX($P$1005:$S$1005,1,MATCH(COLUMNS($P$1006:Q1006),$P$1006:$S$1006,0))&gt;=100000), " ",IF(INDEX($P$2:$S$1001,MATCH(ROWS($I$2:I457),$I$2:$I$1001,0),MATCH(COLUMNS($P$1006:Q1006),$P$1006:$S$1006,0)), HYPERLINK("#",""), HYPERLINK(CONCATENATE("#metadata!", ADDRESS(INDEX($K$2:$K$1001,MATCH(ROWS($I$2:I457),$I$2:$I$1001,0),0), INDEX($P$1004:$S$1004,1,MATCH(COLUMNS($P$1006:Q1006),$P$1006:$S$1006,0)))),"Fix")))</f>
        <v>0</v>
      </c>
      <c r="D457" s="3">
        <f>IF(OR(INDEX($J$2:$J$1001,MATCH(ROWS($I$2:I457),$I$2:$I$1001,0),1)&gt;=100000,INDEX($P$1005:$S$1005,1,MATCH(COLUMNS($P$1006:R1006),$P$1006:$S$1006,0))&gt;=100000), " ",IF(INDEX($P$2:$S$1001,MATCH(ROWS($I$2:I457),$I$2:$I$1001,0),MATCH(COLUMNS($P$1006:R1006),$P$1006:$S$1006,0)), HYPERLINK("#",""), HYPERLINK(CONCATENATE("#metadata!", ADDRESS(INDEX($K$2:$K$1001,MATCH(ROWS($I$2:I457),$I$2:$I$1001,0),0), INDEX($P$1004:$S$1004,1,MATCH(COLUMNS($P$1006:R1006),$P$1006:$S$1006,0)))),"Fix")))</f>
        <v>0</v>
      </c>
      <c r="E457" s="3">
        <f>IF(OR(INDEX($J$2:$J$1001,MATCH(ROWS($I$2:I457),$I$2:$I$1001,0),1)&gt;=100000,INDEX($P$1005:$S$1005,1,MATCH(COLUMNS($P$1006:S1006),$P$1006:$S$1006,0))&gt;=100000), " ",IF(INDEX($P$2:$S$1001,MATCH(ROWS($I$2:I457),$I$2:$I$1001,0),MATCH(COLUMNS($P$1006:S1006),$P$1006:$S$1006,0)), HYPERLINK("#",""), HYPERLINK(CONCATENATE("#metadata!", ADDRESS(INDEX($K$2:$K$1001,MATCH(ROWS($I$2:I457),$I$2:$I$1001,0),0), INDEX($P$1004:$S$1004,1,MATCH(COLUMNS($P$1006:S1006),$P$1006:$S$1006,0)))),"Fix")))</f>
        <v>0</v>
      </c>
      <c r="I457">
        <v>0</v>
      </c>
      <c r="J457">
        <v>0</v>
      </c>
      <c r="K457">
        <v>0</v>
      </c>
      <c r="L457">
        <f>IF(M457,TRUE,AND(P457:S457))</f>
        <v>0</v>
      </c>
      <c r="M457">
        <f>COUNTBLANK(metadata!B457:E457)=COLUMNS(metadata!B457:E457)</f>
        <v>0</v>
      </c>
      <c r="N457">
        <v>0</v>
      </c>
      <c r="P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Q457">
        <f>AND(IF(metadata!C457="",FALSE,TRUE),exact(metadata!C457,"other"))</f>
        <v>0</v>
      </c>
      <c r="R457">
        <f>AND(IF(metadata!D457="",FALSE,TRUE),exact(metadata!D457,"metagenome"))</f>
        <v>0</v>
      </c>
      <c r="S457">
        <f>AND(IF(metadata!E457="",FALSE,TRUE),exact(metadata!E457,"256318"))</f>
        <v>0</v>
      </c>
    </row>
    <row r="458" spans="1:19">
      <c r="A458" s="4">
        <f>IF(B458=" "," ",HYPERLINK(CONCATENATE("#metadata!",ADDRESS(INDEX($K$2:$K$1001,MATCH(ROWS($I$2:I458),$I$2:$I$1001,0),0),1)),INDEX($N$2:$N$1001,MATCH(ROWS($I$2:I458),$I$2:$I$1001,0),0)))</f>
        <v>0</v>
      </c>
      <c r="B458" s="3">
        <f>IF(OR(INDEX($J$2:$J$1001,MATCH(ROWS($I$2:I458),$I$2:$I$1001,0),1)&gt;=100000,INDEX($P$1005:$S$1005,1,MATCH(COLUMNS($P$1006:P1006),$P$1006:$S$1006,0))&gt;=100000), " ",IF(INDEX($P$2:$S$1001,MATCH(ROWS($I$2:I458),$I$2:$I$1001,0),MATCH(COLUMNS($P$1006:P1006),$P$1006:$S$1006,0)), HYPERLINK("#",""), HYPERLINK(CONCATENATE("#metadata!", ADDRESS(INDEX($K$2:$K$1001,MATCH(ROWS($I$2:I458),$I$2:$I$1001,0),0), INDEX($P$1004:$S$1004,1,MATCH(COLUMNS($P$1006:P1006),$P$1006:$S$1006,0)))),"Fix")))</f>
        <v>0</v>
      </c>
      <c r="C458" s="3">
        <f>IF(OR(INDEX($J$2:$J$1001,MATCH(ROWS($I$2:I458),$I$2:$I$1001,0),1)&gt;=100000,INDEX($P$1005:$S$1005,1,MATCH(COLUMNS($P$1006:Q1006),$P$1006:$S$1006,0))&gt;=100000), " ",IF(INDEX($P$2:$S$1001,MATCH(ROWS($I$2:I458),$I$2:$I$1001,0),MATCH(COLUMNS($P$1006:Q1006),$P$1006:$S$1006,0)), HYPERLINK("#",""), HYPERLINK(CONCATENATE("#metadata!", ADDRESS(INDEX($K$2:$K$1001,MATCH(ROWS($I$2:I458),$I$2:$I$1001,0),0), INDEX($P$1004:$S$1004,1,MATCH(COLUMNS($P$1006:Q1006),$P$1006:$S$1006,0)))),"Fix")))</f>
        <v>0</v>
      </c>
      <c r="D458" s="3">
        <f>IF(OR(INDEX($J$2:$J$1001,MATCH(ROWS($I$2:I458),$I$2:$I$1001,0),1)&gt;=100000,INDEX($P$1005:$S$1005,1,MATCH(COLUMNS($P$1006:R1006),$P$1006:$S$1006,0))&gt;=100000), " ",IF(INDEX($P$2:$S$1001,MATCH(ROWS($I$2:I458),$I$2:$I$1001,0),MATCH(COLUMNS($P$1006:R1006),$P$1006:$S$1006,0)), HYPERLINK("#",""), HYPERLINK(CONCATENATE("#metadata!", ADDRESS(INDEX($K$2:$K$1001,MATCH(ROWS($I$2:I458),$I$2:$I$1001,0),0), INDEX($P$1004:$S$1004,1,MATCH(COLUMNS($P$1006:R1006),$P$1006:$S$1006,0)))),"Fix")))</f>
        <v>0</v>
      </c>
      <c r="E458" s="3">
        <f>IF(OR(INDEX($J$2:$J$1001,MATCH(ROWS($I$2:I458),$I$2:$I$1001,0),1)&gt;=100000,INDEX($P$1005:$S$1005,1,MATCH(COLUMNS($P$1006:S1006),$P$1006:$S$1006,0))&gt;=100000), " ",IF(INDEX($P$2:$S$1001,MATCH(ROWS($I$2:I458),$I$2:$I$1001,0),MATCH(COLUMNS($P$1006:S1006),$P$1006:$S$1006,0)), HYPERLINK("#",""), HYPERLINK(CONCATENATE("#metadata!", ADDRESS(INDEX($K$2:$K$1001,MATCH(ROWS($I$2:I458),$I$2:$I$1001,0),0), INDEX($P$1004:$S$1004,1,MATCH(COLUMNS($P$1006:S1006),$P$1006:$S$1006,0)))),"Fix")))</f>
        <v>0</v>
      </c>
      <c r="I458">
        <v>0</v>
      </c>
      <c r="J458">
        <v>0</v>
      </c>
      <c r="K458">
        <v>0</v>
      </c>
      <c r="L458">
        <f>IF(M458,TRUE,AND(P458:S458))</f>
        <v>0</v>
      </c>
      <c r="M458">
        <f>COUNTBLANK(metadata!B458:E458)=COLUMNS(metadata!B458:E458)</f>
        <v>0</v>
      </c>
      <c r="N458">
        <v>0</v>
      </c>
      <c r="P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Q458">
        <f>AND(IF(metadata!C458="",FALSE,TRUE),exact(metadata!C458,"other"))</f>
        <v>0</v>
      </c>
      <c r="R458">
        <f>AND(IF(metadata!D458="",FALSE,TRUE),exact(metadata!D458,"metagenome"))</f>
        <v>0</v>
      </c>
      <c r="S458">
        <f>AND(IF(metadata!E458="",FALSE,TRUE),exact(metadata!E458,"256318"))</f>
        <v>0</v>
      </c>
    </row>
    <row r="459" spans="1:19">
      <c r="A459" s="4">
        <f>IF(B459=" "," ",HYPERLINK(CONCATENATE("#metadata!",ADDRESS(INDEX($K$2:$K$1001,MATCH(ROWS($I$2:I459),$I$2:$I$1001,0),0),1)),INDEX($N$2:$N$1001,MATCH(ROWS($I$2:I459),$I$2:$I$1001,0),0)))</f>
        <v>0</v>
      </c>
      <c r="B459" s="3">
        <f>IF(OR(INDEX($J$2:$J$1001,MATCH(ROWS($I$2:I459),$I$2:$I$1001,0),1)&gt;=100000,INDEX($P$1005:$S$1005,1,MATCH(COLUMNS($P$1006:P1006),$P$1006:$S$1006,0))&gt;=100000), " ",IF(INDEX($P$2:$S$1001,MATCH(ROWS($I$2:I459),$I$2:$I$1001,0),MATCH(COLUMNS($P$1006:P1006),$P$1006:$S$1006,0)), HYPERLINK("#",""), HYPERLINK(CONCATENATE("#metadata!", ADDRESS(INDEX($K$2:$K$1001,MATCH(ROWS($I$2:I459),$I$2:$I$1001,0),0), INDEX($P$1004:$S$1004,1,MATCH(COLUMNS($P$1006:P1006),$P$1006:$S$1006,0)))),"Fix")))</f>
        <v>0</v>
      </c>
      <c r="C459" s="3">
        <f>IF(OR(INDEX($J$2:$J$1001,MATCH(ROWS($I$2:I459),$I$2:$I$1001,0),1)&gt;=100000,INDEX($P$1005:$S$1005,1,MATCH(COLUMNS($P$1006:Q1006),$P$1006:$S$1006,0))&gt;=100000), " ",IF(INDEX($P$2:$S$1001,MATCH(ROWS($I$2:I459),$I$2:$I$1001,0),MATCH(COLUMNS($P$1006:Q1006),$P$1006:$S$1006,0)), HYPERLINK("#",""), HYPERLINK(CONCATENATE("#metadata!", ADDRESS(INDEX($K$2:$K$1001,MATCH(ROWS($I$2:I459),$I$2:$I$1001,0),0), INDEX($P$1004:$S$1004,1,MATCH(COLUMNS($P$1006:Q1006),$P$1006:$S$1006,0)))),"Fix")))</f>
        <v>0</v>
      </c>
      <c r="D459" s="3">
        <f>IF(OR(INDEX($J$2:$J$1001,MATCH(ROWS($I$2:I459),$I$2:$I$1001,0),1)&gt;=100000,INDEX($P$1005:$S$1005,1,MATCH(COLUMNS($P$1006:R1006),$P$1006:$S$1006,0))&gt;=100000), " ",IF(INDEX($P$2:$S$1001,MATCH(ROWS($I$2:I459),$I$2:$I$1001,0),MATCH(COLUMNS($P$1006:R1006),$P$1006:$S$1006,0)), HYPERLINK("#",""), HYPERLINK(CONCATENATE("#metadata!", ADDRESS(INDEX($K$2:$K$1001,MATCH(ROWS($I$2:I459),$I$2:$I$1001,0),0), INDEX($P$1004:$S$1004,1,MATCH(COLUMNS($P$1006:R1006),$P$1006:$S$1006,0)))),"Fix")))</f>
        <v>0</v>
      </c>
      <c r="E459" s="3">
        <f>IF(OR(INDEX($J$2:$J$1001,MATCH(ROWS($I$2:I459),$I$2:$I$1001,0),1)&gt;=100000,INDEX($P$1005:$S$1005,1,MATCH(COLUMNS($P$1006:S1006),$P$1006:$S$1006,0))&gt;=100000), " ",IF(INDEX($P$2:$S$1001,MATCH(ROWS($I$2:I459),$I$2:$I$1001,0),MATCH(COLUMNS($P$1006:S1006),$P$1006:$S$1006,0)), HYPERLINK("#",""), HYPERLINK(CONCATENATE("#metadata!", ADDRESS(INDEX($K$2:$K$1001,MATCH(ROWS($I$2:I459),$I$2:$I$1001,0),0), INDEX($P$1004:$S$1004,1,MATCH(COLUMNS($P$1006:S1006),$P$1006:$S$1006,0)))),"Fix")))</f>
        <v>0</v>
      </c>
      <c r="I459">
        <v>0</v>
      </c>
      <c r="J459">
        <v>0</v>
      </c>
      <c r="K459">
        <v>0</v>
      </c>
      <c r="L459">
        <f>IF(M459,TRUE,AND(P459:S459))</f>
        <v>0</v>
      </c>
      <c r="M459">
        <f>COUNTBLANK(metadata!B459:E459)=COLUMNS(metadata!B459:E459)</f>
        <v>0</v>
      </c>
      <c r="N459">
        <v>0</v>
      </c>
      <c r="P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Q459">
        <f>AND(IF(metadata!C459="",FALSE,TRUE),exact(metadata!C459,"other"))</f>
        <v>0</v>
      </c>
      <c r="R459">
        <f>AND(IF(metadata!D459="",FALSE,TRUE),exact(metadata!D459,"metagenome"))</f>
        <v>0</v>
      </c>
      <c r="S459">
        <f>AND(IF(metadata!E459="",FALSE,TRUE),exact(metadata!E459,"256318"))</f>
        <v>0</v>
      </c>
    </row>
    <row r="460" spans="1:19">
      <c r="A460" s="4">
        <f>IF(B460=" "," ",HYPERLINK(CONCATENATE("#metadata!",ADDRESS(INDEX($K$2:$K$1001,MATCH(ROWS($I$2:I460),$I$2:$I$1001,0),0),1)),INDEX($N$2:$N$1001,MATCH(ROWS($I$2:I460),$I$2:$I$1001,0),0)))</f>
        <v>0</v>
      </c>
      <c r="B460" s="3">
        <f>IF(OR(INDEX($J$2:$J$1001,MATCH(ROWS($I$2:I460),$I$2:$I$1001,0),1)&gt;=100000,INDEX($P$1005:$S$1005,1,MATCH(COLUMNS($P$1006:P1006),$P$1006:$S$1006,0))&gt;=100000), " ",IF(INDEX($P$2:$S$1001,MATCH(ROWS($I$2:I460),$I$2:$I$1001,0),MATCH(COLUMNS($P$1006:P1006),$P$1006:$S$1006,0)), HYPERLINK("#",""), HYPERLINK(CONCATENATE("#metadata!", ADDRESS(INDEX($K$2:$K$1001,MATCH(ROWS($I$2:I460),$I$2:$I$1001,0),0), INDEX($P$1004:$S$1004,1,MATCH(COLUMNS($P$1006:P1006),$P$1006:$S$1006,0)))),"Fix")))</f>
        <v>0</v>
      </c>
      <c r="C460" s="3">
        <f>IF(OR(INDEX($J$2:$J$1001,MATCH(ROWS($I$2:I460),$I$2:$I$1001,0),1)&gt;=100000,INDEX($P$1005:$S$1005,1,MATCH(COLUMNS($P$1006:Q1006),$P$1006:$S$1006,0))&gt;=100000), " ",IF(INDEX($P$2:$S$1001,MATCH(ROWS($I$2:I460),$I$2:$I$1001,0),MATCH(COLUMNS($P$1006:Q1006),$P$1006:$S$1006,0)), HYPERLINK("#",""), HYPERLINK(CONCATENATE("#metadata!", ADDRESS(INDEX($K$2:$K$1001,MATCH(ROWS($I$2:I460),$I$2:$I$1001,0),0), INDEX($P$1004:$S$1004,1,MATCH(COLUMNS($P$1006:Q1006),$P$1006:$S$1006,0)))),"Fix")))</f>
        <v>0</v>
      </c>
      <c r="D460" s="3">
        <f>IF(OR(INDEX($J$2:$J$1001,MATCH(ROWS($I$2:I460),$I$2:$I$1001,0),1)&gt;=100000,INDEX($P$1005:$S$1005,1,MATCH(COLUMNS($P$1006:R1006),$P$1006:$S$1006,0))&gt;=100000), " ",IF(INDEX($P$2:$S$1001,MATCH(ROWS($I$2:I460),$I$2:$I$1001,0),MATCH(COLUMNS($P$1006:R1006),$P$1006:$S$1006,0)), HYPERLINK("#",""), HYPERLINK(CONCATENATE("#metadata!", ADDRESS(INDEX($K$2:$K$1001,MATCH(ROWS($I$2:I460),$I$2:$I$1001,0),0), INDEX($P$1004:$S$1004,1,MATCH(COLUMNS($P$1006:R1006),$P$1006:$S$1006,0)))),"Fix")))</f>
        <v>0</v>
      </c>
      <c r="E460" s="3">
        <f>IF(OR(INDEX($J$2:$J$1001,MATCH(ROWS($I$2:I460),$I$2:$I$1001,0),1)&gt;=100000,INDEX($P$1005:$S$1005,1,MATCH(COLUMNS($P$1006:S1006),$P$1006:$S$1006,0))&gt;=100000), " ",IF(INDEX($P$2:$S$1001,MATCH(ROWS($I$2:I460),$I$2:$I$1001,0),MATCH(COLUMNS($P$1006:S1006),$P$1006:$S$1006,0)), HYPERLINK("#",""), HYPERLINK(CONCATENATE("#metadata!", ADDRESS(INDEX($K$2:$K$1001,MATCH(ROWS($I$2:I460),$I$2:$I$1001,0),0), INDEX($P$1004:$S$1004,1,MATCH(COLUMNS($P$1006:S1006),$P$1006:$S$1006,0)))),"Fix")))</f>
        <v>0</v>
      </c>
      <c r="I460">
        <v>0</v>
      </c>
      <c r="J460">
        <v>0</v>
      </c>
      <c r="K460">
        <v>0</v>
      </c>
      <c r="L460">
        <f>IF(M460,TRUE,AND(P460:S460))</f>
        <v>0</v>
      </c>
      <c r="M460">
        <f>COUNTBLANK(metadata!B460:E460)=COLUMNS(metadata!B460:E460)</f>
        <v>0</v>
      </c>
      <c r="N460">
        <v>0</v>
      </c>
      <c r="P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Q460">
        <f>AND(IF(metadata!C460="",FALSE,TRUE),exact(metadata!C460,"other"))</f>
        <v>0</v>
      </c>
      <c r="R460">
        <f>AND(IF(metadata!D460="",FALSE,TRUE),exact(metadata!D460,"metagenome"))</f>
        <v>0</v>
      </c>
      <c r="S460">
        <f>AND(IF(metadata!E460="",FALSE,TRUE),exact(metadata!E460,"256318"))</f>
        <v>0</v>
      </c>
    </row>
    <row r="461" spans="1:19">
      <c r="A461" s="4">
        <f>IF(B461=" "," ",HYPERLINK(CONCATENATE("#metadata!",ADDRESS(INDEX($K$2:$K$1001,MATCH(ROWS($I$2:I461),$I$2:$I$1001,0),0),1)),INDEX($N$2:$N$1001,MATCH(ROWS($I$2:I461),$I$2:$I$1001,0),0)))</f>
        <v>0</v>
      </c>
      <c r="B461" s="3">
        <f>IF(OR(INDEX($J$2:$J$1001,MATCH(ROWS($I$2:I461),$I$2:$I$1001,0),1)&gt;=100000,INDEX($P$1005:$S$1005,1,MATCH(COLUMNS($P$1006:P1006),$P$1006:$S$1006,0))&gt;=100000), " ",IF(INDEX($P$2:$S$1001,MATCH(ROWS($I$2:I461),$I$2:$I$1001,0),MATCH(COLUMNS($P$1006:P1006),$P$1006:$S$1006,0)), HYPERLINK("#",""), HYPERLINK(CONCATENATE("#metadata!", ADDRESS(INDEX($K$2:$K$1001,MATCH(ROWS($I$2:I461),$I$2:$I$1001,0),0), INDEX($P$1004:$S$1004,1,MATCH(COLUMNS($P$1006:P1006),$P$1006:$S$1006,0)))),"Fix")))</f>
        <v>0</v>
      </c>
      <c r="C461" s="3">
        <f>IF(OR(INDEX($J$2:$J$1001,MATCH(ROWS($I$2:I461),$I$2:$I$1001,0),1)&gt;=100000,INDEX($P$1005:$S$1005,1,MATCH(COLUMNS($P$1006:Q1006),$P$1006:$S$1006,0))&gt;=100000), " ",IF(INDEX($P$2:$S$1001,MATCH(ROWS($I$2:I461),$I$2:$I$1001,0),MATCH(COLUMNS($P$1006:Q1006),$P$1006:$S$1006,0)), HYPERLINK("#",""), HYPERLINK(CONCATENATE("#metadata!", ADDRESS(INDEX($K$2:$K$1001,MATCH(ROWS($I$2:I461),$I$2:$I$1001,0),0), INDEX($P$1004:$S$1004,1,MATCH(COLUMNS($P$1006:Q1006),$P$1006:$S$1006,0)))),"Fix")))</f>
        <v>0</v>
      </c>
      <c r="D461" s="3">
        <f>IF(OR(INDEX($J$2:$J$1001,MATCH(ROWS($I$2:I461),$I$2:$I$1001,0),1)&gt;=100000,INDEX($P$1005:$S$1005,1,MATCH(COLUMNS($P$1006:R1006),$P$1006:$S$1006,0))&gt;=100000), " ",IF(INDEX($P$2:$S$1001,MATCH(ROWS($I$2:I461),$I$2:$I$1001,0),MATCH(COLUMNS($P$1006:R1006),$P$1006:$S$1006,0)), HYPERLINK("#",""), HYPERLINK(CONCATENATE("#metadata!", ADDRESS(INDEX($K$2:$K$1001,MATCH(ROWS($I$2:I461),$I$2:$I$1001,0),0), INDEX($P$1004:$S$1004,1,MATCH(COLUMNS($P$1006:R1006),$P$1006:$S$1006,0)))),"Fix")))</f>
        <v>0</v>
      </c>
      <c r="E461" s="3">
        <f>IF(OR(INDEX($J$2:$J$1001,MATCH(ROWS($I$2:I461),$I$2:$I$1001,0),1)&gt;=100000,INDEX($P$1005:$S$1005,1,MATCH(COLUMNS($P$1006:S1006),$P$1006:$S$1006,0))&gt;=100000), " ",IF(INDEX($P$2:$S$1001,MATCH(ROWS($I$2:I461),$I$2:$I$1001,0),MATCH(COLUMNS($P$1006:S1006),$P$1006:$S$1006,0)), HYPERLINK("#",""), HYPERLINK(CONCATENATE("#metadata!", ADDRESS(INDEX($K$2:$K$1001,MATCH(ROWS($I$2:I461),$I$2:$I$1001,0),0), INDEX($P$1004:$S$1004,1,MATCH(COLUMNS($P$1006:S1006),$P$1006:$S$1006,0)))),"Fix")))</f>
        <v>0</v>
      </c>
      <c r="I461">
        <v>0</v>
      </c>
      <c r="J461">
        <v>0</v>
      </c>
      <c r="K461">
        <v>0</v>
      </c>
      <c r="L461">
        <f>IF(M461,TRUE,AND(P461:S461))</f>
        <v>0</v>
      </c>
      <c r="M461">
        <f>COUNTBLANK(metadata!B461:E461)=COLUMNS(metadata!B461:E461)</f>
        <v>0</v>
      </c>
      <c r="N461">
        <v>0</v>
      </c>
      <c r="P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Q461">
        <f>AND(IF(metadata!C461="",FALSE,TRUE),exact(metadata!C461,"other"))</f>
        <v>0</v>
      </c>
      <c r="R461">
        <f>AND(IF(metadata!D461="",FALSE,TRUE),exact(metadata!D461,"metagenome"))</f>
        <v>0</v>
      </c>
      <c r="S461">
        <f>AND(IF(metadata!E461="",FALSE,TRUE),exact(metadata!E461,"256318"))</f>
        <v>0</v>
      </c>
    </row>
    <row r="462" spans="1:19">
      <c r="A462" s="4">
        <f>IF(B462=" "," ",HYPERLINK(CONCATENATE("#metadata!",ADDRESS(INDEX($K$2:$K$1001,MATCH(ROWS($I$2:I462),$I$2:$I$1001,0),0),1)),INDEX($N$2:$N$1001,MATCH(ROWS($I$2:I462),$I$2:$I$1001,0),0)))</f>
        <v>0</v>
      </c>
      <c r="B462" s="3">
        <f>IF(OR(INDEX($J$2:$J$1001,MATCH(ROWS($I$2:I462),$I$2:$I$1001,0),1)&gt;=100000,INDEX($P$1005:$S$1005,1,MATCH(COLUMNS($P$1006:P1006),$P$1006:$S$1006,0))&gt;=100000), " ",IF(INDEX($P$2:$S$1001,MATCH(ROWS($I$2:I462),$I$2:$I$1001,0),MATCH(COLUMNS($P$1006:P1006),$P$1006:$S$1006,0)), HYPERLINK("#",""), HYPERLINK(CONCATENATE("#metadata!", ADDRESS(INDEX($K$2:$K$1001,MATCH(ROWS($I$2:I462),$I$2:$I$1001,0),0), INDEX($P$1004:$S$1004,1,MATCH(COLUMNS($P$1006:P1006),$P$1006:$S$1006,0)))),"Fix")))</f>
        <v>0</v>
      </c>
      <c r="C462" s="3">
        <f>IF(OR(INDEX($J$2:$J$1001,MATCH(ROWS($I$2:I462),$I$2:$I$1001,0),1)&gt;=100000,INDEX($P$1005:$S$1005,1,MATCH(COLUMNS($P$1006:Q1006),$P$1006:$S$1006,0))&gt;=100000), " ",IF(INDEX($P$2:$S$1001,MATCH(ROWS($I$2:I462),$I$2:$I$1001,0),MATCH(COLUMNS($P$1006:Q1006),$P$1006:$S$1006,0)), HYPERLINK("#",""), HYPERLINK(CONCATENATE("#metadata!", ADDRESS(INDEX($K$2:$K$1001,MATCH(ROWS($I$2:I462),$I$2:$I$1001,0),0), INDEX($P$1004:$S$1004,1,MATCH(COLUMNS($P$1006:Q1006),$P$1006:$S$1006,0)))),"Fix")))</f>
        <v>0</v>
      </c>
      <c r="D462" s="3">
        <f>IF(OR(INDEX($J$2:$J$1001,MATCH(ROWS($I$2:I462),$I$2:$I$1001,0),1)&gt;=100000,INDEX($P$1005:$S$1005,1,MATCH(COLUMNS($P$1006:R1006),$P$1006:$S$1006,0))&gt;=100000), " ",IF(INDEX($P$2:$S$1001,MATCH(ROWS($I$2:I462),$I$2:$I$1001,0),MATCH(COLUMNS($P$1006:R1006),$P$1006:$S$1006,0)), HYPERLINK("#",""), HYPERLINK(CONCATENATE("#metadata!", ADDRESS(INDEX($K$2:$K$1001,MATCH(ROWS($I$2:I462),$I$2:$I$1001,0),0), INDEX($P$1004:$S$1004,1,MATCH(COLUMNS($P$1006:R1006),$P$1006:$S$1006,0)))),"Fix")))</f>
        <v>0</v>
      </c>
      <c r="E462" s="3">
        <f>IF(OR(INDEX($J$2:$J$1001,MATCH(ROWS($I$2:I462),$I$2:$I$1001,0),1)&gt;=100000,INDEX($P$1005:$S$1005,1,MATCH(COLUMNS($P$1006:S1006),$P$1006:$S$1006,0))&gt;=100000), " ",IF(INDEX($P$2:$S$1001,MATCH(ROWS($I$2:I462),$I$2:$I$1001,0),MATCH(COLUMNS($P$1006:S1006),$P$1006:$S$1006,0)), HYPERLINK("#",""), HYPERLINK(CONCATENATE("#metadata!", ADDRESS(INDEX($K$2:$K$1001,MATCH(ROWS($I$2:I462),$I$2:$I$1001,0),0), INDEX($P$1004:$S$1004,1,MATCH(COLUMNS($P$1006:S1006),$P$1006:$S$1006,0)))),"Fix")))</f>
        <v>0</v>
      </c>
      <c r="I462">
        <v>0</v>
      </c>
      <c r="J462">
        <v>0</v>
      </c>
      <c r="K462">
        <v>0</v>
      </c>
      <c r="L462">
        <f>IF(M462,TRUE,AND(P462:S462))</f>
        <v>0</v>
      </c>
      <c r="M462">
        <f>COUNTBLANK(metadata!B462:E462)=COLUMNS(metadata!B462:E462)</f>
        <v>0</v>
      </c>
      <c r="N462">
        <v>0</v>
      </c>
      <c r="P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Q462">
        <f>AND(IF(metadata!C462="",FALSE,TRUE),exact(metadata!C462,"other"))</f>
        <v>0</v>
      </c>
      <c r="R462">
        <f>AND(IF(metadata!D462="",FALSE,TRUE),exact(metadata!D462,"metagenome"))</f>
        <v>0</v>
      </c>
      <c r="S462">
        <f>AND(IF(metadata!E462="",FALSE,TRUE),exact(metadata!E462,"256318"))</f>
        <v>0</v>
      </c>
    </row>
    <row r="463" spans="1:19">
      <c r="A463" s="4">
        <f>IF(B463=" "," ",HYPERLINK(CONCATENATE("#metadata!",ADDRESS(INDEX($K$2:$K$1001,MATCH(ROWS($I$2:I463),$I$2:$I$1001,0),0),1)),INDEX($N$2:$N$1001,MATCH(ROWS($I$2:I463),$I$2:$I$1001,0),0)))</f>
        <v>0</v>
      </c>
      <c r="B463" s="3">
        <f>IF(OR(INDEX($J$2:$J$1001,MATCH(ROWS($I$2:I463),$I$2:$I$1001,0),1)&gt;=100000,INDEX($P$1005:$S$1005,1,MATCH(COLUMNS($P$1006:P1006),$P$1006:$S$1006,0))&gt;=100000), " ",IF(INDEX($P$2:$S$1001,MATCH(ROWS($I$2:I463),$I$2:$I$1001,0),MATCH(COLUMNS($P$1006:P1006),$P$1006:$S$1006,0)), HYPERLINK("#",""), HYPERLINK(CONCATENATE("#metadata!", ADDRESS(INDEX($K$2:$K$1001,MATCH(ROWS($I$2:I463),$I$2:$I$1001,0),0), INDEX($P$1004:$S$1004,1,MATCH(COLUMNS($P$1006:P1006),$P$1006:$S$1006,0)))),"Fix")))</f>
        <v>0</v>
      </c>
      <c r="C463" s="3">
        <f>IF(OR(INDEX($J$2:$J$1001,MATCH(ROWS($I$2:I463),$I$2:$I$1001,0),1)&gt;=100000,INDEX($P$1005:$S$1005,1,MATCH(COLUMNS($P$1006:Q1006),$P$1006:$S$1006,0))&gt;=100000), " ",IF(INDEX($P$2:$S$1001,MATCH(ROWS($I$2:I463),$I$2:$I$1001,0),MATCH(COLUMNS($P$1006:Q1006),$P$1006:$S$1006,0)), HYPERLINK("#",""), HYPERLINK(CONCATENATE("#metadata!", ADDRESS(INDEX($K$2:$K$1001,MATCH(ROWS($I$2:I463),$I$2:$I$1001,0),0), INDEX($P$1004:$S$1004,1,MATCH(COLUMNS($P$1006:Q1006),$P$1006:$S$1006,0)))),"Fix")))</f>
        <v>0</v>
      </c>
      <c r="D463" s="3">
        <f>IF(OR(INDEX($J$2:$J$1001,MATCH(ROWS($I$2:I463),$I$2:$I$1001,0),1)&gt;=100000,INDEX($P$1005:$S$1005,1,MATCH(COLUMNS($P$1006:R1006),$P$1006:$S$1006,0))&gt;=100000), " ",IF(INDEX($P$2:$S$1001,MATCH(ROWS($I$2:I463),$I$2:$I$1001,0),MATCH(COLUMNS($P$1006:R1006),$P$1006:$S$1006,0)), HYPERLINK("#",""), HYPERLINK(CONCATENATE("#metadata!", ADDRESS(INDEX($K$2:$K$1001,MATCH(ROWS($I$2:I463),$I$2:$I$1001,0),0), INDEX($P$1004:$S$1004,1,MATCH(COLUMNS($P$1006:R1006),$P$1006:$S$1006,0)))),"Fix")))</f>
        <v>0</v>
      </c>
      <c r="E463" s="3">
        <f>IF(OR(INDEX($J$2:$J$1001,MATCH(ROWS($I$2:I463),$I$2:$I$1001,0),1)&gt;=100000,INDEX($P$1005:$S$1005,1,MATCH(COLUMNS($P$1006:S1006),$P$1006:$S$1006,0))&gt;=100000), " ",IF(INDEX($P$2:$S$1001,MATCH(ROWS($I$2:I463),$I$2:$I$1001,0),MATCH(COLUMNS($P$1006:S1006),$P$1006:$S$1006,0)), HYPERLINK("#",""), HYPERLINK(CONCATENATE("#metadata!", ADDRESS(INDEX($K$2:$K$1001,MATCH(ROWS($I$2:I463),$I$2:$I$1001,0),0), INDEX($P$1004:$S$1004,1,MATCH(COLUMNS($P$1006:S1006),$P$1006:$S$1006,0)))),"Fix")))</f>
        <v>0</v>
      </c>
      <c r="I463">
        <v>0</v>
      </c>
      <c r="J463">
        <v>0</v>
      </c>
      <c r="K463">
        <v>0</v>
      </c>
      <c r="L463">
        <f>IF(M463,TRUE,AND(P463:S463))</f>
        <v>0</v>
      </c>
      <c r="M463">
        <f>COUNTBLANK(metadata!B463:E463)=COLUMNS(metadata!B463:E463)</f>
        <v>0</v>
      </c>
      <c r="N463">
        <v>0</v>
      </c>
      <c r="P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Q463">
        <f>AND(IF(metadata!C463="",FALSE,TRUE),exact(metadata!C463,"other"))</f>
        <v>0</v>
      </c>
      <c r="R463">
        <f>AND(IF(metadata!D463="",FALSE,TRUE),exact(metadata!D463,"metagenome"))</f>
        <v>0</v>
      </c>
      <c r="S463">
        <f>AND(IF(metadata!E463="",FALSE,TRUE),exact(metadata!E463,"256318"))</f>
        <v>0</v>
      </c>
    </row>
    <row r="464" spans="1:19">
      <c r="A464" s="4">
        <f>IF(B464=" "," ",HYPERLINK(CONCATENATE("#metadata!",ADDRESS(INDEX($K$2:$K$1001,MATCH(ROWS($I$2:I464),$I$2:$I$1001,0),0),1)),INDEX($N$2:$N$1001,MATCH(ROWS($I$2:I464),$I$2:$I$1001,0),0)))</f>
        <v>0</v>
      </c>
      <c r="B464" s="3">
        <f>IF(OR(INDEX($J$2:$J$1001,MATCH(ROWS($I$2:I464),$I$2:$I$1001,0),1)&gt;=100000,INDEX($P$1005:$S$1005,1,MATCH(COLUMNS($P$1006:P1006),$P$1006:$S$1006,0))&gt;=100000), " ",IF(INDEX($P$2:$S$1001,MATCH(ROWS($I$2:I464),$I$2:$I$1001,0),MATCH(COLUMNS($P$1006:P1006),$P$1006:$S$1006,0)), HYPERLINK("#",""), HYPERLINK(CONCATENATE("#metadata!", ADDRESS(INDEX($K$2:$K$1001,MATCH(ROWS($I$2:I464),$I$2:$I$1001,0),0), INDEX($P$1004:$S$1004,1,MATCH(COLUMNS($P$1006:P1006),$P$1006:$S$1006,0)))),"Fix")))</f>
        <v>0</v>
      </c>
      <c r="C464" s="3">
        <f>IF(OR(INDEX($J$2:$J$1001,MATCH(ROWS($I$2:I464),$I$2:$I$1001,0),1)&gt;=100000,INDEX($P$1005:$S$1005,1,MATCH(COLUMNS($P$1006:Q1006),$P$1006:$S$1006,0))&gt;=100000), " ",IF(INDEX($P$2:$S$1001,MATCH(ROWS($I$2:I464),$I$2:$I$1001,0),MATCH(COLUMNS($P$1006:Q1006),$P$1006:$S$1006,0)), HYPERLINK("#",""), HYPERLINK(CONCATENATE("#metadata!", ADDRESS(INDEX($K$2:$K$1001,MATCH(ROWS($I$2:I464),$I$2:$I$1001,0),0), INDEX($P$1004:$S$1004,1,MATCH(COLUMNS($P$1006:Q1006),$P$1006:$S$1006,0)))),"Fix")))</f>
        <v>0</v>
      </c>
      <c r="D464" s="3">
        <f>IF(OR(INDEX($J$2:$J$1001,MATCH(ROWS($I$2:I464),$I$2:$I$1001,0),1)&gt;=100000,INDEX($P$1005:$S$1005,1,MATCH(COLUMNS($P$1006:R1006),$P$1006:$S$1006,0))&gt;=100000), " ",IF(INDEX($P$2:$S$1001,MATCH(ROWS($I$2:I464),$I$2:$I$1001,0),MATCH(COLUMNS($P$1006:R1006),$P$1006:$S$1006,0)), HYPERLINK("#",""), HYPERLINK(CONCATENATE("#metadata!", ADDRESS(INDEX($K$2:$K$1001,MATCH(ROWS($I$2:I464),$I$2:$I$1001,0),0), INDEX($P$1004:$S$1004,1,MATCH(COLUMNS($P$1006:R1006),$P$1006:$S$1006,0)))),"Fix")))</f>
        <v>0</v>
      </c>
      <c r="E464" s="3">
        <f>IF(OR(INDEX($J$2:$J$1001,MATCH(ROWS($I$2:I464),$I$2:$I$1001,0),1)&gt;=100000,INDEX($P$1005:$S$1005,1,MATCH(COLUMNS($P$1006:S1006),$P$1006:$S$1006,0))&gt;=100000), " ",IF(INDEX($P$2:$S$1001,MATCH(ROWS($I$2:I464),$I$2:$I$1001,0),MATCH(COLUMNS($P$1006:S1006),$P$1006:$S$1006,0)), HYPERLINK("#",""), HYPERLINK(CONCATENATE("#metadata!", ADDRESS(INDEX($K$2:$K$1001,MATCH(ROWS($I$2:I464),$I$2:$I$1001,0),0), INDEX($P$1004:$S$1004,1,MATCH(COLUMNS($P$1006:S1006),$P$1006:$S$1006,0)))),"Fix")))</f>
        <v>0</v>
      </c>
      <c r="I464">
        <v>0</v>
      </c>
      <c r="J464">
        <v>0</v>
      </c>
      <c r="K464">
        <v>0</v>
      </c>
      <c r="L464">
        <f>IF(M464,TRUE,AND(P464:S464))</f>
        <v>0</v>
      </c>
      <c r="M464">
        <f>COUNTBLANK(metadata!B464:E464)=COLUMNS(metadata!B464:E464)</f>
        <v>0</v>
      </c>
      <c r="N464">
        <v>0</v>
      </c>
      <c r="P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Q464">
        <f>AND(IF(metadata!C464="",FALSE,TRUE),exact(metadata!C464,"other"))</f>
        <v>0</v>
      </c>
      <c r="R464">
        <f>AND(IF(metadata!D464="",FALSE,TRUE),exact(metadata!D464,"metagenome"))</f>
        <v>0</v>
      </c>
      <c r="S464">
        <f>AND(IF(metadata!E464="",FALSE,TRUE),exact(metadata!E464,"256318"))</f>
        <v>0</v>
      </c>
    </row>
    <row r="465" spans="1:19">
      <c r="A465" s="4">
        <f>IF(B465=" "," ",HYPERLINK(CONCATENATE("#metadata!",ADDRESS(INDEX($K$2:$K$1001,MATCH(ROWS($I$2:I465),$I$2:$I$1001,0),0),1)),INDEX($N$2:$N$1001,MATCH(ROWS($I$2:I465),$I$2:$I$1001,0),0)))</f>
        <v>0</v>
      </c>
      <c r="B465" s="3">
        <f>IF(OR(INDEX($J$2:$J$1001,MATCH(ROWS($I$2:I465),$I$2:$I$1001,0),1)&gt;=100000,INDEX($P$1005:$S$1005,1,MATCH(COLUMNS($P$1006:P1006),$P$1006:$S$1006,0))&gt;=100000), " ",IF(INDEX($P$2:$S$1001,MATCH(ROWS($I$2:I465),$I$2:$I$1001,0),MATCH(COLUMNS($P$1006:P1006),$P$1006:$S$1006,0)), HYPERLINK("#",""), HYPERLINK(CONCATENATE("#metadata!", ADDRESS(INDEX($K$2:$K$1001,MATCH(ROWS($I$2:I465),$I$2:$I$1001,0),0), INDEX($P$1004:$S$1004,1,MATCH(COLUMNS($P$1006:P1006),$P$1006:$S$1006,0)))),"Fix")))</f>
        <v>0</v>
      </c>
      <c r="C465" s="3">
        <f>IF(OR(INDEX($J$2:$J$1001,MATCH(ROWS($I$2:I465),$I$2:$I$1001,0),1)&gt;=100000,INDEX($P$1005:$S$1005,1,MATCH(COLUMNS($P$1006:Q1006),$P$1006:$S$1006,0))&gt;=100000), " ",IF(INDEX($P$2:$S$1001,MATCH(ROWS($I$2:I465),$I$2:$I$1001,0),MATCH(COLUMNS($P$1006:Q1006),$P$1006:$S$1006,0)), HYPERLINK("#",""), HYPERLINK(CONCATENATE("#metadata!", ADDRESS(INDEX($K$2:$K$1001,MATCH(ROWS($I$2:I465),$I$2:$I$1001,0),0), INDEX($P$1004:$S$1004,1,MATCH(COLUMNS($P$1006:Q1006),$P$1006:$S$1006,0)))),"Fix")))</f>
        <v>0</v>
      </c>
      <c r="D465" s="3">
        <f>IF(OR(INDEX($J$2:$J$1001,MATCH(ROWS($I$2:I465),$I$2:$I$1001,0),1)&gt;=100000,INDEX($P$1005:$S$1005,1,MATCH(COLUMNS($P$1006:R1006),$P$1006:$S$1006,0))&gt;=100000), " ",IF(INDEX($P$2:$S$1001,MATCH(ROWS($I$2:I465),$I$2:$I$1001,0),MATCH(COLUMNS($P$1006:R1006),$P$1006:$S$1006,0)), HYPERLINK("#",""), HYPERLINK(CONCATENATE("#metadata!", ADDRESS(INDEX($K$2:$K$1001,MATCH(ROWS($I$2:I465),$I$2:$I$1001,0),0), INDEX($P$1004:$S$1004,1,MATCH(COLUMNS($P$1006:R1006),$P$1006:$S$1006,0)))),"Fix")))</f>
        <v>0</v>
      </c>
      <c r="E465" s="3">
        <f>IF(OR(INDEX($J$2:$J$1001,MATCH(ROWS($I$2:I465),$I$2:$I$1001,0),1)&gt;=100000,INDEX($P$1005:$S$1005,1,MATCH(COLUMNS($P$1006:S1006),$P$1006:$S$1006,0))&gt;=100000), " ",IF(INDEX($P$2:$S$1001,MATCH(ROWS($I$2:I465),$I$2:$I$1001,0),MATCH(COLUMNS($P$1006:S1006),$P$1006:$S$1006,0)), HYPERLINK("#",""), HYPERLINK(CONCATENATE("#metadata!", ADDRESS(INDEX($K$2:$K$1001,MATCH(ROWS($I$2:I465),$I$2:$I$1001,0),0), INDEX($P$1004:$S$1004,1,MATCH(COLUMNS($P$1006:S1006),$P$1006:$S$1006,0)))),"Fix")))</f>
        <v>0</v>
      </c>
      <c r="I465">
        <v>0</v>
      </c>
      <c r="J465">
        <v>0</v>
      </c>
      <c r="K465">
        <v>0</v>
      </c>
      <c r="L465">
        <f>IF(M465,TRUE,AND(P465:S465))</f>
        <v>0</v>
      </c>
      <c r="M465">
        <f>COUNTBLANK(metadata!B465:E465)=COLUMNS(metadata!B465:E465)</f>
        <v>0</v>
      </c>
      <c r="N465">
        <v>0</v>
      </c>
      <c r="P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Q465">
        <f>AND(IF(metadata!C465="",FALSE,TRUE),exact(metadata!C465,"other"))</f>
        <v>0</v>
      </c>
      <c r="R465">
        <f>AND(IF(metadata!D465="",FALSE,TRUE),exact(metadata!D465,"metagenome"))</f>
        <v>0</v>
      </c>
      <c r="S465">
        <f>AND(IF(metadata!E465="",FALSE,TRUE),exact(metadata!E465,"256318"))</f>
        <v>0</v>
      </c>
    </row>
    <row r="466" spans="1:19">
      <c r="A466" s="4">
        <f>IF(B466=" "," ",HYPERLINK(CONCATENATE("#metadata!",ADDRESS(INDEX($K$2:$K$1001,MATCH(ROWS($I$2:I466),$I$2:$I$1001,0),0),1)),INDEX($N$2:$N$1001,MATCH(ROWS($I$2:I466),$I$2:$I$1001,0),0)))</f>
        <v>0</v>
      </c>
      <c r="B466" s="3">
        <f>IF(OR(INDEX($J$2:$J$1001,MATCH(ROWS($I$2:I466),$I$2:$I$1001,0),1)&gt;=100000,INDEX($P$1005:$S$1005,1,MATCH(COLUMNS($P$1006:P1006),$P$1006:$S$1006,0))&gt;=100000), " ",IF(INDEX($P$2:$S$1001,MATCH(ROWS($I$2:I466),$I$2:$I$1001,0),MATCH(COLUMNS($P$1006:P1006),$P$1006:$S$1006,0)), HYPERLINK("#",""), HYPERLINK(CONCATENATE("#metadata!", ADDRESS(INDEX($K$2:$K$1001,MATCH(ROWS($I$2:I466),$I$2:$I$1001,0),0), INDEX($P$1004:$S$1004,1,MATCH(COLUMNS($P$1006:P1006),$P$1006:$S$1006,0)))),"Fix")))</f>
        <v>0</v>
      </c>
      <c r="C466" s="3">
        <f>IF(OR(INDEX($J$2:$J$1001,MATCH(ROWS($I$2:I466),$I$2:$I$1001,0),1)&gt;=100000,INDEX($P$1005:$S$1005,1,MATCH(COLUMNS($P$1006:Q1006),$P$1006:$S$1006,0))&gt;=100000), " ",IF(INDEX($P$2:$S$1001,MATCH(ROWS($I$2:I466),$I$2:$I$1001,0),MATCH(COLUMNS($P$1006:Q1006),$P$1006:$S$1006,0)), HYPERLINK("#",""), HYPERLINK(CONCATENATE("#metadata!", ADDRESS(INDEX($K$2:$K$1001,MATCH(ROWS($I$2:I466),$I$2:$I$1001,0),0), INDEX($P$1004:$S$1004,1,MATCH(COLUMNS($P$1006:Q1006),$P$1006:$S$1006,0)))),"Fix")))</f>
        <v>0</v>
      </c>
      <c r="D466" s="3">
        <f>IF(OR(INDEX($J$2:$J$1001,MATCH(ROWS($I$2:I466),$I$2:$I$1001,0),1)&gt;=100000,INDEX($P$1005:$S$1005,1,MATCH(COLUMNS($P$1006:R1006),$P$1006:$S$1006,0))&gt;=100000), " ",IF(INDEX($P$2:$S$1001,MATCH(ROWS($I$2:I466),$I$2:$I$1001,0),MATCH(COLUMNS($P$1006:R1006),$P$1006:$S$1006,0)), HYPERLINK("#",""), HYPERLINK(CONCATENATE("#metadata!", ADDRESS(INDEX($K$2:$K$1001,MATCH(ROWS($I$2:I466),$I$2:$I$1001,0),0), INDEX($P$1004:$S$1004,1,MATCH(COLUMNS($P$1006:R1006),$P$1006:$S$1006,0)))),"Fix")))</f>
        <v>0</v>
      </c>
      <c r="E466" s="3">
        <f>IF(OR(INDEX($J$2:$J$1001,MATCH(ROWS($I$2:I466),$I$2:$I$1001,0),1)&gt;=100000,INDEX($P$1005:$S$1005,1,MATCH(COLUMNS($P$1006:S1006),$P$1006:$S$1006,0))&gt;=100000), " ",IF(INDEX($P$2:$S$1001,MATCH(ROWS($I$2:I466),$I$2:$I$1001,0),MATCH(COLUMNS($P$1006:S1006),$P$1006:$S$1006,0)), HYPERLINK("#",""), HYPERLINK(CONCATENATE("#metadata!", ADDRESS(INDEX($K$2:$K$1001,MATCH(ROWS($I$2:I466),$I$2:$I$1001,0),0), INDEX($P$1004:$S$1004,1,MATCH(COLUMNS($P$1006:S1006),$P$1006:$S$1006,0)))),"Fix")))</f>
        <v>0</v>
      </c>
      <c r="I466">
        <v>0</v>
      </c>
      <c r="J466">
        <v>0</v>
      </c>
      <c r="K466">
        <v>0</v>
      </c>
      <c r="L466">
        <f>IF(M466,TRUE,AND(P466:S466))</f>
        <v>0</v>
      </c>
      <c r="M466">
        <f>COUNTBLANK(metadata!B466:E466)=COLUMNS(metadata!B466:E466)</f>
        <v>0</v>
      </c>
      <c r="N466">
        <v>0</v>
      </c>
      <c r="P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Q466">
        <f>AND(IF(metadata!C466="",FALSE,TRUE),exact(metadata!C466,"other"))</f>
        <v>0</v>
      </c>
      <c r="R466">
        <f>AND(IF(metadata!D466="",FALSE,TRUE),exact(metadata!D466,"metagenome"))</f>
        <v>0</v>
      </c>
      <c r="S466">
        <f>AND(IF(metadata!E466="",FALSE,TRUE),exact(metadata!E466,"256318"))</f>
        <v>0</v>
      </c>
    </row>
    <row r="467" spans="1:19">
      <c r="A467" s="4">
        <f>IF(B467=" "," ",HYPERLINK(CONCATENATE("#metadata!",ADDRESS(INDEX($K$2:$K$1001,MATCH(ROWS($I$2:I467),$I$2:$I$1001,0),0),1)),INDEX($N$2:$N$1001,MATCH(ROWS($I$2:I467),$I$2:$I$1001,0),0)))</f>
        <v>0</v>
      </c>
      <c r="B467" s="3">
        <f>IF(OR(INDEX($J$2:$J$1001,MATCH(ROWS($I$2:I467),$I$2:$I$1001,0),1)&gt;=100000,INDEX($P$1005:$S$1005,1,MATCH(COLUMNS($P$1006:P1006),$P$1006:$S$1006,0))&gt;=100000), " ",IF(INDEX($P$2:$S$1001,MATCH(ROWS($I$2:I467),$I$2:$I$1001,0),MATCH(COLUMNS($P$1006:P1006),$P$1006:$S$1006,0)), HYPERLINK("#",""), HYPERLINK(CONCATENATE("#metadata!", ADDRESS(INDEX($K$2:$K$1001,MATCH(ROWS($I$2:I467),$I$2:$I$1001,0),0), INDEX($P$1004:$S$1004,1,MATCH(COLUMNS($P$1006:P1006),$P$1006:$S$1006,0)))),"Fix")))</f>
        <v>0</v>
      </c>
      <c r="C467" s="3">
        <f>IF(OR(INDEX($J$2:$J$1001,MATCH(ROWS($I$2:I467),$I$2:$I$1001,0),1)&gt;=100000,INDEX($P$1005:$S$1005,1,MATCH(COLUMNS($P$1006:Q1006),$P$1006:$S$1006,0))&gt;=100000), " ",IF(INDEX($P$2:$S$1001,MATCH(ROWS($I$2:I467),$I$2:$I$1001,0),MATCH(COLUMNS($P$1006:Q1006),$P$1006:$S$1006,0)), HYPERLINK("#",""), HYPERLINK(CONCATENATE("#metadata!", ADDRESS(INDEX($K$2:$K$1001,MATCH(ROWS($I$2:I467),$I$2:$I$1001,0),0), INDEX($P$1004:$S$1004,1,MATCH(COLUMNS($P$1006:Q1006),$P$1006:$S$1006,0)))),"Fix")))</f>
        <v>0</v>
      </c>
      <c r="D467" s="3">
        <f>IF(OR(INDEX($J$2:$J$1001,MATCH(ROWS($I$2:I467),$I$2:$I$1001,0),1)&gt;=100000,INDEX($P$1005:$S$1005,1,MATCH(COLUMNS($P$1006:R1006),$P$1006:$S$1006,0))&gt;=100000), " ",IF(INDEX($P$2:$S$1001,MATCH(ROWS($I$2:I467),$I$2:$I$1001,0),MATCH(COLUMNS($P$1006:R1006),$P$1006:$S$1006,0)), HYPERLINK("#",""), HYPERLINK(CONCATENATE("#metadata!", ADDRESS(INDEX($K$2:$K$1001,MATCH(ROWS($I$2:I467),$I$2:$I$1001,0),0), INDEX($P$1004:$S$1004,1,MATCH(COLUMNS($P$1006:R1006),$P$1006:$S$1006,0)))),"Fix")))</f>
        <v>0</v>
      </c>
      <c r="E467" s="3">
        <f>IF(OR(INDEX($J$2:$J$1001,MATCH(ROWS($I$2:I467),$I$2:$I$1001,0),1)&gt;=100000,INDEX($P$1005:$S$1005,1,MATCH(COLUMNS($P$1006:S1006),$P$1006:$S$1006,0))&gt;=100000), " ",IF(INDEX($P$2:$S$1001,MATCH(ROWS($I$2:I467),$I$2:$I$1001,0),MATCH(COLUMNS($P$1006:S1006),$P$1006:$S$1006,0)), HYPERLINK("#",""), HYPERLINK(CONCATENATE("#metadata!", ADDRESS(INDEX($K$2:$K$1001,MATCH(ROWS($I$2:I467),$I$2:$I$1001,0),0), INDEX($P$1004:$S$1004,1,MATCH(COLUMNS($P$1006:S1006),$P$1006:$S$1006,0)))),"Fix")))</f>
        <v>0</v>
      </c>
      <c r="I467">
        <v>0</v>
      </c>
      <c r="J467">
        <v>0</v>
      </c>
      <c r="K467">
        <v>0</v>
      </c>
      <c r="L467">
        <f>IF(M467,TRUE,AND(P467:S467))</f>
        <v>0</v>
      </c>
      <c r="M467">
        <f>COUNTBLANK(metadata!B467:E467)=COLUMNS(metadata!B467:E467)</f>
        <v>0</v>
      </c>
      <c r="N467">
        <v>0</v>
      </c>
      <c r="P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Q467">
        <f>AND(IF(metadata!C467="",FALSE,TRUE),exact(metadata!C467,"other"))</f>
        <v>0</v>
      </c>
      <c r="R467">
        <f>AND(IF(metadata!D467="",FALSE,TRUE),exact(metadata!D467,"metagenome"))</f>
        <v>0</v>
      </c>
      <c r="S467">
        <f>AND(IF(metadata!E467="",FALSE,TRUE),exact(metadata!E467,"256318"))</f>
        <v>0</v>
      </c>
    </row>
    <row r="468" spans="1:19">
      <c r="A468" s="4">
        <f>IF(B468=" "," ",HYPERLINK(CONCATENATE("#metadata!",ADDRESS(INDEX($K$2:$K$1001,MATCH(ROWS($I$2:I468),$I$2:$I$1001,0),0),1)),INDEX($N$2:$N$1001,MATCH(ROWS($I$2:I468),$I$2:$I$1001,0),0)))</f>
        <v>0</v>
      </c>
      <c r="B468" s="3">
        <f>IF(OR(INDEX($J$2:$J$1001,MATCH(ROWS($I$2:I468),$I$2:$I$1001,0),1)&gt;=100000,INDEX($P$1005:$S$1005,1,MATCH(COLUMNS($P$1006:P1006),$P$1006:$S$1006,0))&gt;=100000), " ",IF(INDEX($P$2:$S$1001,MATCH(ROWS($I$2:I468),$I$2:$I$1001,0),MATCH(COLUMNS($P$1006:P1006),$P$1006:$S$1006,0)), HYPERLINK("#",""), HYPERLINK(CONCATENATE("#metadata!", ADDRESS(INDEX($K$2:$K$1001,MATCH(ROWS($I$2:I468),$I$2:$I$1001,0),0), INDEX($P$1004:$S$1004,1,MATCH(COLUMNS($P$1006:P1006),$P$1006:$S$1006,0)))),"Fix")))</f>
        <v>0</v>
      </c>
      <c r="C468" s="3">
        <f>IF(OR(INDEX($J$2:$J$1001,MATCH(ROWS($I$2:I468),$I$2:$I$1001,0),1)&gt;=100000,INDEX($P$1005:$S$1005,1,MATCH(COLUMNS($P$1006:Q1006),$P$1006:$S$1006,0))&gt;=100000), " ",IF(INDEX($P$2:$S$1001,MATCH(ROWS($I$2:I468),$I$2:$I$1001,0),MATCH(COLUMNS($P$1006:Q1006),$P$1006:$S$1006,0)), HYPERLINK("#",""), HYPERLINK(CONCATENATE("#metadata!", ADDRESS(INDEX($K$2:$K$1001,MATCH(ROWS($I$2:I468),$I$2:$I$1001,0),0), INDEX($P$1004:$S$1004,1,MATCH(COLUMNS($P$1006:Q1006),$P$1006:$S$1006,0)))),"Fix")))</f>
        <v>0</v>
      </c>
      <c r="D468" s="3">
        <f>IF(OR(INDEX($J$2:$J$1001,MATCH(ROWS($I$2:I468),$I$2:$I$1001,0),1)&gt;=100000,INDEX($P$1005:$S$1005,1,MATCH(COLUMNS($P$1006:R1006),$P$1006:$S$1006,0))&gt;=100000), " ",IF(INDEX($P$2:$S$1001,MATCH(ROWS($I$2:I468),$I$2:$I$1001,0),MATCH(COLUMNS($P$1006:R1006),$P$1006:$S$1006,0)), HYPERLINK("#",""), HYPERLINK(CONCATENATE("#metadata!", ADDRESS(INDEX($K$2:$K$1001,MATCH(ROWS($I$2:I468),$I$2:$I$1001,0),0), INDEX($P$1004:$S$1004,1,MATCH(COLUMNS($P$1006:R1006),$P$1006:$S$1006,0)))),"Fix")))</f>
        <v>0</v>
      </c>
      <c r="E468" s="3">
        <f>IF(OR(INDEX($J$2:$J$1001,MATCH(ROWS($I$2:I468),$I$2:$I$1001,0),1)&gt;=100000,INDEX($P$1005:$S$1005,1,MATCH(COLUMNS($P$1006:S1006),$P$1006:$S$1006,0))&gt;=100000), " ",IF(INDEX($P$2:$S$1001,MATCH(ROWS($I$2:I468),$I$2:$I$1001,0),MATCH(COLUMNS($P$1006:S1006),$P$1006:$S$1006,0)), HYPERLINK("#",""), HYPERLINK(CONCATENATE("#metadata!", ADDRESS(INDEX($K$2:$K$1001,MATCH(ROWS($I$2:I468),$I$2:$I$1001,0),0), INDEX($P$1004:$S$1004,1,MATCH(COLUMNS($P$1006:S1006),$P$1006:$S$1006,0)))),"Fix")))</f>
        <v>0</v>
      </c>
      <c r="I468">
        <v>0</v>
      </c>
      <c r="J468">
        <v>0</v>
      </c>
      <c r="K468">
        <v>0</v>
      </c>
      <c r="L468">
        <f>IF(M468,TRUE,AND(P468:S468))</f>
        <v>0</v>
      </c>
      <c r="M468">
        <f>COUNTBLANK(metadata!B468:E468)=COLUMNS(metadata!B468:E468)</f>
        <v>0</v>
      </c>
      <c r="N468">
        <v>0</v>
      </c>
      <c r="P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Q468">
        <f>AND(IF(metadata!C468="",FALSE,TRUE),exact(metadata!C468,"other"))</f>
        <v>0</v>
      </c>
      <c r="R468">
        <f>AND(IF(metadata!D468="",FALSE,TRUE),exact(metadata!D468,"metagenome"))</f>
        <v>0</v>
      </c>
      <c r="S468">
        <f>AND(IF(metadata!E468="",FALSE,TRUE),exact(metadata!E468,"256318"))</f>
        <v>0</v>
      </c>
    </row>
    <row r="469" spans="1:19">
      <c r="A469" s="4">
        <f>IF(B469=" "," ",HYPERLINK(CONCATENATE("#metadata!",ADDRESS(INDEX($K$2:$K$1001,MATCH(ROWS($I$2:I469),$I$2:$I$1001,0),0),1)),INDEX($N$2:$N$1001,MATCH(ROWS($I$2:I469),$I$2:$I$1001,0),0)))</f>
        <v>0</v>
      </c>
      <c r="B469" s="3">
        <f>IF(OR(INDEX($J$2:$J$1001,MATCH(ROWS($I$2:I469),$I$2:$I$1001,0),1)&gt;=100000,INDEX($P$1005:$S$1005,1,MATCH(COLUMNS($P$1006:P1006),$P$1006:$S$1006,0))&gt;=100000), " ",IF(INDEX($P$2:$S$1001,MATCH(ROWS($I$2:I469),$I$2:$I$1001,0),MATCH(COLUMNS($P$1006:P1006),$P$1006:$S$1006,0)), HYPERLINK("#",""), HYPERLINK(CONCATENATE("#metadata!", ADDRESS(INDEX($K$2:$K$1001,MATCH(ROWS($I$2:I469),$I$2:$I$1001,0),0), INDEX($P$1004:$S$1004,1,MATCH(COLUMNS($P$1006:P1006),$P$1006:$S$1006,0)))),"Fix")))</f>
        <v>0</v>
      </c>
      <c r="C469" s="3">
        <f>IF(OR(INDEX($J$2:$J$1001,MATCH(ROWS($I$2:I469),$I$2:$I$1001,0),1)&gt;=100000,INDEX($P$1005:$S$1005,1,MATCH(COLUMNS($P$1006:Q1006),$P$1006:$S$1006,0))&gt;=100000), " ",IF(INDEX($P$2:$S$1001,MATCH(ROWS($I$2:I469),$I$2:$I$1001,0),MATCH(COLUMNS($P$1006:Q1006),$P$1006:$S$1006,0)), HYPERLINK("#",""), HYPERLINK(CONCATENATE("#metadata!", ADDRESS(INDEX($K$2:$K$1001,MATCH(ROWS($I$2:I469),$I$2:$I$1001,0),0), INDEX($P$1004:$S$1004,1,MATCH(COLUMNS($P$1006:Q1006),$P$1006:$S$1006,0)))),"Fix")))</f>
        <v>0</v>
      </c>
      <c r="D469" s="3">
        <f>IF(OR(INDEX($J$2:$J$1001,MATCH(ROWS($I$2:I469),$I$2:$I$1001,0),1)&gt;=100000,INDEX($P$1005:$S$1005,1,MATCH(COLUMNS($P$1006:R1006),$P$1006:$S$1006,0))&gt;=100000), " ",IF(INDEX($P$2:$S$1001,MATCH(ROWS($I$2:I469),$I$2:$I$1001,0),MATCH(COLUMNS($P$1006:R1006),$P$1006:$S$1006,0)), HYPERLINK("#",""), HYPERLINK(CONCATENATE("#metadata!", ADDRESS(INDEX($K$2:$K$1001,MATCH(ROWS($I$2:I469),$I$2:$I$1001,0),0), INDEX($P$1004:$S$1004,1,MATCH(COLUMNS($P$1006:R1006),$P$1006:$S$1006,0)))),"Fix")))</f>
        <v>0</v>
      </c>
      <c r="E469" s="3">
        <f>IF(OR(INDEX($J$2:$J$1001,MATCH(ROWS($I$2:I469),$I$2:$I$1001,0),1)&gt;=100000,INDEX($P$1005:$S$1005,1,MATCH(COLUMNS($P$1006:S1006),$P$1006:$S$1006,0))&gt;=100000), " ",IF(INDEX($P$2:$S$1001,MATCH(ROWS($I$2:I469),$I$2:$I$1001,0),MATCH(COLUMNS($P$1006:S1006),$P$1006:$S$1006,0)), HYPERLINK("#",""), HYPERLINK(CONCATENATE("#metadata!", ADDRESS(INDEX($K$2:$K$1001,MATCH(ROWS($I$2:I469),$I$2:$I$1001,0),0), INDEX($P$1004:$S$1004,1,MATCH(COLUMNS($P$1006:S1006),$P$1006:$S$1006,0)))),"Fix")))</f>
        <v>0</v>
      </c>
      <c r="I469">
        <v>0</v>
      </c>
      <c r="J469">
        <v>0</v>
      </c>
      <c r="K469">
        <v>0</v>
      </c>
      <c r="L469">
        <f>IF(M469,TRUE,AND(P469:S469))</f>
        <v>0</v>
      </c>
      <c r="M469">
        <f>COUNTBLANK(metadata!B469:E469)=COLUMNS(metadata!B469:E469)</f>
        <v>0</v>
      </c>
      <c r="N469">
        <v>0</v>
      </c>
      <c r="P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Q469">
        <f>AND(IF(metadata!C469="",FALSE,TRUE),exact(metadata!C469,"other"))</f>
        <v>0</v>
      </c>
      <c r="R469">
        <f>AND(IF(metadata!D469="",FALSE,TRUE),exact(metadata!D469,"metagenome"))</f>
        <v>0</v>
      </c>
      <c r="S469">
        <f>AND(IF(metadata!E469="",FALSE,TRUE),exact(metadata!E469,"256318"))</f>
        <v>0</v>
      </c>
    </row>
    <row r="470" spans="1:19">
      <c r="A470" s="4">
        <f>IF(B470=" "," ",HYPERLINK(CONCATENATE("#metadata!",ADDRESS(INDEX($K$2:$K$1001,MATCH(ROWS($I$2:I470),$I$2:$I$1001,0),0),1)),INDEX($N$2:$N$1001,MATCH(ROWS($I$2:I470),$I$2:$I$1001,0),0)))</f>
        <v>0</v>
      </c>
      <c r="B470" s="3">
        <f>IF(OR(INDEX($J$2:$J$1001,MATCH(ROWS($I$2:I470),$I$2:$I$1001,0),1)&gt;=100000,INDEX($P$1005:$S$1005,1,MATCH(COLUMNS($P$1006:P1006),$P$1006:$S$1006,0))&gt;=100000), " ",IF(INDEX($P$2:$S$1001,MATCH(ROWS($I$2:I470),$I$2:$I$1001,0),MATCH(COLUMNS($P$1006:P1006),$P$1006:$S$1006,0)), HYPERLINK("#",""), HYPERLINK(CONCATENATE("#metadata!", ADDRESS(INDEX($K$2:$K$1001,MATCH(ROWS($I$2:I470),$I$2:$I$1001,0),0), INDEX($P$1004:$S$1004,1,MATCH(COLUMNS($P$1006:P1006),$P$1006:$S$1006,0)))),"Fix")))</f>
        <v>0</v>
      </c>
      <c r="C470" s="3">
        <f>IF(OR(INDEX($J$2:$J$1001,MATCH(ROWS($I$2:I470),$I$2:$I$1001,0),1)&gt;=100000,INDEX($P$1005:$S$1005,1,MATCH(COLUMNS($P$1006:Q1006),$P$1006:$S$1006,0))&gt;=100000), " ",IF(INDEX($P$2:$S$1001,MATCH(ROWS($I$2:I470),$I$2:$I$1001,0),MATCH(COLUMNS($P$1006:Q1006),$P$1006:$S$1006,0)), HYPERLINK("#",""), HYPERLINK(CONCATENATE("#metadata!", ADDRESS(INDEX($K$2:$K$1001,MATCH(ROWS($I$2:I470),$I$2:$I$1001,0),0), INDEX($P$1004:$S$1004,1,MATCH(COLUMNS($P$1006:Q1006),$P$1006:$S$1006,0)))),"Fix")))</f>
        <v>0</v>
      </c>
      <c r="D470" s="3">
        <f>IF(OR(INDEX($J$2:$J$1001,MATCH(ROWS($I$2:I470),$I$2:$I$1001,0),1)&gt;=100000,INDEX($P$1005:$S$1005,1,MATCH(COLUMNS($P$1006:R1006),$P$1006:$S$1006,0))&gt;=100000), " ",IF(INDEX($P$2:$S$1001,MATCH(ROWS($I$2:I470),$I$2:$I$1001,0),MATCH(COLUMNS($P$1006:R1006),$P$1006:$S$1006,0)), HYPERLINK("#",""), HYPERLINK(CONCATENATE("#metadata!", ADDRESS(INDEX($K$2:$K$1001,MATCH(ROWS($I$2:I470),$I$2:$I$1001,0),0), INDEX($P$1004:$S$1004,1,MATCH(COLUMNS($P$1006:R1006),$P$1006:$S$1006,0)))),"Fix")))</f>
        <v>0</v>
      </c>
      <c r="E470" s="3">
        <f>IF(OR(INDEX($J$2:$J$1001,MATCH(ROWS($I$2:I470),$I$2:$I$1001,0),1)&gt;=100000,INDEX($P$1005:$S$1005,1,MATCH(COLUMNS($P$1006:S1006),$P$1006:$S$1006,0))&gt;=100000), " ",IF(INDEX($P$2:$S$1001,MATCH(ROWS($I$2:I470),$I$2:$I$1001,0),MATCH(COLUMNS($P$1006:S1006),$P$1006:$S$1006,0)), HYPERLINK("#",""), HYPERLINK(CONCATENATE("#metadata!", ADDRESS(INDEX($K$2:$K$1001,MATCH(ROWS($I$2:I470),$I$2:$I$1001,0),0), INDEX($P$1004:$S$1004,1,MATCH(COLUMNS($P$1006:S1006),$P$1006:$S$1006,0)))),"Fix")))</f>
        <v>0</v>
      </c>
      <c r="I470">
        <v>0</v>
      </c>
      <c r="J470">
        <v>0</v>
      </c>
      <c r="K470">
        <v>0</v>
      </c>
      <c r="L470">
        <f>IF(M470,TRUE,AND(P470:S470))</f>
        <v>0</v>
      </c>
      <c r="M470">
        <f>COUNTBLANK(metadata!B470:E470)=COLUMNS(metadata!B470:E470)</f>
        <v>0</v>
      </c>
      <c r="N470">
        <v>0</v>
      </c>
      <c r="P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Q470">
        <f>AND(IF(metadata!C470="",FALSE,TRUE),exact(metadata!C470,"other"))</f>
        <v>0</v>
      </c>
      <c r="R470">
        <f>AND(IF(metadata!D470="",FALSE,TRUE),exact(metadata!D470,"metagenome"))</f>
        <v>0</v>
      </c>
      <c r="S470">
        <f>AND(IF(metadata!E470="",FALSE,TRUE),exact(metadata!E470,"256318"))</f>
        <v>0</v>
      </c>
    </row>
    <row r="471" spans="1:19">
      <c r="A471" s="4">
        <f>IF(B471=" "," ",HYPERLINK(CONCATENATE("#metadata!",ADDRESS(INDEX($K$2:$K$1001,MATCH(ROWS($I$2:I471),$I$2:$I$1001,0),0),1)),INDEX($N$2:$N$1001,MATCH(ROWS($I$2:I471),$I$2:$I$1001,0),0)))</f>
        <v>0</v>
      </c>
      <c r="B471" s="3">
        <f>IF(OR(INDEX($J$2:$J$1001,MATCH(ROWS($I$2:I471),$I$2:$I$1001,0),1)&gt;=100000,INDEX($P$1005:$S$1005,1,MATCH(COLUMNS($P$1006:P1006),$P$1006:$S$1006,0))&gt;=100000), " ",IF(INDEX($P$2:$S$1001,MATCH(ROWS($I$2:I471),$I$2:$I$1001,0),MATCH(COLUMNS($P$1006:P1006),$P$1006:$S$1006,0)), HYPERLINK("#",""), HYPERLINK(CONCATENATE("#metadata!", ADDRESS(INDEX($K$2:$K$1001,MATCH(ROWS($I$2:I471),$I$2:$I$1001,0),0), INDEX($P$1004:$S$1004,1,MATCH(COLUMNS($P$1006:P1006),$P$1006:$S$1006,0)))),"Fix")))</f>
        <v>0</v>
      </c>
      <c r="C471" s="3">
        <f>IF(OR(INDEX($J$2:$J$1001,MATCH(ROWS($I$2:I471),$I$2:$I$1001,0),1)&gt;=100000,INDEX($P$1005:$S$1005,1,MATCH(COLUMNS($P$1006:Q1006),$P$1006:$S$1006,0))&gt;=100000), " ",IF(INDEX($P$2:$S$1001,MATCH(ROWS($I$2:I471),$I$2:$I$1001,0),MATCH(COLUMNS($P$1006:Q1006),$P$1006:$S$1006,0)), HYPERLINK("#",""), HYPERLINK(CONCATENATE("#metadata!", ADDRESS(INDEX($K$2:$K$1001,MATCH(ROWS($I$2:I471),$I$2:$I$1001,0),0), INDEX($P$1004:$S$1004,1,MATCH(COLUMNS($P$1006:Q1006),$P$1006:$S$1006,0)))),"Fix")))</f>
        <v>0</v>
      </c>
      <c r="D471" s="3">
        <f>IF(OR(INDEX($J$2:$J$1001,MATCH(ROWS($I$2:I471),$I$2:$I$1001,0),1)&gt;=100000,INDEX($P$1005:$S$1005,1,MATCH(COLUMNS($P$1006:R1006),$P$1006:$S$1006,0))&gt;=100000), " ",IF(INDEX($P$2:$S$1001,MATCH(ROWS($I$2:I471),$I$2:$I$1001,0),MATCH(COLUMNS($P$1006:R1006),$P$1006:$S$1006,0)), HYPERLINK("#",""), HYPERLINK(CONCATENATE("#metadata!", ADDRESS(INDEX($K$2:$K$1001,MATCH(ROWS($I$2:I471),$I$2:$I$1001,0),0), INDEX($P$1004:$S$1004,1,MATCH(COLUMNS($P$1006:R1006),$P$1006:$S$1006,0)))),"Fix")))</f>
        <v>0</v>
      </c>
      <c r="E471" s="3">
        <f>IF(OR(INDEX($J$2:$J$1001,MATCH(ROWS($I$2:I471),$I$2:$I$1001,0),1)&gt;=100000,INDEX($P$1005:$S$1005,1,MATCH(COLUMNS($P$1006:S1006),$P$1006:$S$1006,0))&gt;=100000), " ",IF(INDEX($P$2:$S$1001,MATCH(ROWS($I$2:I471),$I$2:$I$1001,0),MATCH(COLUMNS($P$1006:S1006),$P$1006:$S$1006,0)), HYPERLINK("#",""), HYPERLINK(CONCATENATE("#metadata!", ADDRESS(INDEX($K$2:$K$1001,MATCH(ROWS($I$2:I471),$I$2:$I$1001,0),0), INDEX($P$1004:$S$1004,1,MATCH(COLUMNS($P$1006:S1006),$P$1006:$S$1006,0)))),"Fix")))</f>
        <v>0</v>
      </c>
      <c r="I471">
        <v>0</v>
      </c>
      <c r="J471">
        <v>0</v>
      </c>
      <c r="K471">
        <v>0</v>
      </c>
      <c r="L471">
        <f>IF(M471,TRUE,AND(P471:S471))</f>
        <v>0</v>
      </c>
      <c r="M471">
        <f>COUNTBLANK(metadata!B471:E471)=COLUMNS(metadata!B471:E471)</f>
        <v>0</v>
      </c>
      <c r="N471">
        <v>0</v>
      </c>
      <c r="P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Q471">
        <f>AND(IF(metadata!C471="",FALSE,TRUE),exact(metadata!C471,"other"))</f>
        <v>0</v>
      </c>
      <c r="R471">
        <f>AND(IF(metadata!D471="",FALSE,TRUE),exact(metadata!D471,"metagenome"))</f>
        <v>0</v>
      </c>
      <c r="S471">
        <f>AND(IF(metadata!E471="",FALSE,TRUE),exact(metadata!E471,"256318"))</f>
        <v>0</v>
      </c>
    </row>
    <row r="472" spans="1:19">
      <c r="A472" s="4">
        <f>IF(B472=" "," ",HYPERLINK(CONCATENATE("#metadata!",ADDRESS(INDEX($K$2:$K$1001,MATCH(ROWS($I$2:I472),$I$2:$I$1001,0),0),1)),INDEX($N$2:$N$1001,MATCH(ROWS($I$2:I472),$I$2:$I$1001,0),0)))</f>
        <v>0</v>
      </c>
      <c r="B472" s="3">
        <f>IF(OR(INDEX($J$2:$J$1001,MATCH(ROWS($I$2:I472),$I$2:$I$1001,0),1)&gt;=100000,INDEX($P$1005:$S$1005,1,MATCH(COLUMNS($P$1006:P1006),$P$1006:$S$1006,0))&gt;=100000), " ",IF(INDEX($P$2:$S$1001,MATCH(ROWS($I$2:I472),$I$2:$I$1001,0),MATCH(COLUMNS($P$1006:P1006),$P$1006:$S$1006,0)), HYPERLINK("#",""), HYPERLINK(CONCATENATE("#metadata!", ADDRESS(INDEX($K$2:$K$1001,MATCH(ROWS($I$2:I472),$I$2:$I$1001,0),0), INDEX($P$1004:$S$1004,1,MATCH(COLUMNS($P$1006:P1006),$P$1006:$S$1006,0)))),"Fix")))</f>
        <v>0</v>
      </c>
      <c r="C472" s="3">
        <f>IF(OR(INDEX($J$2:$J$1001,MATCH(ROWS($I$2:I472),$I$2:$I$1001,0),1)&gt;=100000,INDEX($P$1005:$S$1005,1,MATCH(COLUMNS($P$1006:Q1006),$P$1006:$S$1006,0))&gt;=100000), " ",IF(INDEX($P$2:$S$1001,MATCH(ROWS($I$2:I472),$I$2:$I$1001,0),MATCH(COLUMNS($P$1006:Q1006),$P$1006:$S$1006,0)), HYPERLINK("#",""), HYPERLINK(CONCATENATE("#metadata!", ADDRESS(INDEX($K$2:$K$1001,MATCH(ROWS($I$2:I472),$I$2:$I$1001,0),0), INDEX($P$1004:$S$1004,1,MATCH(COLUMNS($P$1006:Q1006),$P$1006:$S$1006,0)))),"Fix")))</f>
        <v>0</v>
      </c>
      <c r="D472" s="3">
        <f>IF(OR(INDEX($J$2:$J$1001,MATCH(ROWS($I$2:I472),$I$2:$I$1001,0),1)&gt;=100000,INDEX($P$1005:$S$1005,1,MATCH(COLUMNS($P$1006:R1006),$P$1006:$S$1006,0))&gt;=100000), " ",IF(INDEX($P$2:$S$1001,MATCH(ROWS($I$2:I472),$I$2:$I$1001,0),MATCH(COLUMNS($P$1006:R1006),$P$1006:$S$1006,0)), HYPERLINK("#",""), HYPERLINK(CONCATENATE("#metadata!", ADDRESS(INDEX($K$2:$K$1001,MATCH(ROWS($I$2:I472),$I$2:$I$1001,0),0), INDEX($P$1004:$S$1004,1,MATCH(COLUMNS($P$1006:R1006),$P$1006:$S$1006,0)))),"Fix")))</f>
        <v>0</v>
      </c>
      <c r="E472" s="3">
        <f>IF(OR(INDEX($J$2:$J$1001,MATCH(ROWS($I$2:I472),$I$2:$I$1001,0),1)&gt;=100000,INDEX($P$1005:$S$1005,1,MATCH(COLUMNS($P$1006:S1006),$P$1006:$S$1006,0))&gt;=100000), " ",IF(INDEX($P$2:$S$1001,MATCH(ROWS($I$2:I472),$I$2:$I$1001,0),MATCH(COLUMNS($P$1006:S1006),$P$1006:$S$1006,0)), HYPERLINK("#",""), HYPERLINK(CONCATENATE("#metadata!", ADDRESS(INDEX($K$2:$K$1001,MATCH(ROWS($I$2:I472),$I$2:$I$1001,0),0), INDEX($P$1004:$S$1004,1,MATCH(COLUMNS($P$1006:S1006),$P$1006:$S$1006,0)))),"Fix")))</f>
        <v>0</v>
      </c>
      <c r="I472">
        <v>0</v>
      </c>
      <c r="J472">
        <v>0</v>
      </c>
      <c r="K472">
        <v>0</v>
      </c>
      <c r="L472">
        <f>IF(M472,TRUE,AND(P472:S472))</f>
        <v>0</v>
      </c>
      <c r="M472">
        <f>COUNTBLANK(metadata!B472:E472)=COLUMNS(metadata!B472:E472)</f>
        <v>0</v>
      </c>
      <c r="N472">
        <v>0</v>
      </c>
      <c r="P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Q472">
        <f>AND(IF(metadata!C472="",FALSE,TRUE),exact(metadata!C472,"other"))</f>
        <v>0</v>
      </c>
      <c r="R472">
        <f>AND(IF(metadata!D472="",FALSE,TRUE),exact(metadata!D472,"metagenome"))</f>
        <v>0</v>
      </c>
      <c r="S472">
        <f>AND(IF(metadata!E472="",FALSE,TRUE),exact(metadata!E472,"256318"))</f>
        <v>0</v>
      </c>
    </row>
    <row r="473" spans="1:19">
      <c r="A473" s="4">
        <f>IF(B473=" "," ",HYPERLINK(CONCATENATE("#metadata!",ADDRESS(INDEX($K$2:$K$1001,MATCH(ROWS($I$2:I473),$I$2:$I$1001,0),0),1)),INDEX($N$2:$N$1001,MATCH(ROWS($I$2:I473),$I$2:$I$1001,0),0)))</f>
        <v>0</v>
      </c>
      <c r="B473" s="3">
        <f>IF(OR(INDEX($J$2:$J$1001,MATCH(ROWS($I$2:I473),$I$2:$I$1001,0),1)&gt;=100000,INDEX($P$1005:$S$1005,1,MATCH(COLUMNS($P$1006:P1006),$P$1006:$S$1006,0))&gt;=100000), " ",IF(INDEX($P$2:$S$1001,MATCH(ROWS($I$2:I473),$I$2:$I$1001,0),MATCH(COLUMNS($P$1006:P1006),$P$1006:$S$1006,0)), HYPERLINK("#",""), HYPERLINK(CONCATENATE("#metadata!", ADDRESS(INDEX($K$2:$K$1001,MATCH(ROWS($I$2:I473),$I$2:$I$1001,0),0), INDEX($P$1004:$S$1004,1,MATCH(COLUMNS($P$1006:P1006),$P$1006:$S$1006,0)))),"Fix")))</f>
        <v>0</v>
      </c>
      <c r="C473" s="3">
        <f>IF(OR(INDEX($J$2:$J$1001,MATCH(ROWS($I$2:I473),$I$2:$I$1001,0),1)&gt;=100000,INDEX($P$1005:$S$1005,1,MATCH(COLUMNS($P$1006:Q1006),$P$1006:$S$1006,0))&gt;=100000), " ",IF(INDEX($P$2:$S$1001,MATCH(ROWS($I$2:I473),$I$2:$I$1001,0),MATCH(COLUMNS($P$1006:Q1006),$P$1006:$S$1006,0)), HYPERLINK("#",""), HYPERLINK(CONCATENATE("#metadata!", ADDRESS(INDEX($K$2:$K$1001,MATCH(ROWS($I$2:I473),$I$2:$I$1001,0),0), INDEX($P$1004:$S$1004,1,MATCH(COLUMNS($P$1006:Q1006),$P$1006:$S$1006,0)))),"Fix")))</f>
        <v>0</v>
      </c>
      <c r="D473" s="3">
        <f>IF(OR(INDEX($J$2:$J$1001,MATCH(ROWS($I$2:I473),$I$2:$I$1001,0),1)&gt;=100000,INDEX($P$1005:$S$1005,1,MATCH(COLUMNS($P$1006:R1006),$P$1006:$S$1006,0))&gt;=100000), " ",IF(INDEX($P$2:$S$1001,MATCH(ROWS($I$2:I473),$I$2:$I$1001,0),MATCH(COLUMNS($P$1006:R1006),$P$1006:$S$1006,0)), HYPERLINK("#",""), HYPERLINK(CONCATENATE("#metadata!", ADDRESS(INDEX($K$2:$K$1001,MATCH(ROWS($I$2:I473),$I$2:$I$1001,0),0), INDEX($P$1004:$S$1004,1,MATCH(COLUMNS($P$1006:R1006),$P$1006:$S$1006,0)))),"Fix")))</f>
        <v>0</v>
      </c>
      <c r="E473" s="3">
        <f>IF(OR(INDEX($J$2:$J$1001,MATCH(ROWS($I$2:I473),$I$2:$I$1001,0),1)&gt;=100000,INDEX($P$1005:$S$1005,1,MATCH(COLUMNS($P$1006:S1006),$P$1006:$S$1006,0))&gt;=100000), " ",IF(INDEX($P$2:$S$1001,MATCH(ROWS($I$2:I473),$I$2:$I$1001,0),MATCH(COLUMNS($P$1006:S1006),$P$1006:$S$1006,0)), HYPERLINK("#",""), HYPERLINK(CONCATENATE("#metadata!", ADDRESS(INDEX($K$2:$K$1001,MATCH(ROWS($I$2:I473),$I$2:$I$1001,0),0), INDEX($P$1004:$S$1004,1,MATCH(COLUMNS($P$1006:S1006),$P$1006:$S$1006,0)))),"Fix")))</f>
        <v>0</v>
      </c>
      <c r="I473">
        <v>0</v>
      </c>
      <c r="J473">
        <v>0</v>
      </c>
      <c r="K473">
        <v>0</v>
      </c>
      <c r="L473">
        <f>IF(M473,TRUE,AND(P473:S473))</f>
        <v>0</v>
      </c>
      <c r="M473">
        <f>COUNTBLANK(metadata!B473:E473)=COLUMNS(metadata!B473:E473)</f>
        <v>0</v>
      </c>
      <c r="N473">
        <v>0</v>
      </c>
      <c r="P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Q473">
        <f>AND(IF(metadata!C473="",FALSE,TRUE),exact(metadata!C473,"other"))</f>
        <v>0</v>
      </c>
      <c r="R473">
        <f>AND(IF(metadata!D473="",FALSE,TRUE),exact(metadata!D473,"metagenome"))</f>
        <v>0</v>
      </c>
      <c r="S473">
        <f>AND(IF(metadata!E473="",FALSE,TRUE),exact(metadata!E473,"256318"))</f>
        <v>0</v>
      </c>
    </row>
    <row r="474" spans="1:19">
      <c r="A474" s="4">
        <f>IF(B474=" "," ",HYPERLINK(CONCATENATE("#metadata!",ADDRESS(INDEX($K$2:$K$1001,MATCH(ROWS($I$2:I474),$I$2:$I$1001,0),0),1)),INDEX($N$2:$N$1001,MATCH(ROWS($I$2:I474),$I$2:$I$1001,0),0)))</f>
        <v>0</v>
      </c>
      <c r="B474" s="3">
        <f>IF(OR(INDEX($J$2:$J$1001,MATCH(ROWS($I$2:I474),$I$2:$I$1001,0),1)&gt;=100000,INDEX($P$1005:$S$1005,1,MATCH(COLUMNS($P$1006:P1006),$P$1006:$S$1006,0))&gt;=100000), " ",IF(INDEX($P$2:$S$1001,MATCH(ROWS($I$2:I474),$I$2:$I$1001,0),MATCH(COLUMNS($P$1006:P1006),$P$1006:$S$1006,0)), HYPERLINK("#",""), HYPERLINK(CONCATENATE("#metadata!", ADDRESS(INDEX($K$2:$K$1001,MATCH(ROWS($I$2:I474),$I$2:$I$1001,0),0), INDEX($P$1004:$S$1004,1,MATCH(COLUMNS($P$1006:P1006),$P$1006:$S$1006,0)))),"Fix")))</f>
        <v>0</v>
      </c>
      <c r="C474" s="3">
        <f>IF(OR(INDEX($J$2:$J$1001,MATCH(ROWS($I$2:I474),$I$2:$I$1001,0),1)&gt;=100000,INDEX($P$1005:$S$1005,1,MATCH(COLUMNS($P$1006:Q1006),$P$1006:$S$1006,0))&gt;=100000), " ",IF(INDEX($P$2:$S$1001,MATCH(ROWS($I$2:I474),$I$2:$I$1001,0),MATCH(COLUMNS($P$1006:Q1006),$P$1006:$S$1006,0)), HYPERLINK("#",""), HYPERLINK(CONCATENATE("#metadata!", ADDRESS(INDEX($K$2:$K$1001,MATCH(ROWS($I$2:I474),$I$2:$I$1001,0),0), INDEX($P$1004:$S$1004,1,MATCH(COLUMNS($P$1006:Q1006),$P$1006:$S$1006,0)))),"Fix")))</f>
        <v>0</v>
      </c>
      <c r="D474" s="3">
        <f>IF(OR(INDEX($J$2:$J$1001,MATCH(ROWS($I$2:I474),$I$2:$I$1001,0),1)&gt;=100000,INDEX($P$1005:$S$1005,1,MATCH(COLUMNS($P$1006:R1006),$P$1006:$S$1006,0))&gt;=100000), " ",IF(INDEX($P$2:$S$1001,MATCH(ROWS($I$2:I474),$I$2:$I$1001,0),MATCH(COLUMNS($P$1006:R1006),$P$1006:$S$1006,0)), HYPERLINK("#",""), HYPERLINK(CONCATENATE("#metadata!", ADDRESS(INDEX($K$2:$K$1001,MATCH(ROWS($I$2:I474),$I$2:$I$1001,0),0), INDEX($P$1004:$S$1004,1,MATCH(COLUMNS($P$1006:R1006),$P$1006:$S$1006,0)))),"Fix")))</f>
        <v>0</v>
      </c>
      <c r="E474" s="3">
        <f>IF(OR(INDEX($J$2:$J$1001,MATCH(ROWS($I$2:I474),$I$2:$I$1001,0),1)&gt;=100000,INDEX($P$1005:$S$1005,1,MATCH(COLUMNS($P$1006:S1006),$P$1006:$S$1006,0))&gt;=100000), " ",IF(INDEX($P$2:$S$1001,MATCH(ROWS($I$2:I474),$I$2:$I$1001,0),MATCH(COLUMNS($P$1006:S1006),$P$1006:$S$1006,0)), HYPERLINK("#",""), HYPERLINK(CONCATENATE("#metadata!", ADDRESS(INDEX($K$2:$K$1001,MATCH(ROWS($I$2:I474),$I$2:$I$1001,0),0), INDEX($P$1004:$S$1004,1,MATCH(COLUMNS($P$1006:S1006),$P$1006:$S$1006,0)))),"Fix")))</f>
        <v>0</v>
      </c>
      <c r="I474">
        <v>0</v>
      </c>
      <c r="J474">
        <v>0</v>
      </c>
      <c r="K474">
        <v>0</v>
      </c>
      <c r="L474">
        <f>IF(M474,TRUE,AND(P474:S474))</f>
        <v>0</v>
      </c>
      <c r="M474">
        <f>COUNTBLANK(metadata!B474:E474)=COLUMNS(metadata!B474:E474)</f>
        <v>0</v>
      </c>
      <c r="N474">
        <v>0</v>
      </c>
      <c r="P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Q474">
        <f>AND(IF(metadata!C474="",FALSE,TRUE),exact(metadata!C474,"other"))</f>
        <v>0</v>
      </c>
      <c r="R474">
        <f>AND(IF(metadata!D474="",FALSE,TRUE),exact(metadata!D474,"metagenome"))</f>
        <v>0</v>
      </c>
      <c r="S474">
        <f>AND(IF(metadata!E474="",FALSE,TRUE),exact(metadata!E474,"256318"))</f>
        <v>0</v>
      </c>
    </row>
    <row r="475" spans="1:19">
      <c r="A475" s="4">
        <f>IF(B475=" "," ",HYPERLINK(CONCATENATE("#metadata!",ADDRESS(INDEX($K$2:$K$1001,MATCH(ROWS($I$2:I475),$I$2:$I$1001,0),0),1)),INDEX($N$2:$N$1001,MATCH(ROWS($I$2:I475),$I$2:$I$1001,0),0)))</f>
        <v>0</v>
      </c>
      <c r="B475" s="3">
        <f>IF(OR(INDEX($J$2:$J$1001,MATCH(ROWS($I$2:I475),$I$2:$I$1001,0),1)&gt;=100000,INDEX($P$1005:$S$1005,1,MATCH(COLUMNS($P$1006:P1006),$P$1006:$S$1006,0))&gt;=100000), " ",IF(INDEX($P$2:$S$1001,MATCH(ROWS($I$2:I475),$I$2:$I$1001,0),MATCH(COLUMNS($P$1006:P1006),$P$1006:$S$1006,0)), HYPERLINK("#",""), HYPERLINK(CONCATENATE("#metadata!", ADDRESS(INDEX($K$2:$K$1001,MATCH(ROWS($I$2:I475),$I$2:$I$1001,0),0), INDEX($P$1004:$S$1004,1,MATCH(COLUMNS($P$1006:P1006),$P$1006:$S$1006,0)))),"Fix")))</f>
        <v>0</v>
      </c>
      <c r="C475" s="3">
        <f>IF(OR(INDEX($J$2:$J$1001,MATCH(ROWS($I$2:I475),$I$2:$I$1001,0),1)&gt;=100000,INDEX($P$1005:$S$1005,1,MATCH(COLUMNS($P$1006:Q1006),$P$1006:$S$1006,0))&gt;=100000), " ",IF(INDEX($P$2:$S$1001,MATCH(ROWS($I$2:I475),$I$2:$I$1001,0),MATCH(COLUMNS($P$1006:Q1006),$P$1006:$S$1006,0)), HYPERLINK("#",""), HYPERLINK(CONCATENATE("#metadata!", ADDRESS(INDEX($K$2:$K$1001,MATCH(ROWS($I$2:I475),$I$2:$I$1001,0),0), INDEX($P$1004:$S$1004,1,MATCH(COLUMNS($P$1006:Q1006),$P$1006:$S$1006,0)))),"Fix")))</f>
        <v>0</v>
      </c>
      <c r="D475" s="3">
        <f>IF(OR(INDEX($J$2:$J$1001,MATCH(ROWS($I$2:I475),$I$2:$I$1001,0),1)&gt;=100000,INDEX($P$1005:$S$1005,1,MATCH(COLUMNS($P$1006:R1006),$P$1006:$S$1006,0))&gt;=100000), " ",IF(INDEX($P$2:$S$1001,MATCH(ROWS($I$2:I475),$I$2:$I$1001,0),MATCH(COLUMNS($P$1006:R1006),$P$1006:$S$1006,0)), HYPERLINK("#",""), HYPERLINK(CONCATENATE("#metadata!", ADDRESS(INDEX($K$2:$K$1001,MATCH(ROWS($I$2:I475),$I$2:$I$1001,0),0), INDEX($P$1004:$S$1004,1,MATCH(COLUMNS($P$1006:R1006),$P$1006:$S$1006,0)))),"Fix")))</f>
        <v>0</v>
      </c>
      <c r="E475" s="3">
        <f>IF(OR(INDEX($J$2:$J$1001,MATCH(ROWS($I$2:I475),$I$2:$I$1001,0),1)&gt;=100000,INDEX($P$1005:$S$1005,1,MATCH(COLUMNS($P$1006:S1006),$P$1006:$S$1006,0))&gt;=100000), " ",IF(INDEX($P$2:$S$1001,MATCH(ROWS($I$2:I475),$I$2:$I$1001,0),MATCH(COLUMNS($P$1006:S1006),$P$1006:$S$1006,0)), HYPERLINK("#",""), HYPERLINK(CONCATENATE("#metadata!", ADDRESS(INDEX($K$2:$K$1001,MATCH(ROWS($I$2:I475),$I$2:$I$1001,0),0), INDEX($P$1004:$S$1004,1,MATCH(COLUMNS($P$1006:S1006),$P$1006:$S$1006,0)))),"Fix")))</f>
        <v>0</v>
      </c>
      <c r="I475">
        <v>0</v>
      </c>
      <c r="J475">
        <v>0</v>
      </c>
      <c r="K475">
        <v>0</v>
      </c>
      <c r="L475">
        <f>IF(M475,TRUE,AND(P475:S475))</f>
        <v>0</v>
      </c>
      <c r="M475">
        <f>COUNTBLANK(metadata!B475:E475)=COLUMNS(metadata!B475:E475)</f>
        <v>0</v>
      </c>
      <c r="N475">
        <v>0</v>
      </c>
      <c r="P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Q475">
        <f>AND(IF(metadata!C475="",FALSE,TRUE),exact(metadata!C475,"other"))</f>
        <v>0</v>
      </c>
      <c r="R475">
        <f>AND(IF(metadata!D475="",FALSE,TRUE),exact(metadata!D475,"metagenome"))</f>
        <v>0</v>
      </c>
      <c r="S475">
        <f>AND(IF(metadata!E475="",FALSE,TRUE),exact(metadata!E475,"256318"))</f>
        <v>0</v>
      </c>
    </row>
    <row r="476" spans="1:19">
      <c r="A476" s="4">
        <f>IF(B476=" "," ",HYPERLINK(CONCATENATE("#metadata!",ADDRESS(INDEX($K$2:$K$1001,MATCH(ROWS($I$2:I476),$I$2:$I$1001,0),0),1)),INDEX($N$2:$N$1001,MATCH(ROWS($I$2:I476),$I$2:$I$1001,0),0)))</f>
        <v>0</v>
      </c>
      <c r="B476" s="3">
        <f>IF(OR(INDEX($J$2:$J$1001,MATCH(ROWS($I$2:I476),$I$2:$I$1001,0),1)&gt;=100000,INDEX($P$1005:$S$1005,1,MATCH(COLUMNS($P$1006:P1006),$P$1006:$S$1006,0))&gt;=100000), " ",IF(INDEX($P$2:$S$1001,MATCH(ROWS($I$2:I476),$I$2:$I$1001,0),MATCH(COLUMNS($P$1006:P1006),$P$1006:$S$1006,0)), HYPERLINK("#",""), HYPERLINK(CONCATENATE("#metadata!", ADDRESS(INDEX($K$2:$K$1001,MATCH(ROWS($I$2:I476),$I$2:$I$1001,0),0), INDEX($P$1004:$S$1004,1,MATCH(COLUMNS($P$1006:P1006),$P$1006:$S$1006,0)))),"Fix")))</f>
        <v>0</v>
      </c>
      <c r="C476" s="3">
        <f>IF(OR(INDEX($J$2:$J$1001,MATCH(ROWS($I$2:I476),$I$2:$I$1001,0),1)&gt;=100000,INDEX($P$1005:$S$1005,1,MATCH(COLUMNS($P$1006:Q1006),$P$1006:$S$1006,0))&gt;=100000), " ",IF(INDEX($P$2:$S$1001,MATCH(ROWS($I$2:I476),$I$2:$I$1001,0),MATCH(COLUMNS($P$1006:Q1006),$P$1006:$S$1006,0)), HYPERLINK("#",""), HYPERLINK(CONCATENATE("#metadata!", ADDRESS(INDEX($K$2:$K$1001,MATCH(ROWS($I$2:I476),$I$2:$I$1001,0),0), INDEX($P$1004:$S$1004,1,MATCH(COLUMNS($P$1006:Q1006),$P$1006:$S$1006,0)))),"Fix")))</f>
        <v>0</v>
      </c>
      <c r="D476" s="3">
        <f>IF(OR(INDEX($J$2:$J$1001,MATCH(ROWS($I$2:I476),$I$2:$I$1001,0),1)&gt;=100000,INDEX($P$1005:$S$1005,1,MATCH(COLUMNS($P$1006:R1006),$P$1006:$S$1006,0))&gt;=100000), " ",IF(INDEX($P$2:$S$1001,MATCH(ROWS($I$2:I476),$I$2:$I$1001,0),MATCH(COLUMNS($P$1006:R1006),$P$1006:$S$1006,0)), HYPERLINK("#",""), HYPERLINK(CONCATENATE("#metadata!", ADDRESS(INDEX($K$2:$K$1001,MATCH(ROWS($I$2:I476),$I$2:$I$1001,0),0), INDEX($P$1004:$S$1004,1,MATCH(COLUMNS($P$1006:R1006),$P$1006:$S$1006,0)))),"Fix")))</f>
        <v>0</v>
      </c>
      <c r="E476" s="3">
        <f>IF(OR(INDEX($J$2:$J$1001,MATCH(ROWS($I$2:I476),$I$2:$I$1001,0),1)&gt;=100000,INDEX($P$1005:$S$1005,1,MATCH(COLUMNS($P$1006:S1006),$P$1006:$S$1006,0))&gt;=100000), " ",IF(INDEX($P$2:$S$1001,MATCH(ROWS($I$2:I476),$I$2:$I$1001,0),MATCH(COLUMNS($P$1006:S1006),$P$1006:$S$1006,0)), HYPERLINK("#",""), HYPERLINK(CONCATENATE("#metadata!", ADDRESS(INDEX($K$2:$K$1001,MATCH(ROWS($I$2:I476),$I$2:$I$1001,0),0), INDEX($P$1004:$S$1004,1,MATCH(COLUMNS($P$1006:S1006),$P$1006:$S$1006,0)))),"Fix")))</f>
        <v>0</v>
      </c>
      <c r="I476">
        <v>0</v>
      </c>
      <c r="J476">
        <v>0</v>
      </c>
      <c r="K476">
        <v>0</v>
      </c>
      <c r="L476">
        <f>IF(M476,TRUE,AND(P476:S476))</f>
        <v>0</v>
      </c>
      <c r="M476">
        <f>COUNTBLANK(metadata!B476:E476)=COLUMNS(metadata!B476:E476)</f>
        <v>0</v>
      </c>
      <c r="N476">
        <v>0</v>
      </c>
      <c r="P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Q476">
        <f>AND(IF(metadata!C476="",FALSE,TRUE),exact(metadata!C476,"other"))</f>
        <v>0</v>
      </c>
      <c r="R476">
        <f>AND(IF(metadata!D476="",FALSE,TRUE),exact(metadata!D476,"metagenome"))</f>
        <v>0</v>
      </c>
      <c r="S476">
        <f>AND(IF(metadata!E476="",FALSE,TRUE),exact(metadata!E476,"256318"))</f>
        <v>0</v>
      </c>
    </row>
    <row r="477" spans="1:19">
      <c r="A477" s="4">
        <f>IF(B477=" "," ",HYPERLINK(CONCATENATE("#metadata!",ADDRESS(INDEX($K$2:$K$1001,MATCH(ROWS($I$2:I477),$I$2:$I$1001,0),0),1)),INDEX($N$2:$N$1001,MATCH(ROWS($I$2:I477),$I$2:$I$1001,0),0)))</f>
        <v>0</v>
      </c>
      <c r="B477" s="3">
        <f>IF(OR(INDEX($J$2:$J$1001,MATCH(ROWS($I$2:I477),$I$2:$I$1001,0),1)&gt;=100000,INDEX($P$1005:$S$1005,1,MATCH(COLUMNS($P$1006:P1006),$P$1006:$S$1006,0))&gt;=100000), " ",IF(INDEX($P$2:$S$1001,MATCH(ROWS($I$2:I477),$I$2:$I$1001,0),MATCH(COLUMNS($P$1006:P1006),$P$1006:$S$1006,0)), HYPERLINK("#",""), HYPERLINK(CONCATENATE("#metadata!", ADDRESS(INDEX($K$2:$K$1001,MATCH(ROWS($I$2:I477),$I$2:$I$1001,0),0), INDEX($P$1004:$S$1004,1,MATCH(COLUMNS($P$1006:P1006),$P$1006:$S$1006,0)))),"Fix")))</f>
        <v>0</v>
      </c>
      <c r="C477" s="3">
        <f>IF(OR(INDEX($J$2:$J$1001,MATCH(ROWS($I$2:I477),$I$2:$I$1001,0),1)&gt;=100000,INDEX($P$1005:$S$1005,1,MATCH(COLUMNS($P$1006:Q1006),$P$1006:$S$1006,0))&gt;=100000), " ",IF(INDEX($P$2:$S$1001,MATCH(ROWS($I$2:I477),$I$2:$I$1001,0),MATCH(COLUMNS($P$1006:Q1006),$P$1006:$S$1006,0)), HYPERLINK("#",""), HYPERLINK(CONCATENATE("#metadata!", ADDRESS(INDEX($K$2:$K$1001,MATCH(ROWS($I$2:I477),$I$2:$I$1001,0),0), INDEX($P$1004:$S$1004,1,MATCH(COLUMNS($P$1006:Q1006),$P$1006:$S$1006,0)))),"Fix")))</f>
        <v>0</v>
      </c>
      <c r="D477" s="3">
        <f>IF(OR(INDEX($J$2:$J$1001,MATCH(ROWS($I$2:I477),$I$2:$I$1001,0),1)&gt;=100000,INDEX($P$1005:$S$1005,1,MATCH(COLUMNS($P$1006:R1006),$P$1006:$S$1006,0))&gt;=100000), " ",IF(INDEX($P$2:$S$1001,MATCH(ROWS($I$2:I477),$I$2:$I$1001,0),MATCH(COLUMNS($P$1006:R1006),$P$1006:$S$1006,0)), HYPERLINK("#",""), HYPERLINK(CONCATENATE("#metadata!", ADDRESS(INDEX($K$2:$K$1001,MATCH(ROWS($I$2:I477),$I$2:$I$1001,0),0), INDEX($P$1004:$S$1004,1,MATCH(COLUMNS($P$1006:R1006),$P$1006:$S$1006,0)))),"Fix")))</f>
        <v>0</v>
      </c>
      <c r="E477" s="3">
        <f>IF(OR(INDEX($J$2:$J$1001,MATCH(ROWS($I$2:I477),$I$2:$I$1001,0),1)&gt;=100000,INDEX($P$1005:$S$1005,1,MATCH(COLUMNS($P$1006:S1006),$P$1006:$S$1006,0))&gt;=100000), " ",IF(INDEX($P$2:$S$1001,MATCH(ROWS($I$2:I477),$I$2:$I$1001,0),MATCH(COLUMNS($P$1006:S1006),$P$1006:$S$1006,0)), HYPERLINK("#",""), HYPERLINK(CONCATENATE("#metadata!", ADDRESS(INDEX($K$2:$K$1001,MATCH(ROWS($I$2:I477),$I$2:$I$1001,0),0), INDEX($P$1004:$S$1004,1,MATCH(COLUMNS($P$1006:S1006),$P$1006:$S$1006,0)))),"Fix")))</f>
        <v>0</v>
      </c>
      <c r="I477">
        <v>0</v>
      </c>
      <c r="J477">
        <v>0</v>
      </c>
      <c r="K477">
        <v>0</v>
      </c>
      <c r="L477">
        <f>IF(M477,TRUE,AND(P477:S477))</f>
        <v>0</v>
      </c>
      <c r="M477">
        <f>COUNTBLANK(metadata!B477:E477)=COLUMNS(metadata!B477:E477)</f>
        <v>0</v>
      </c>
      <c r="N477">
        <v>0</v>
      </c>
      <c r="P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Q477">
        <f>AND(IF(metadata!C477="",FALSE,TRUE),exact(metadata!C477,"other"))</f>
        <v>0</v>
      </c>
      <c r="R477">
        <f>AND(IF(metadata!D477="",FALSE,TRUE),exact(metadata!D477,"metagenome"))</f>
        <v>0</v>
      </c>
      <c r="S477">
        <f>AND(IF(metadata!E477="",FALSE,TRUE),exact(metadata!E477,"256318"))</f>
        <v>0</v>
      </c>
    </row>
    <row r="478" spans="1:19">
      <c r="A478" s="4">
        <f>IF(B478=" "," ",HYPERLINK(CONCATENATE("#metadata!",ADDRESS(INDEX($K$2:$K$1001,MATCH(ROWS($I$2:I478),$I$2:$I$1001,0),0),1)),INDEX($N$2:$N$1001,MATCH(ROWS($I$2:I478),$I$2:$I$1001,0),0)))</f>
        <v>0</v>
      </c>
      <c r="B478" s="3">
        <f>IF(OR(INDEX($J$2:$J$1001,MATCH(ROWS($I$2:I478),$I$2:$I$1001,0),1)&gt;=100000,INDEX($P$1005:$S$1005,1,MATCH(COLUMNS($P$1006:P1006),$P$1006:$S$1006,0))&gt;=100000), " ",IF(INDEX($P$2:$S$1001,MATCH(ROWS($I$2:I478),$I$2:$I$1001,0),MATCH(COLUMNS($P$1006:P1006),$P$1006:$S$1006,0)), HYPERLINK("#",""), HYPERLINK(CONCATENATE("#metadata!", ADDRESS(INDEX($K$2:$K$1001,MATCH(ROWS($I$2:I478),$I$2:$I$1001,0),0), INDEX($P$1004:$S$1004,1,MATCH(COLUMNS($P$1006:P1006),$P$1006:$S$1006,0)))),"Fix")))</f>
        <v>0</v>
      </c>
      <c r="C478" s="3">
        <f>IF(OR(INDEX($J$2:$J$1001,MATCH(ROWS($I$2:I478),$I$2:$I$1001,0),1)&gt;=100000,INDEX($P$1005:$S$1005,1,MATCH(COLUMNS($P$1006:Q1006),$P$1006:$S$1006,0))&gt;=100000), " ",IF(INDEX($P$2:$S$1001,MATCH(ROWS($I$2:I478),$I$2:$I$1001,0),MATCH(COLUMNS($P$1006:Q1006),$P$1006:$S$1006,0)), HYPERLINK("#",""), HYPERLINK(CONCATENATE("#metadata!", ADDRESS(INDEX($K$2:$K$1001,MATCH(ROWS($I$2:I478),$I$2:$I$1001,0),0), INDEX($P$1004:$S$1004,1,MATCH(COLUMNS($P$1006:Q1006),$P$1006:$S$1006,0)))),"Fix")))</f>
        <v>0</v>
      </c>
      <c r="D478" s="3">
        <f>IF(OR(INDEX($J$2:$J$1001,MATCH(ROWS($I$2:I478),$I$2:$I$1001,0),1)&gt;=100000,INDEX($P$1005:$S$1005,1,MATCH(COLUMNS($P$1006:R1006),$P$1006:$S$1006,0))&gt;=100000), " ",IF(INDEX($P$2:$S$1001,MATCH(ROWS($I$2:I478),$I$2:$I$1001,0),MATCH(COLUMNS($P$1006:R1006),$P$1006:$S$1006,0)), HYPERLINK("#",""), HYPERLINK(CONCATENATE("#metadata!", ADDRESS(INDEX($K$2:$K$1001,MATCH(ROWS($I$2:I478),$I$2:$I$1001,0),0), INDEX($P$1004:$S$1004,1,MATCH(COLUMNS($P$1006:R1006),$P$1006:$S$1006,0)))),"Fix")))</f>
        <v>0</v>
      </c>
      <c r="E478" s="3">
        <f>IF(OR(INDEX($J$2:$J$1001,MATCH(ROWS($I$2:I478),$I$2:$I$1001,0),1)&gt;=100000,INDEX($P$1005:$S$1005,1,MATCH(COLUMNS($P$1006:S1006),$P$1006:$S$1006,0))&gt;=100000), " ",IF(INDEX($P$2:$S$1001,MATCH(ROWS($I$2:I478),$I$2:$I$1001,0),MATCH(COLUMNS($P$1006:S1006),$P$1006:$S$1006,0)), HYPERLINK("#",""), HYPERLINK(CONCATENATE("#metadata!", ADDRESS(INDEX($K$2:$K$1001,MATCH(ROWS($I$2:I478),$I$2:$I$1001,0),0), INDEX($P$1004:$S$1004,1,MATCH(COLUMNS($P$1006:S1006),$P$1006:$S$1006,0)))),"Fix")))</f>
        <v>0</v>
      </c>
      <c r="I478">
        <v>0</v>
      </c>
      <c r="J478">
        <v>0</v>
      </c>
      <c r="K478">
        <v>0</v>
      </c>
      <c r="L478">
        <f>IF(M478,TRUE,AND(P478:S478))</f>
        <v>0</v>
      </c>
      <c r="M478">
        <f>COUNTBLANK(metadata!B478:E478)=COLUMNS(metadata!B478:E478)</f>
        <v>0</v>
      </c>
      <c r="N478">
        <v>0</v>
      </c>
      <c r="P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Q478">
        <f>AND(IF(metadata!C478="",FALSE,TRUE),exact(metadata!C478,"other"))</f>
        <v>0</v>
      </c>
      <c r="R478">
        <f>AND(IF(metadata!D478="",FALSE,TRUE),exact(metadata!D478,"metagenome"))</f>
        <v>0</v>
      </c>
      <c r="S478">
        <f>AND(IF(metadata!E478="",FALSE,TRUE),exact(metadata!E478,"256318"))</f>
        <v>0</v>
      </c>
    </row>
    <row r="479" spans="1:19">
      <c r="A479" s="4">
        <f>IF(B479=" "," ",HYPERLINK(CONCATENATE("#metadata!",ADDRESS(INDEX($K$2:$K$1001,MATCH(ROWS($I$2:I479),$I$2:$I$1001,0),0),1)),INDEX($N$2:$N$1001,MATCH(ROWS($I$2:I479),$I$2:$I$1001,0),0)))</f>
        <v>0</v>
      </c>
      <c r="B479" s="3">
        <f>IF(OR(INDEX($J$2:$J$1001,MATCH(ROWS($I$2:I479),$I$2:$I$1001,0),1)&gt;=100000,INDEX($P$1005:$S$1005,1,MATCH(COLUMNS($P$1006:P1006),$P$1006:$S$1006,0))&gt;=100000), " ",IF(INDEX($P$2:$S$1001,MATCH(ROWS($I$2:I479),$I$2:$I$1001,0),MATCH(COLUMNS($P$1006:P1006),$P$1006:$S$1006,0)), HYPERLINK("#",""), HYPERLINK(CONCATENATE("#metadata!", ADDRESS(INDEX($K$2:$K$1001,MATCH(ROWS($I$2:I479),$I$2:$I$1001,0),0), INDEX($P$1004:$S$1004,1,MATCH(COLUMNS($P$1006:P1006),$P$1006:$S$1006,0)))),"Fix")))</f>
        <v>0</v>
      </c>
      <c r="C479" s="3">
        <f>IF(OR(INDEX($J$2:$J$1001,MATCH(ROWS($I$2:I479),$I$2:$I$1001,0),1)&gt;=100000,INDEX($P$1005:$S$1005,1,MATCH(COLUMNS($P$1006:Q1006),$P$1006:$S$1006,0))&gt;=100000), " ",IF(INDEX($P$2:$S$1001,MATCH(ROWS($I$2:I479),$I$2:$I$1001,0),MATCH(COLUMNS($P$1006:Q1006),$P$1006:$S$1006,0)), HYPERLINK("#",""), HYPERLINK(CONCATENATE("#metadata!", ADDRESS(INDEX($K$2:$K$1001,MATCH(ROWS($I$2:I479),$I$2:$I$1001,0),0), INDEX($P$1004:$S$1004,1,MATCH(COLUMNS($P$1006:Q1006),$P$1006:$S$1006,0)))),"Fix")))</f>
        <v>0</v>
      </c>
      <c r="D479" s="3">
        <f>IF(OR(INDEX($J$2:$J$1001,MATCH(ROWS($I$2:I479),$I$2:$I$1001,0),1)&gt;=100000,INDEX($P$1005:$S$1005,1,MATCH(COLUMNS($P$1006:R1006),$P$1006:$S$1006,0))&gt;=100000), " ",IF(INDEX($P$2:$S$1001,MATCH(ROWS($I$2:I479),$I$2:$I$1001,0),MATCH(COLUMNS($P$1006:R1006),$P$1006:$S$1006,0)), HYPERLINK("#",""), HYPERLINK(CONCATENATE("#metadata!", ADDRESS(INDEX($K$2:$K$1001,MATCH(ROWS($I$2:I479),$I$2:$I$1001,0),0), INDEX($P$1004:$S$1004,1,MATCH(COLUMNS($P$1006:R1006),$P$1006:$S$1006,0)))),"Fix")))</f>
        <v>0</v>
      </c>
      <c r="E479" s="3">
        <f>IF(OR(INDEX($J$2:$J$1001,MATCH(ROWS($I$2:I479),$I$2:$I$1001,0),1)&gt;=100000,INDEX($P$1005:$S$1005,1,MATCH(COLUMNS($P$1006:S1006),$P$1006:$S$1006,0))&gt;=100000), " ",IF(INDEX($P$2:$S$1001,MATCH(ROWS($I$2:I479),$I$2:$I$1001,0),MATCH(COLUMNS($P$1006:S1006),$P$1006:$S$1006,0)), HYPERLINK("#",""), HYPERLINK(CONCATENATE("#metadata!", ADDRESS(INDEX($K$2:$K$1001,MATCH(ROWS($I$2:I479),$I$2:$I$1001,0),0), INDEX($P$1004:$S$1004,1,MATCH(COLUMNS($P$1006:S1006),$P$1006:$S$1006,0)))),"Fix")))</f>
        <v>0</v>
      </c>
      <c r="I479">
        <v>0</v>
      </c>
      <c r="J479">
        <v>0</v>
      </c>
      <c r="K479">
        <v>0</v>
      </c>
      <c r="L479">
        <f>IF(M479,TRUE,AND(P479:S479))</f>
        <v>0</v>
      </c>
      <c r="M479">
        <f>COUNTBLANK(metadata!B479:E479)=COLUMNS(metadata!B479:E479)</f>
        <v>0</v>
      </c>
      <c r="N479">
        <v>0</v>
      </c>
      <c r="P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Q479">
        <f>AND(IF(metadata!C479="",FALSE,TRUE),exact(metadata!C479,"other"))</f>
        <v>0</v>
      </c>
      <c r="R479">
        <f>AND(IF(metadata!D479="",FALSE,TRUE),exact(metadata!D479,"metagenome"))</f>
        <v>0</v>
      </c>
      <c r="S479">
        <f>AND(IF(metadata!E479="",FALSE,TRUE),exact(metadata!E479,"256318"))</f>
        <v>0</v>
      </c>
    </row>
    <row r="480" spans="1:19">
      <c r="A480" s="4">
        <f>IF(B480=" "," ",HYPERLINK(CONCATENATE("#metadata!",ADDRESS(INDEX($K$2:$K$1001,MATCH(ROWS($I$2:I480),$I$2:$I$1001,0),0),1)),INDEX($N$2:$N$1001,MATCH(ROWS($I$2:I480),$I$2:$I$1001,0),0)))</f>
        <v>0</v>
      </c>
      <c r="B480" s="3">
        <f>IF(OR(INDEX($J$2:$J$1001,MATCH(ROWS($I$2:I480),$I$2:$I$1001,0),1)&gt;=100000,INDEX($P$1005:$S$1005,1,MATCH(COLUMNS($P$1006:P1006),$P$1006:$S$1006,0))&gt;=100000), " ",IF(INDEX($P$2:$S$1001,MATCH(ROWS($I$2:I480),$I$2:$I$1001,0),MATCH(COLUMNS($P$1006:P1006),$P$1006:$S$1006,0)), HYPERLINK("#",""), HYPERLINK(CONCATENATE("#metadata!", ADDRESS(INDEX($K$2:$K$1001,MATCH(ROWS($I$2:I480),$I$2:$I$1001,0),0), INDEX($P$1004:$S$1004,1,MATCH(COLUMNS($P$1006:P1006),$P$1006:$S$1006,0)))),"Fix")))</f>
        <v>0</v>
      </c>
      <c r="C480" s="3">
        <f>IF(OR(INDEX($J$2:$J$1001,MATCH(ROWS($I$2:I480),$I$2:$I$1001,0),1)&gt;=100000,INDEX($P$1005:$S$1005,1,MATCH(COLUMNS($P$1006:Q1006),$P$1006:$S$1006,0))&gt;=100000), " ",IF(INDEX($P$2:$S$1001,MATCH(ROWS($I$2:I480),$I$2:$I$1001,0),MATCH(COLUMNS($P$1006:Q1006),$P$1006:$S$1006,0)), HYPERLINK("#",""), HYPERLINK(CONCATENATE("#metadata!", ADDRESS(INDEX($K$2:$K$1001,MATCH(ROWS($I$2:I480),$I$2:$I$1001,0),0), INDEX($P$1004:$S$1004,1,MATCH(COLUMNS($P$1006:Q1006),$P$1006:$S$1006,0)))),"Fix")))</f>
        <v>0</v>
      </c>
      <c r="D480" s="3">
        <f>IF(OR(INDEX($J$2:$J$1001,MATCH(ROWS($I$2:I480),$I$2:$I$1001,0),1)&gt;=100000,INDEX($P$1005:$S$1005,1,MATCH(COLUMNS($P$1006:R1006),$P$1006:$S$1006,0))&gt;=100000), " ",IF(INDEX($P$2:$S$1001,MATCH(ROWS($I$2:I480),$I$2:$I$1001,0),MATCH(COLUMNS($P$1006:R1006),$P$1006:$S$1006,0)), HYPERLINK("#",""), HYPERLINK(CONCATENATE("#metadata!", ADDRESS(INDEX($K$2:$K$1001,MATCH(ROWS($I$2:I480),$I$2:$I$1001,0),0), INDEX($P$1004:$S$1004,1,MATCH(COLUMNS($P$1006:R1006),$P$1006:$S$1006,0)))),"Fix")))</f>
        <v>0</v>
      </c>
      <c r="E480" s="3">
        <f>IF(OR(INDEX($J$2:$J$1001,MATCH(ROWS($I$2:I480),$I$2:$I$1001,0),1)&gt;=100000,INDEX($P$1005:$S$1005,1,MATCH(COLUMNS($P$1006:S1006),$P$1006:$S$1006,0))&gt;=100000), " ",IF(INDEX($P$2:$S$1001,MATCH(ROWS($I$2:I480),$I$2:$I$1001,0),MATCH(COLUMNS($P$1006:S1006),$P$1006:$S$1006,0)), HYPERLINK("#",""), HYPERLINK(CONCATENATE("#metadata!", ADDRESS(INDEX($K$2:$K$1001,MATCH(ROWS($I$2:I480),$I$2:$I$1001,0),0), INDEX($P$1004:$S$1004,1,MATCH(COLUMNS($P$1006:S1006),$P$1006:$S$1006,0)))),"Fix")))</f>
        <v>0</v>
      </c>
      <c r="I480">
        <v>0</v>
      </c>
      <c r="J480">
        <v>0</v>
      </c>
      <c r="K480">
        <v>0</v>
      </c>
      <c r="L480">
        <f>IF(M480,TRUE,AND(P480:S480))</f>
        <v>0</v>
      </c>
      <c r="M480">
        <f>COUNTBLANK(metadata!B480:E480)=COLUMNS(metadata!B480:E480)</f>
        <v>0</v>
      </c>
      <c r="N480">
        <v>0</v>
      </c>
      <c r="P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Q480">
        <f>AND(IF(metadata!C480="",FALSE,TRUE),exact(metadata!C480,"other"))</f>
        <v>0</v>
      </c>
      <c r="R480">
        <f>AND(IF(metadata!D480="",FALSE,TRUE),exact(metadata!D480,"metagenome"))</f>
        <v>0</v>
      </c>
      <c r="S480">
        <f>AND(IF(metadata!E480="",FALSE,TRUE),exact(metadata!E480,"256318"))</f>
        <v>0</v>
      </c>
    </row>
    <row r="481" spans="1:19">
      <c r="A481" s="4">
        <f>IF(B481=" "," ",HYPERLINK(CONCATENATE("#metadata!",ADDRESS(INDEX($K$2:$K$1001,MATCH(ROWS($I$2:I481),$I$2:$I$1001,0),0),1)),INDEX($N$2:$N$1001,MATCH(ROWS($I$2:I481),$I$2:$I$1001,0),0)))</f>
        <v>0</v>
      </c>
      <c r="B481" s="3">
        <f>IF(OR(INDEX($J$2:$J$1001,MATCH(ROWS($I$2:I481),$I$2:$I$1001,0),1)&gt;=100000,INDEX($P$1005:$S$1005,1,MATCH(COLUMNS($P$1006:P1006),$P$1006:$S$1006,0))&gt;=100000), " ",IF(INDEX($P$2:$S$1001,MATCH(ROWS($I$2:I481),$I$2:$I$1001,0),MATCH(COLUMNS($P$1006:P1006),$P$1006:$S$1006,0)), HYPERLINK("#",""), HYPERLINK(CONCATENATE("#metadata!", ADDRESS(INDEX($K$2:$K$1001,MATCH(ROWS($I$2:I481),$I$2:$I$1001,0),0), INDEX($P$1004:$S$1004,1,MATCH(COLUMNS($P$1006:P1006),$P$1006:$S$1006,0)))),"Fix")))</f>
        <v>0</v>
      </c>
      <c r="C481" s="3">
        <f>IF(OR(INDEX($J$2:$J$1001,MATCH(ROWS($I$2:I481),$I$2:$I$1001,0),1)&gt;=100000,INDEX($P$1005:$S$1005,1,MATCH(COLUMNS($P$1006:Q1006),$P$1006:$S$1006,0))&gt;=100000), " ",IF(INDEX($P$2:$S$1001,MATCH(ROWS($I$2:I481),$I$2:$I$1001,0),MATCH(COLUMNS($P$1006:Q1006),$P$1006:$S$1006,0)), HYPERLINK("#",""), HYPERLINK(CONCATENATE("#metadata!", ADDRESS(INDEX($K$2:$K$1001,MATCH(ROWS($I$2:I481),$I$2:$I$1001,0),0), INDEX($P$1004:$S$1004,1,MATCH(COLUMNS($P$1006:Q1006),$P$1006:$S$1006,0)))),"Fix")))</f>
        <v>0</v>
      </c>
      <c r="D481" s="3">
        <f>IF(OR(INDEX($J$2:$J$1001,MATCH(ROWS($I$2:I481),$I$2:$I$1001,0),1)&gt;=100000,INDEX($P$1005:$S$1005,1,MATCH(COLUMNS($P$1006:R1006),$P$1006:$S$1006,0))&gt;=100000), " ",IF(INDEX($P$2:$S$1001,MATCH(ROWS($I$2:I481),$I$2:$I$1001,0),MATCH(COLUMNS($P$1006:R1006),$P$1006:$S$1006,0)), HYPERLINK("#",""), HYPERLINK(CONCATENATE("#metadata!", ADDRESS(INDEX($K$2:$K$1001,MATCH(ROWS($I$2:I481),$I$2:$I$1001,0),0), INDEX($P$1004:$S$1004,1,MATCH(COLUMNS($P$1006:R1006),$P$1006:$S$1006,0)))),"Fix")))</f>
        <v>0</v>
      </c>
      <c r="E481" s="3">
        <f>IF(OR(INDEX($J$2:$J$1001,MATCH(ROWS($I$2:I481),$I$2:$I$1001,0),1)&gt;=100000,INDEX($P$1005:$S$1005,1,MATCH(COLUMNS($P$1006:S1006),$P$1006:$S$1006,0))&gt;=100000), " ",IF(INDEX($P$2:$S$1001,MATCH(ROWS($I$2:I481),$I$2:$I$1001,0),MATCH(COLUMNS($P$1006:S1006),$P$1006:$S$1006,0)), HYPERLINK("#",""), HYPERLINK(CONCATENATE("#metadata!", ADDRESS(INDEX($K$2:$K$1001,MATCH(ROWS($I$2:I481),$I$2:$I$1001,0),0), INDEX($P$1004:$S$1004,1,MATCH(COLUMNS($P$1006:S1006),$P$1006:$S$1006,0)))),"Fix")))</f>
        <v>0</v>
      </c>
      <c r="I481">
        <v>0</v>
      </c>
      <c r="J481">
        <v>0</v>
      </c>
      <c r="K481">
        <v>0</v>
      </c>
      <c r="L481">
        <f>IF(M481,TRUE,AND(P481:S481))</f>
        <v>0</v>
      </c>
      <c r="M481">
        <f>COUNTBLANK(metadata!B481:E481)=COLUMNS(metadata!B481:E481)</f>
        <v>0</v>
      </c>
      <c r="N481">
        <v>0</v>
      </c>
      <c r="P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Q481">
        <f>AND(IF(metadata!C481="",FALSE,TRUE),exact(metadata!C481,"other"))</f>
        <v>0</v>
      </c>
      <c r="R481">
        <f>AND(IF(metadata!D481="",FALSE,TRUE),exact(metadata!D481,"metagenome"))</f>
        <v>0</v>
      </c>
      <c r="S481">
        <f>AND(IF(metadata!E481="",FALSE,TRUE),exact(metadata!E481,"256318"))</f>
        <v>0</v>
      </c>
    </row>
    <row r="482" spans="1:19">
      <c r="A482" s="4">
        <f>IF(B482=" "," ",HYPERLINK(CONCATENATE("#metadata!",ADDRESS(INDEX($K$2:$K$1001,MATCH(ROWS($I$2:I482),$I$2:$I$1001,0),0),1)),INDEX($N$2:$N$1001,MATCH(ROWS($I$2:I482),$I$2:$I$1001,0),0)))</f>
        <v>0</v>
      </c>
      <c r="B482" s="3">
        <f>IF(OR(INDEX($J$2:$J$1001,MATCH(ROWS($I$2:I482),$I$2:$I$1001,0),1)&gt;=100000,INDEX($P$1005:$S$1005,1,MATCH(COLUMNS($P$1006:P1006),$P$1006:$S$1006,0))&gt;=100000), " ",IF(INDEX($P$2:$S$1001,MATCH(ROWS($I$2:I482),$I$2:$I$1001,0),MATCH(COLUMNS($P$1006:P1006),$P$1006:$S$1006,0)), HYPERLINK("#",""), HYPERLINK(CONCATENATE("#metadata!", ADDRESS(INDEX($K$2:$K$1001,MATCH(ROWS($I$2:I482),$I$2:$I$1001,0),0), INDEX($P$1004:$S$1004,1,MATCH(COLUMNS($P$1006:P1006),$P$1006:$S$1006,0)))),"Fix")))</f>
        <v>0</v>
      </c>
      <c r="C482" s="3">
        <f>IF(OR(INDEX($J$2:$J$1001,MATCH(ROWS($I$2:I482),$I$2:$I$1001,0),1)&gt;=100000,INDEX($P$1005:$S$1005,1,MATCH(COLUMNS($P$1006:Q1006),$P$1006:$S$1006,0))&gt;=100000), " ",IF(INDEX($P$2:$S$1001,MATCH(ROWS($I$2:I482),$I$2:$I$1001,0),MATCH(COLUMNS($P$1006:Q1006),$P$1006:$S$1006,0)), HYPERLINK("#",""), HYPERLINK(CONCATENATE("#metadata!", ADDRESS(INDEX($K$2:$K$1001,MATCH(ROWS($I$2:I482),$I$2:$I$1001,0),0), INDEX($P$1004:$S$1004,1,MATCH(COLUMNS($P$1006:Q1006),$P$1006:$S$1006,0)))),"Fix")))</f>
        <v>0</v>
      </c>
      <c r="D482" s="3">
        <f>IF(OR(INDEX($J$2:$J$1001,MATCH(ROWS($I$2:I482),$I$2:$I$1001,0),1)&gt;=100000,INDEX($P$1005:$S$1005,1,MATCH(COLUMNS($P$1006:R1006),$P$1006:$S$1006,0))&gt;=100000), " ",IF(INDEX($P$2:$S$1001,MATCH(ROWS($I$2:I482),$I$2:$I$1001,0),MATCH(COLUMNS($P$1006:R1006),$P$1006:$S$1006,0)), HYPERLINK("#",""), HYPERLINK(CONCATENATE("#metadata!", ADDRESS(INDEX($K$2:$K$1001,MATCH(ROWS($I$2:I482),$I$2:$I$1001,0),0), INDEX($P$1004:$S$1004,1,MATCH(COLUMNS($P$1006:R1006),$P$1006:$S$1006,0)))),"Fix")))</f>
        <v>0</v>
      </c>
      <c r="E482" s="3">
        <f>IF(OR(INDEX($J$2:$J$1001,MATCH(ROWS($I$2:I482),$I$2:$I$1001,0),1)&gt;=100000,INDEX($P$1005:$S$1005,1,MATCH(COLUMNS($P$1006:S1006),$P$1006:$S$1006,0))&gt;=100000), " ",IF(INDEX($P$2:$S$1001,MATCH(ROWS($I$2:I482),$I$2:$I$1001,0),MATCH(COLUMNS($P$1006:S1006),$P$1006:$S$1006,0)), HYPERLINK("#",""), HYPERLINK(CONCATENATE("#metadata!", ADDRESS(INDEX($K$2:$K$1001,MATCH(ROWS($I$2:I482),$I$2:$I$1001,0),0), INDEX($P$1004:$S$1004,1,MATCH(COLUMNS($P$1006:S1006),$P$1006:$S$1006,0)))),"Fix")))</f>
        <v>0</v>
      </c>
      <c r="I482">
        <v>0</v>
      </c>
      <c r="J482">
        <v>0</v>
      </c>
      <c r="K482">
        <v>0</v>
      </c>
      <c r="L482">
        <f>IF(M482,TRUE,AND(P482:S482))</f>
        <v>0</v>
      </c>
      <c r="M482">
        <f>COUNTBLANK(metadata!B482:E482)=COLUMNS(metadata!B482:E482)</f>
        <v>0</v>
      </c>
      <c r="N482">
        <v>0</v>
      </c>
      <c r="P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Q482">
        <f>AND(IF(metadata!C482="",FALSE,TRUE),exact(metadata!C482,"other"))</f>
        <v>0</v>
      </c>
      <c r="R482">
        <f>AND(IF(metadata!D482="",FALSE,TRUE),exact(metadata!D482,"metagenome"))</f>
        <v>0</v>
      </c>
      <c r="S482">
        <f>AND(IF(metadata!E482="",FALSE,TRUE),exact(metadata!E482,"256318"))</f>
        <v>0</v>
      </c>
    </row>
    <row r="483" spans="1:19">
      <c r="A483" s="4">
        <f>IF(B483=" "," ",HYPERLINK(CONCATENATE("#metadata!",ADDRESS(INDEX($K$2:$K$1001,MATCH(ROWS($I$2:I483),$I$2:$I$1001,0),0),1)),INDEX($N$2:$N$1001,MATCH(ROWS($I$2:I483),$I$2:$I$1001,0),0)))</f>
        <v>0</v>
      </c>
      <c r="B483" s="3">
        <f>IF(OR(INDEX($J$2:$J$1001,MATCH(ROWS($I$2:I483),$I$2:$I$1001,0),1)&gt;=100000,INDEX($P$1005:$S$1005,1,MATCH(COLUMNS($P$1006:P1006),$P$1006:$S$1006,0))&gt;=100000), " ",IF(INDEX($P$2:$S$1001,MATCH(ROWS($I$2:I483),$I$2:$I$1001,0),MATCH(COLUMNS($P$1006:P1006),$P$1006:$S$1006,0)), HYPERLINK("#",""), HYPERLINK(CONCATENATE("#metadata!", ADDRESS(INDEX($K$2:$K$1001,MATCH(ROWS($I$2:I483),$I$2:$I$1001,0),0), INDEX($P$1004:$S$1004,1,MATCH(COLUMNS($P$1006:P1006),$P$1006:$S$1006,0)))),"Fix")))</f>
        <v>0</v>
      </c>
      <c r="C483" s="3">
        <f>IF(OR(INDEX($J$2:$J$1001,MATCH(ROWS($I$2:I483),$I$2:$I$1001,0),1)&gt;=100000,INDEX($P$1005:$S$1005,1,MATCH(COLUMNS($P$1006:Q1006),$P$1006:$S$1006,0))&gt;=100000), " ",IF(INDEX($P$2:$S$1001,MATCH(ROWS($I$2:I483),$I$2:$I$1001,0),MATCH(COLUMNS($P$1006:Q1006),$P$1006:$S$1006,0)), HYPERLINK("#",""), HYPERLINK(CONCATENATE("#metadata!", ADDRESS(INDEX($K$2:$K$1001,MATCH(ROWS($I$2:I483),$I$2:$I$1001,0),0), INDEX($P$1004:$S$1004,1,MATCH(COLUMNS($P$1006:Q1006),$P$1006:$S$1006,0)))),"Fix")))</f>
        <v>0</v>
      </c>
      <c r="D483" s="3">
        <f>IF(OR(INDEX($J$2:$J$1001,MATCH(ROWS($I$2:I483),$I$2:$I$1001,0),1)&gt;=100000,INDEX($P$1005:$S$1005,1,MATCH(COLUMNS($P$1006:R1006),$P$1006:$S$1006,0))&gt;=100000), " ",IF(INDEX($P$2:$S$1001,MATCH(ROWS($I$2:I483),$I$2:$I$1001,0),MATCH(COLUMNS($P$1006:R1006),$P$1006:$S$1006,0)), HYPERLINK("#",""), HYPERLINK(CONCATENATE("#metadata!", ADDRESS(INDEX($K$2:$K$1001,MATCH(ROWS($I$2:I483),$I$2:$I$1001,0),0), INDEX($P$1004:$S$1004,1,MATCH(COLUMNS($P$1006:R1006),$P$1006:$S$1006,0)))),"Fix")))</f>
        <v>0</v>
      </c>
      <c r="E483" s="3">
        <f>IF(OR(INDEX($J$2:$J$1001,MATCH(ROWS($I$2:I483),$I$2:$I$1001,0),1)&gt;=100000,INDEX($P$1005:$S$1005,1,MATCH(COLUMNS($P$1006:S1006),$P$1006:$S$1006,0))&gt;=100000), " ",IF(INDEX($P$2:$S$1001,MATCH(ROWS($I$2:I483),$I$2:$I$1001,0),MATCH(COLUMNS($P$1006:S1006),$P$1006:$S$1006,0)), HYPERLINK("#",""), HYPERLINK(CONCATENATE("#metadata!", ADDRESS(INDEX($K$2:$K$1001,MATCH(ROWS($I$2:I483),$I$2:$I$1001,0),0), INDEX($P$1004:$S$1004,1,MATCH(COLUMNS($P$1006:S1006),$P$1006:$S$1006,0)))),"Fix")))</f>
        <v>0</v>
      </c>
      <c r="I483">
        <v>0</v>
      </c>
      <c r="J483">
        <v>0</v>
      </c>
      <c r="K483">
        <v>0</v>
      </c>
      <c r="L483">
        <f>IF(M483,TRUE,AND(P483:S483))</f>
        <v>0</v>
      </c>
      <c r="M483">
        <f>COUNTBLANK(metadata!B483:E483)=COLUMNS(metadata!B483:E483)</f>
        <v>0</v>
      </c>
      <c r="N483">
        <v>0</v>
      </c>
      <c r="P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Q483">
        <f>AND(IF(metadata!C483="",FALSE,TRUE),exact(metadata!C483,"other"))</f>
        <v>0</v>
      </c>
      <c r="R483">
        <f>AND(IF(metadata!D483="",FALSE,TRUE),exact(metadata!D483,"metagenome"))</f>
        <v>0</v>
      </c>
      <c r="S483">
        <f>AND(IF(metadata!E483="",FALSE,TRUE),exact(metadata!E483,"256318"))</f>
        <v>0</v>
      </c>
    </row>
    <row r="484" spans="1:19">
      <c r="A484" s="4">
        <f>IF(B484=" "," ",HYPERLINK(CONCATENATE("#metadata!",ADDRESS(INDEX($K$2:$K$1001,MATCH(ROWS($I$2:I484),$I$2:$I$1001,0),0),1)),INDEX($N$2:$N$1001,MATCH(ROWS($I$2:I484),$I$2:$I$1001,0),0)))</f>
        <v>0</v>
      </c>
      <c r="B484" s="3">
        <f>IF(OR(INDEX($J$2:$J$1001,MATCH(ROWS($I$2:I484),$I$2:$I$1001,0),1)&gt;=100000,INDEX($P$1005:$S$1005,1,MATCH(COLUMNS($P$1006:P1006),$P$1006:$S$1006,0))&gt;=100000), " ",IF(INDEX($P$2:$S$1001,MATCH(ROWS($I$2:I484),$I$2:$I$1001,0),MATCH(COLUMNS($P$1006:P1006),$P$1006:$S$1006,0)), HYPERLINK("#",""), HYPERLINK(CONCATENATE("#metadata!", ADDRESS(INDEX($K$2:$K$1001,MATCH(ROWS($I$2:I484),$I$2:$I$1001,0),0), INDEX($P$1004:$S$1004,1,MATCH(COLUMNS($P$1006:P1006),$P$1006:$S$1006,0)))),"Fix")))</f>
        <v>0</v>
      </c>
      <c r="C484" s="3">
        <f>IF(OR(INDEX($J$2:$J$1001,MATCH(ROWS($I$2:I484),$I$2:$I$1001,0),1)&gt;=100000,INDEX($P$1005:$S$1005,1,MATCH(COLUMNS($P$1006:Q1006),$P$1006:$S$1006,0))&gt;=100000), " ",IF(INDEX($P$2:$S$1001,MATCH(ROWS($I$2:I484),$I$2:$I$1001,0),MATCH(COLUMNS($P$1006:Q1006),$P$1006:$S$1006,0)), HYPERLINK("#",""), HYPERLINK(CONCATENATE("#metadata!", ADDRESS(INDEX($K$2:$K$1001,MATCH(ROWS($I$2:I484),$I$2:$I$1001,0),0), INDEX($P$1004:$S$1004,1,MATCH(COLUMNS($P$1006:Q1006),$P$1006:$S$1006,0)))),"Fix")))</f>
        <v>0</v>
      </c>
      <c r="D484" s="3">
        <f>IF(OR(INDEX($J$2:$J$1001,MATCH(ROWS($I$2:I484),$I$2:$I$1001,0),1)&gt;=100000,INDEX($P$1005:$S$1005,1,MATCH(COLUMNS($P$1006:R1006),$P$1006:$S$1006,0))&gt;=100000), " ",IF(INDEX($P$2:$S$1001,MATCH(ROWS($I$2:I484),$I$2:$I$1001,0),MATCH(COLUMNS($P$1006:R1006),$P$1006:$S$1006,0)), HYPERLINK("#",""), HYPERLINK(CONCATENATE("#metadata!", ADDRESS(INDEX($K$2:$K$1001,MATCH(ROWS($I$2:I484),$I$2:$I$1001,0),0), INDEX($P$1004:$S$1004,1,MATCH(COLUMNS($P$1006:R1006),$P$1006:$S$1006,0)))),"Fix")))</f>
        <v>0</v>
      </c>
      <c r="E484" s="3">
        <f>IF(OR(INDEX($J$2:$J$1001,MATCH(ROWS($I$2:I484),$I$2:$I$1001,0),1)&gt;=100000,INDEX($P$1005:$S$1005,1,MATCH(COLUMNS($P$1006:S1006),$P$1006:$S$1006,0))&gt;=100000), " ",IF(INDEX($P$2:$S$1001,MATCH(ROWS($I$2:I484),$I$2:$I$1001,0),MATCH(COLUMNS($P$1006:S1006),$P$1006:$S$1006,0)), HYPERLINK("#",""), HYPERLINK(CONCATENATE("#metadata!", ADDRESS(INDEX($K$2:$K$1001,MATCH(ROWS($I$2:I484),$I$2:$I$1001,0),0), INDEX($P$1004:$S$1004,1,MATCH(COLUMNS($P$1006:S1006),$P$1006:$S$1006,0)))),"Fix")))</f>
        <v>0</v>
      </c>
      <c r="I484">
        <v>0</v>
      </c>
      <c r="J484">
        <v>0</v>
      </c>
      <c r="K484">
        <v>0</v>
      </c>
      <c r="L484">
        <f>IF(M484,TRUE,AND(P484:S484))</f>
        <v>0</v>
      </c>
      <c r="M484">
        <f>COUNTBLANK(metadata!B484:E484)=COLUMNS(metadata!B484:E484)</f>
        <v>0</v>
      </c>
      <c r="N484">
        <v>0</v>
      </c>
      <c r="P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Q484">
        <f>AND(IF(metadata!C484="",FALSE,TRUE),exact(metadata!C484,"other"))</f>
        <v>0</v>
      </c>
      <c r="R484">
        <f>AND(IF(metadata!D484="",FALSE,TRUE),exact(metadata!D484,"metagenome"))</f>
        <v>0</v>
      </c>
      <c r="S484">
        <f>AND(IF(metadata!E484="",FALSE,TRUE),exact(metadata!E484,"256318"))</f>
        <v>0</v>
      </c>
    </row>
    <row r="485" spans="1:19">
      <c r="A485" s="4">
        <f>IF(B485=" "," ",HYPERLINK(CONCATENATE("#metadata!",ADDRESS(INDEX($K$2:$K$1001,MATCH(ROWS($I$2:I485),$I$2:$I$1001,0),0),1)),INDEX($N$2:$N$1001,MATCH(ROWS($I$2:I485),$I$2:$I$1001,0),0)))</f>
        <v>0</v>
      </c>
      <c r="B485" s="3">
        <f>IF(OR(INDEX($J$2:$J$1001,MATCH(ROWS($I$2:I485),$I$2:$I$1001,0),1)&gt;=100000,INDEX($P$1005:$S$1005,1,MATCH(COLUMNS($P$1006:P1006),$P$1006:$S$1006,0))&gt;=100000), " ",IF(INDEX($P$2:$S$1001,MATCH(ROWS($I$2:I485),$I$2:$I$1001,0),MATCH(COLUMNS($P$1006:P1006),$P$1006:$S$1006,0)), HYPERLINK("#",""), HYPERLINK(CONCATENATE("#metadata!", ADDRESS(INDEX($K$2:$K$1001,MATCH(ROWS($I$2:I485),$I$2:$I$1001,0),0), INDEX($P$1004:$S$1004,1,MATCH(COLUMNS($P$1006:P1006),$P$1006:$S$1006,0)))),"Fix")))</f>
        <v>0</v>
      </c>
      <c r="C485" s="3">
        <f>IF(OR(INDEX($J$2:$J$1001,MATCH(ROWS($I$2:I485),$I$2:$I$1001,0),1)&gt;=100000,INDEX($P$1005:$S$1005,1,MATCH(COLUMNS($P$1006:Q1006),$P$1006:$S$1006,0))&gt;=100000), " ",IF(INDEX($P$2:$S$1001,MATCH(ROWS($I$2:I485),$I$2:$I$1001,0),MATCH(COLUMNS($P$1006:Q1006),$P$1006:$S$1006,0)), HYPERLINK("#",""), HYPERLINK(CONCATENATE("#metadata!", ADDRESS(INDEX($K$2:$K$1001,MATCH(ROWS($I$2:I485),$I$2:$I$1001,0),0), INDEX($P$1004:$S$1004,1,MATCH(COLUMNS($P$1006:Q1006),$P$1006:$S$1006,0)))),"Fix")))</f>
        <v>0</v>
      </c>
      <c r="D485" s="3">
        <f>IF(OR(INDEX($J$2:$J$1001,MATCH(ROWS($I$2:I485),$I$2:$I$1001,0),1)&gt;=100000,INDEX($P$1005:$S$1005,1,MATCH(COLUMNS($P$1006:R1006),$P$1006:$S$1006,0))&gt;=100000), " ",IF(INDEX($P$2:$S$1001,MATCH(ROWS($I$2:I485),$I$2:$I$1001,0),MATCH(COLUMNS($P$1006:R1006),$P$1006:$S$1006,0)), HYPERLINK("#",""), HYPERLINK(CONCATENATE("#metadata!", ADDRESS(INDEX($K$2:$K$1001,MATCH(ROWS($I$2:I485),$I$2:$I$1001,0),0), INDEX($P$1004:$S$1004,1,MATCH(COLUMNS($P$1006:R1006),$P$1006:$S$1006,0)))),"Fix")))</f>
        <v>0</v>
      </c>
      <c r="E485" s="3">
        <f>IF(OR(INDEX($J$2:$J$1001,MATCH(ROWS($I$2:I485),$I$2:$I$1001,0),1)&gt;=100000,INDEX($P$1005:$S$1005,1,MATCH(COLUMNS($P$1006:S1006),$P$1006:$S$1006,0))&gt;=100000), " ",IF(INDEX($P$2:$S$1001,MATCH(ROWS($I$2:I485),$I$2:$I$1001,0),MATCH(COLUMNS($P$1006:S1006),$P$1006:$S$1006,0)), HYPERLINK("#",""), HYPERLINK(CONCATENATE("#metadata!", ADDRESS(INDEX($K$2:$K$1001,MATCH(ROWS($I$2:I485),$I$2:$I$1001,0),0), INDEX($P$1004:$S$1004,1,MATCH(COLUMNS($P$1006:S1006),$P$1006:$S$1006,0)))),"Fix")))</f>
        <v>0</v>
      </c>
      <c r="I485">
        <v>0</v>
      </c>
      <c r="J485">
        <v>0</v>
      </c>
      <c r="K485">
        <v>0</v>
      </c>
      <c r="L485">
        <f>IF(M485,TRUE,AND(P485:S485))</f>
        <v>0</v>
      </c>
      <c r="M485">
        <f>COUNTBLANK(metadata!B485:E485)=COLUMNS(metadata!B485:E485)</f>
        <v>0</v>
      </c>
      <c r="N485">
        <v>0</v>
      </c>
      <c r="P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Q485">
        <f>AND(IF(metadata!C485="",FALSE,TRUE),exact(metadata!C485,"other"))</f>
        <v>0</v>
      </c>
      <c r="R485">
        <f>AND(IF(metadata!D485="",FALSE,TRUE),exact(metadata!D485,"metagenome"))</f>
        <v>0</v>
      </c>
      <c r="S485">
        <f>AND(IF(metadata!E485="",FALSE,TRUE),exact(metadata!E485,"256318"))</f>
        <v>0</v>
      </c>
    </row>
    <row r="486" spans="1:19">
      <c r="A486" s="4">
        <f>IF(B486=" "," ",HYPERLINK(CONCATENATE("#metadata!",ADDRESS(INDEX($K$2:$K$1001,MATCH(ROWS($I$2:I486),$I$2:$I$1001,0),0),1)),INDEX($N$2:$N$1001,MATCH(ROWS($I$2:I486),$I$2:$I$1001,0),0)))</f>
        <v>0</v>
      </c>
      <c r="B486" s="3">
        <f>IF(OR(INDEX($J$2:$J$1001,MATCH(ROWS($I$2:I486),$I$2:$I$1001,0),1)&gt;=100000,INDEX($P$1005:$S$1005,1,MATCH(COLUMNS($P$1006:P1006),$P$1006:$S$1006,0))&gt;=100000), " ",IF(INDEX($P$2:$S$1001,MATCH(ROWS($I$2:I486),$I$2:$I$1001,0),MATCH(COLUMNS($P$1006:P1006),$P$1006:$S$1006,0)), HYPERLINK("#",""), HYPERLINK(CONCATENATE("#metadata!", ADDRESS(INDEX($K$2:$K$1001,MATCH(ROWS($I$2:I486),$I$2:$I$1001,0),0), INDEX($P$1004:$S$1004,1,MATCH(COLUMNS($P$1006:P1006),$P$1006:$S$1006,0)))),"Fix")))</f>
        <v>0</v>
      </c>
      <c r="C486" s="3">
        <f>IF(OR(INDEX($J$2:$J$1001,MATCH(ROWS($I$2:I486),$I$2:$I$1001,0),1)&gt;=100000,INDEX($P$1005:$S$1005,1,MATCH(COLUMNS($P$1006:Q1006),$P$1006:$S$1006,0))&gt;=100000), " ",IF(INDEX($P$2:$S$1001,MATCH(ROWS($I$2:I486),$I$2:$I$1001,0),MATCH(COLUMNS($P$1006:Q1006),$P$1006:$S$1006,0)), HYPERLINK("#",""), HYPERLINK(CONCATENATE("#metadata!", ADDRESS(INDEX($K$2:$K$1001,MATCH(ROWS($I$2:I486),$I$2:$I$1001,0),0), INDEX($P$1004:$S$1004,1,MATCH(COLUMNS($P$1006:Q1006),$P$1006:$S$1006,0)))),"Fix")))</f>
        <v>0</v>
      </c>
      <c r="D486" s="3">
        <f>IF(OR(INDEX($J$2:$J$1001,MATCH(ROWS($I$2:I486),$I$2:$I$1001,0),1)&gt;=100000,INDEX($P$1005:$S$1005,1,MATCH(COLUMNS($P$1006:R1006),$P$1006:$S$1006,0))&gt;=100000), " ",IF(INDEX($P$2:$S$1001,MATCH(ROWS($I$2:I486),$I$2:$I$1001,0),MATCH(COLUMNS($P$1006:R1006),$P$1006:$S$1006,0)), HYPERLINK("#",""), HYPERLINK(CONCATENATE("#metadata!", ADDRESS(INDEX($K$2:$K$1001,MATCH(ROWS($I$2:I486),$I$2:$I$1001,0),0), INDEX($P$1004:$S$1004,1,MATCH(COLUMNS($P$1006:R1006),$P$1006:$S$1006,0)))),"Fix")))</f>
        <v>0</v>
      </c>
      <c r="E486" s="3">
        <f>IF(OR(INDEX($J$2:$J$1001,MATCH(ROWS($I$2:I486),$I$2:$I$1001,0),1)&gt;=100000,INDEX($P$1005:$S$1005,1,MATCH(COLUMNS($P$1006:S1006),$P$1006:$S$1006,0))&gt;=100000), " ",IF(INDEX($P$2:$S$1001,MATCH(ROWS($I$2:I486),$I$2:$I$1001,0),MATCH(COLUMNS($P$1006:S1006),$P$1006:$S$1006,0)), HYPERLINK("#",""), HYPERLINK(CONCATENATE("#metadata!", ADDRESS(INDEX($K$2:$K$1001,MATCH(ROWS($I$2:I486),$I$2:$I$1001,0),0), INDEX($P$1004:$S$1004,1,MATCH(COLUMNS($P$1006:S1006),$P$1006:$S$1006,0)))),"Fix")))</f>
        <v>0</v>
      </c>
      <c r="I486">
        <v>0</v>
      </c>
      <c r="J486">
        <v>0</v>
      </c>
      <c r="K486">
        <v>0</v>
      </c>
      <c r="L486">
        <f>IF(M486,TRUE,AND(P486:S486))</f>
        <v>0</v>
      </c>
      <c r="M486">
        <f>COUNTBLANK(metadata!B486:E486)=COLUMNS(metadata!B486:E486)</f>
        <v>0</v>
      </c>
      <c r="N486">
        <v>0</v>
      </c>
      <c r="P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Q486">
        <f>AND(IF(metadata!C486="",FALSE,TRUE),exact(metadata!C486,"other"))</f>
        <v>0</v>
      </c>
      <c r="R486">
        <f>AND(IF(metadata!D486="",FALSE,TRUE),exact(metadata!D486,"metagenome"))</f>
        <v>0</v>
      </c>
      <c r="S486">
        <f>AND(IF(metadata!E486="",FALSE,TRUE),exact(metadata!E486,"256318"))</f>
        <v>0</v>
      </c>
    </row>
    <row r="487" spans="1:19">
      <c r="A487" s="4">
        <f>IF(B487=" "," ",HYPERLINK(CONCATENATE("#metadata!",ADDRESS(INDEX($K$2:$K$1001,MATCH(ROWS($I$2:I487),$I$2:$I$1001,0),0),1)),INDEX($N$2:$N$1001,MATCH(ROWS($I$2:I487),$I$2:$I$1001,0),0)))</f>
        <v>0</v>
      </c>
      <c r="B487" s="3">
        <f>IF(OR(INDEX($J$2:$J$1001,MATCH(ROWS($I$2:I487),$I$2:$I$1001,0),1)&gt;=100000,INDEX($P$1005:$S$1005,1,MATCH(COLUMNS($P$1006:P1006),$P$1006:$S$1006,0))&gt;=100000), " ",IF(INDEX($P$2:$S$1001,MATCH(ROWS($I$2:I487),$I$2:$I$1001,0),MATCH(COLUMNS($P$1006:P1006),$P$1006:$S$1006,0)), HYPERLINK("#",""), HYPERLINK(CONCATENATE("#metadata!", ADDRESS(INDEX($K$2:$K$1001,MATCH(ROWS($I$2:I487),$I$2:$I$1001,0),0), INDEX($P$1004:$S$1004,1,MATCH(COLUMNS($P$1006:P1006),$P$1006:$S$1006,0)))),"Fix")))</f>
        <v>0</v>
      </c>
      <c r="C487" s="3">
        <f>IF(OR(INDEX($J$2:$J$1001,MATCH(ROWS($I$2:I487),$I$2:$I$1001,0),1)&gt;=100000,INDEX($P$1005:$S$1005,1,MATCH(COLUMNS($P$1006:Q1006),$P$1006:$S$1006,0))&gt;=100000), " ",IF(INDEX($P$2:$S$1001,MATCH(ROWS($I$2:I487),$I$2:$I$1001,0),MATCH(COLUMNS($P$1006:Q1006),$P$1006:$S$1006,0)), HYPERLINK("#",""), HYPERLINK(CONCATENATE("#metadata!", ADDRESS(INDEX($K$2:$K$1001,MATCH(ROWS($I$2:I487),$I$2:$I$1001,0),0), INDEX($P$1004:$S$1004,1,MATCH(COLUMNS($P$1006:Q1006),$P$1006:$S$1006,0)))),"Fix")))</f>
        <v>0</v>
      </c>
      <c r="D487" s="3">
        <f>IF(OR(INDEX($J$2:$J$1001,MATCH(ROWS($I$2:I487),$I$2:$I$1001,0),1)&gt;=100000,INDEX($P$1005:$S$1005,1,MATCH(COLUMNS($P$1006:R1006),$P$1006:$S$1006,0))&gt;=100000), " ",IF(INDEX($P$2:$S$1001,MATCH(ROWS($I$2:I487),$I$2:$I$1001,0),MATCH(COLUMNS($P$1006:R1006),$P$1006:$S$1006,0)), HYPERLINK("#",""), HYPERLINK(CONCATENATE("#metadata!", ADDRESS(INDEX($K$2:$K$1001,MATCH(ROWS($I$2:I487),$I$2:$I$1001,0),0), INDEX($P$1004:$S$1004,1,MATCH(COLUMNS($P$1006:R1006),$P$1006:$S$1006,0)))),"Fix")))</f>
        <v>0</v>
      </c>
      <c r="E487" s="3">
        <f>IF(OR(INDEX($J$2:$J$1001,MATCH(ROWS($I$2:I487),$I$2:$I$1001,0),1)&gt;=100000,INDEX($P$1005:$S$1005,1,MATCH(COLUMNS($P$1006:S1006),$P$1006:$S$1006,0))&gt;=100000), " ",IF(INDEX($P$2:$S$1001,MATCH(ROWS($I$2:I487),$I$2:$I$1001,0),MATCH(COLUMNS($P$1006:S1006),$P$1006:$S$1006,0)), HYPERLINK("#",""), HYPERLINK(CONCATENATE("#metadata!", ADDRESS(INDEX($K$2:$K$1001,MATCH(ROWS($I$2:I487),$I$2:$I$1001,0),0), INDEX($P$1004:$S$1004,1,MATCH(COLUMNS($P$1006:S1006),$P$1006:$S$1006,0)))),"Fix")))</f>
        <v>0</v>
      </c>
      <c r="I487">
        <v>0</v>
      </c>
      <c r="J487">
        <v>0</v>
      </c>
      <c r="K487">
        <v>0</v>
      </c>
      <c r="L487">
        <f>IF(M487,TRUE,AND(P487:S487))</f>
        <v>0</v>
      </c>
      <c r="M487">
        <f>COUNTBLANK(metadata!B487:E487)=COLUMNS(metadata!B487:E487)</f>
        <v>0</v>
      </c>
      <c r="N487">
        <v>0</v>
      </c>
      <c r="P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Q487">
        <f>AND(IF(metadata!C487="",FALSE,TRUE),exact(metadata!C487,"other"))</f>
        <v>0</v>
      </c>
      <c r="R487">
        <f>AND(IF(metadata!D487="",FALSE,TRUE),exact(metadata!D487,"metagenome"))</f>
        <v>0</v>
      </c>
      <c r="S487">
        <f>AND(IF(metadata!E487="",FALSE,TRUE),exact(metadata!E487,"256318"))</f>
        <v>0</v>
      </c>
    </row>
    <row r="488" spans="1:19">
      <c r="A488" s="4">
        <f>IF(B488=" "," ",HYPERLINK(CONCATENATE("#metadata!",ADDRESS(INDEX($K$2:$K$1001,MATCH(ROWS($I$2:I488),$I$2:$I$1001,0),0),1)),INDEX($N$2:$N$1001,MATCH(ROWS($I$2:I488),$I$2:$I$1001,0),0)))</f>
        <v>0</v>
      </c>
      <c r="B488" s="3">
        <f>IF(OR(INDEX($J$2:$J$1001,MATCH(ROWS($I$2:I488),$I$2:$I$1001,0),1)&gt;=100000,INDEX($P$1005:$S$1005,1,MATCH(COLUMNS($P$1006:P1006),$P$1006:$S$1006,0))&gt;=100000), " ",IF(INDEX($P$2:$S$1001,MATCH(ROWS($I$2:I488),$I$2:$I$1001,0),MATCH(COLUMNS($P$1006:P1006),$P$1006:$S$1006,0)), HYPERLINK("#",""), HYPERLINK(CONCATENATE("#metadata!", ADDRESS(INDEX($K$2:$K$1001,MATCH(ROWS($I$2:I488),$I$2:$I$1001,0),0), INDEX($P$1004:$S$1004,1,MATCH(COLUMNS($P$1006:P1006),$P$1006:$S$1006,0)))),"Fix")))</f>
        <v>0</v>
      </c>
      <c r="C488" s="3">
        <f>IF(OR(INDEX($J$2:$J$1001,MATCH(ROWS($I$2:I488),$I$2:$I$1001,0),1)&gt;=100000,INDEX($P$1005:$S$1005,1,MATCH(COLUMNS($P$1006:Q1006),$P$1006:$S$1006,0))&gt;=100000), " ",IF(INDEX($P$2:$S$1001,MATCH(ROWS($I$2:I488),$I$2:$I$1001,0),MATCH(COLUMNS($P$1006:Q1006),$P$1006:$S$1006,0)), HYPERLINK("#",""), HYPERLINK(CONCATENATE("#metadata!", ADDRESS(INDEX($K$2:$K$1001,MATCH(ROWS($I$2:I488),$I$2:$I$1001,0),0), INDEX($P$1004:$S$1004,1,MATCH(COLUMNS($P$1006:Q1006),$P$1006:$S$1006,0)))),"Fix")))</f>
        <v>0</v>
      </c>
      <c r="D488" s="3">
        <f>IF(OR(INDEX($J$2:$J$1001,MATCH(ROWS($I$2:I488),$I$2:$I$1001,0),1)&gt;=100000,INDEX($P$1005:$S$1005,1,MATCH(COLUMNS($P$1006:R1006),$P$1006:$S$1006,0))&gt;=100000), " ",IF(INDEX($P$2:$S$1001,MATCH(ROWS($I$2:I488),$I$2:$I$1001,0),MATCH(COLUMNS($P$1006:R1006),$P$1006:$S$1006,0)), HYPERLINK("#",""), HYPERLINK(CONCATENATE("#metadata!", ADDRESS(INDEX($K$2:$K$1001,MATCH(ROWS($I$2:I488),$I$2:$I$1001,0),0), INDEX($P$1004:$S$1004,1,MATCH(COLUMNS($P$1006:R1006),$P$1006:$S$1006,0)))),"Fix")))</f>
        <v>0</v>
      </c>
      <c r="E488" s="3">
        <f>IF(OR(INDEX($J$2:$J$1001,MATCH(ROWS($I$2:I488),$I$2:$I$1001,0),1)&gt;=100000,INDEX($P$1005:$S$1005,1,MATCH(COLUMNS($P$1006:S1006),$P$1006:$S$1006,0))&gt;=100000), " ",IF(INDEX($P$2:$S$1001,MATCH(ROWS($I$2:I488),$I$2:$I$1001,0),MATCH(COLUMNS($P$1006:S1006),$P$1006:$S$1006,0)), HYPERLINK("#",""), HYPERLINK(CONCATENATE("#metadata!", ADDRESS(INDEX($K$2:$K$1001,MATCH(ROWS($I$2:I488),$I$2:$I$1001,0),0), INDEX($P$1004:$S$1004,1,MATCH(COLUMNS($P$1006:S1006),$P$1006:$S$1006,0)))),"Fix")))</f>
        <v>0</v>
      </c>
      <c r="I488">
        <v>0</v>
      </c>
      <c r="J488">
        <v>0</v>
      </c>
      <c r="K488">
        <v>0</v>
      </c>
      <c r="L488">
        <f>IF(M488,TRUE,AND(P488:S488))</f>
        <v>0</v>
      </c>
      <c r="M488">
        <f>COUNTBLANK(metadata!B488:E488)=COLUMNS(metadata!B488:E488)</f>
        <v>0</v>
      </c>
      <c r="N488">
        <v>0</v>
      </c>
      <c r="P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Q488">
        <f>AND(IF(metadata!C488="",FALSE,TRUE),exact(metadata!C488,"other"))</f>
        <v>0</v>
      </c>
      <c r="R488">
        <f>AND(IF(metadata!D488="",FALSE,TRUE),exact(metadata!D488,"metagenome"))</f>
        <v>0</v>
      </c>
      <c r="S488">
        <f>AND(IF(metadata!E488="",FALSE,TRUE),exact(metadata!E488,"256318"))</f>
        <v>0</v>
      </c>
    </row>
    <row r="489" spans="1:19">
      <c r="A489" s="4">
        <f>IF(B489=" "," ",HYPERLINK(CONCATENATE("#metadata!",ADDRESS(INDEX($K$2:$K$1001,MATCH(ROWS($I$2:I489),$I$2:$I$1001,0),0),1)),INDEX($N$2:$N$1001,MATCH(ROWS($I$2:I489),$I$2:$I$1001,0),0)))</f>
        <v>0</v>
      </c>
      <c r="B489" s="3">
        <f>IF(OR(INDEX($J$2:$J$1001,MATCH(ROWS($I$2:I489),$I$2:$I$1001,0),1)&gt;=100000,INDEX($P$1005:$S$1005,1,MATCH(COLUMNS($P$1006:P1006),$P$1006:$S$1006,0))&gt;=100000), " ",IF(INDEX($P$2:$S$1001,MATCH(ROWS($I$2:I489),$I$2:$I$1001,0),MATCH(COLUMNS($P$1006:P1006),$P$1006:$S$1006,0)), HYPERLINK("#",""), HYPERLINK(CONCATENATE("#metadata!", ADDRESS(INDEX($K$2:$K$1001,MATCH(ROWS($I$2:I489),$I$2:$I$1001,0),0), INDEX($P$1004:$S$1004,1,MATCH(COLUMNS($P$1006:P1006),$P$1006:$S$1006,0)))),"Fix")))</f>
        <v>0</v>
      </c>
      <c r="C489" s="3">
        <f>IF(OR(INDEX($J$2:$J$1001,MATCH(ROWS($I$2:I489),$I$2:$I$1001,0),1)&gt;=100000,INDEX($P$1005:$S$1005,1,MATCH(COLUMNS($P$1006:Q1006),$P$1006:$S$1006,0))&gt;=100000), " ",IF(INDEX($P$2:$S$1001,MATCH(ROWS($I$2:I489),$I$2:$I$1001,0),MATCH(COLUMNS($P$1006:Q1006),$P$1006:$S$1006,0)), HYPERLINK("#",""), HYPERLINK(CONCATENATE("#metadata!", ADDRESS(INDEX($K$2:$K$1001,MATCH(ROWS($I$2:I489),$I$2:$I$1001,0),0), INDEX($P$1004:$S$1004,1,MATCH(COLUMNS($P$1006:Q1006),$P$1006:$S$1006,0)))),"Fix")))</f>
        <v>0</v>
      </c>
      <c r="D489" s="3">
        <f>IF(OR(INDEX($J$2:$J$1001,MATCH(ROWS($I$2:I489),$I$2:$I$1001,0),1)&gt;=100000,INDEX($P$1005:$S$1005,1,MATCH(COLUMNS($P$1006:R1006),$P$1006:$S$1006,0))&gt;=100000), " ",IF(INDEX($P$2:$S$1001,MATCH(ROWS($I$2:I489),$I$2:$I$1001,0),MATCH(COLUMNS($P$1006:R1006),$P$1006:$S$1006,0)), HYPERLINK("#",""), HYPERLINK(CONCATENATE("#metadata!", ADDRESS(INDEX($K$2:$K$1001,MATCH(ROWS($I$2:I489),$I$2:$I$1001,0),0), INDEX($P$1004:$S$1004,1,MATCH(COLUMNS($P$1006:R1006),$P$1006:$S$1006,0)))),"Fix")))</f>
        <v>0</v>
      </c>
      <c r="E489" s="3">
        <f>IF(OR(INDEX($J$2:$J$1001,MATCH(ROWS($I$2:I489),$I$2:$I$1001,0),1)&gt;=100000,INDEX($P$1005:$S$1005,1,MATCH(COLUMNS($P$1006:S1006),$P$1006:$S$1006,0))&gt;=100000), " ",IF(INDEX($P$2:$S$1001,MATCH(ROWS($I$2:I489),$I$2:$I$1001,0),MATCH(COLUMNS($P$1006:S1006),$P$1006:$S$1006,0)), HYPERLINK("#",""), HYPERLINK(CONCATENATE("#metadata!", ADDRESS(INDEX($K$2:$K$1001,MATCH(ROWS($I$2:I489),$I$2:$I$1001,0),0), INDEX($P$1004:$S$1004,1,MATCH(COLUMNS($P$1006:S1006),$P$1006:$S$1006,0)))),"Fix")))</f>
        <v>0</v>
      </c>
      <c r="I489">
        <v>0</v>
      </c>
      <c r="J489">
        <v>0</v>
      </c>
      <c r="K489">
        <v>0</v>
      </c>
      <c r="L489">
        <f>IF(M489,TRUE,AND(P489:S489))</f>
        <v>0</v>
      </c>
      <c r="M489">
        <f>COUNTBLANK(metadata!B489:E489)=COLUMNS(metadata!B489:E489)</f>
        <v>0</v>
      </c>
      <c r="N489">
        <v>0</v>
      </c>
      <c r="P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Q489">
        <f>AND(IF(metadata!C489="",FALSE,TRUE),exact(metadata!C489,"other"))</f>
        <v>0</v>
      </c>
      <c r="R489">
        <f>AND(IF(metadata!D489="",FALSE,TRUE),exact(metadata!D489,"metagenome"))</f>
        <v>0</v>
      </c>
      <c r="S489">
        <f>AND(IF(metadata!E489="",FALSE,TRUE),exact(metadata!E489,"256318"))</f>
        <v>0</v>
      </c>
    </row>
    <row r="490" spans="1:19">
      <c r="A490" s="4">
        <f>IF(B490=" "," ",HYPERLINK(CONCATENATE("#metadata!",ADDRESS(INDEX($K$2:$K$1001,MATCH(ROWS($I$2:I490),$I$2:$I$1001,0),0),1)),INDEX($N$2:$N$1001,MATCH(ROWS($I$2:I490),$I$2:$I$1001,0),0)))</f>
        <v>0</v>
      </c>
      <c r="B490" s="3">
        <f>IF(OR(INDEX($J$2:$J$1001,MATCH(ROWS($I$2:I490),$I$2:$I$1001,0),1)&gt;=100000,INDEX($P$1005:$S$1005,1,MATCH(COLUMNS($P$1006:P1006),$P$1006:$S$1006,0))&gt;=100000), " ",IF(INDEX($P$2:$S$1001,MATCH(ROWS($I$2:I490),$I$2:$I$1001,0),MATCH(COLUMNS($P$1006:P1006),$P$1006:$S$1006,0)), HYPERLINK("#",""), HYPERLINK(CONCATENATE("#metadata!", ADDRESS(INDEX($K$2:$K$1001,MATCH(ROWS($I$2:I490),$I$2:$I$1001,0),0), INDEX($P$1004:$S$1004,1,MATCH(COLUMNS($P$1006:P1006),$P$1006:$S$1006,0)))),"Fix")))</f>
        <v>0</v>
      </c>
      <c r="C490" s="3">
        <f>IF(OR(INDEX($J$2:$J$1001,MATCH(ROWS($I$2:I490),$I$2:$I$1001,0),1)&gt;=100000,INDEX($P$1005:$S$1005,1,MATCH(COLUMNS($P$1006:Q1006),$P$1006:$S$1006,0))&gt;=100000), " ",IF(INDEX($P$2:$S$1001,MATCH(ROWS($I$2:I490),$I$2:$I$1001,0),MATCH(COLUMNS($P$1006:Q1006),$P$1006:$S$1006,0)), HYPERLINK("#",""), HYPERLINK(CONCATENATE("#metadata!", ADDRESS(INDEX($K$2:$K$1001,MATCH(ROWS($I$2:I490),$I$2:$I$1001,0),0), INDEX($P$1004:$S$1004,1,MATCH(COLUMNS($P$1006:Q1006),$P$1006:$S$1006,0)))),"Fix")))</f>
        <v>0</v>
      </c>
      <c r="D490" s="3">
        <f>IF(OR(INDEX($J$2:$J$1001,MATCH(ROWS($I$2:I490),$I$2:$I$1001,0),1)&gt;=100000,INDEX($P$1005:$S$1005,1,MATCH(COLUMNS($P$1006:R1006),$P$1006:$S$1006,0))&gt;=100000), " ",IF(INDEX($P$2:$S$1001,MATCH(ROWS($I$2:I490),$I$2:$I$1001,0),MATCH(COLUMNS($P$1006:R1006),$P$1006:$S$1006,0)), HYPERLINK("#",""), HYPERLINK(CONCATENATE("#metadata!", ADDRESS(INDEX($K$2:$K$1001,MATCH(ROWS($I$2:I490),$I$2:$I$1001,0),0), INDEX($P$1004:$S$1004,1,MATCH(COLUMNS($P$1006:R1006),$P$1006:$S$1006,0)))),"Fix")))</f>
        <v>0</v>
      </c>
      <c r="E490" s="3">
        <f>IF(OR(INDEX($J$2:$J$1001,MATCH(ROWS($I$2:I490),$I$2:$I$1001,0),1)&gt;=100000,INDEX($P$1005:$S$1005,1,MATCH(COLUMNS($P$1006:S1006),$P$1006:$S$1006,0))&gt;=100000), " ",IF(INDEX($P$2:$S$1001,MATCH(ROWS($I$2:I490),$I$2:$I$1001,0),MATCH(COLUMNS($P$1006:S1006),$P$1006:$S$1006,0)), HYPERLINK("#",""), HYPERLINK(CONCATENATE("#metadata!", ADDRESS(INDEX($K$2:$K$1001,MATCH(ROWS($I$2:I490),$I$2:$I$1001,0),0), INDEX($P$1004:$S$1004,1,MATCH(COLUMNS($P$1006:S1006),$P$1006:$S$1006,0)))),"Fix")))</f>
        <v>0</v>
      </c>
      <c r="I490">
        <v>0</v>
      </c>
      <c r="J490">
        <v>0</v>
      </c>
      <c r="K490">
        <v>0</v>
      </c>
      <c r="L490">
        <f>IF(M490,TRUE,AND(P490:S490))</f>
        <v>0</v>
      </c>
      <c r="M490">
        <f>COUNTBLANK(metadata!B490:E490)=COLUMNS(metadata!B490:E490)</f>
        <v>0</v>
      </c>
      <c r="N490">
        <v>0</v>
      </c>
      <c r="P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Q490">
        <f>AND(IF(metadata!C490="",FALSE,TRUE),exact(metadata!C490,"other"))</f>
        <v>0</v>
      </c>
      <c r="R490">
        <f>AND(IF(metadata!D490="",FALSE,TRUE),exact(metadata!D490,"metagenome"))</f>
        <v>0</v>
      </c>
      <c r="S490">
        <f>AND(IF(metadata!E490="",FALSE,TRUE),exact(metadata!E490,"256318"))</f>
        <v>0</v>
      </c>
    </row>
    <row r="491" spans="1:19">
      <c r="A491" s="4">
        <f>IF(B491=" "," ",HYPERLINK(CONCATENATE("#metadata!",ADDRESS(INDEX($K$2:$K$1001,MATCH(ROWS($I$2:I491),$I$2:$I$1001,0),0),1)),INDEX($N$2:$N$1001,MATCH(ROWS($I$2:I491),$I$2:$I$1001,0),0)))</f>
        <v>0</v>
      </c>
      <c r="B491" s="3">
        <f>IF(OR(INDEX($J$2:$J$1001,MATCH(ROWS($I$2:I491),$I$2:$I$1001,0),1)&gt;=100000,INDEX($P$1005:$S$1005,1,MATCH(COLUMNS($P$1006:P1006),$P$1006:$S$1006,0))&gt;=100000), " ",IF(INDEX($P$2:$S$1001,MATCH(ROWS($I$2:I491),$I$2:$I$1001,0),MATCH(COLUMNS($P$1006:P1006),$P$1006:$S$1006,0)), HYPERLINK("#",""), HYPERLINK(CONCATENATE("#metadata!", ADDRESS(INDEX($K$2:$K$1001,MATCH(ROWS($I$2:I491),$I$2:$I$1001,0),0), INDEX($P$1004:$S$1004,1,MATCH(COLUMNS($P$1006:P1006),$P$1006:$S$1006,0)))),"Fix")))</f>
        <v>0</v>
      </c>
      <c r="C491" s="3">
        <f>IF(OR(INDEX($J$2:$J$1001,MATCH(ROWS($I$2:I491),$I$2:$I$1001,0),1)&gt;=100000,INDEX($P$1005:$S$1005,1,MATCH(COLUMNS($P$1006:Q1006),$P$1006:$S$1006,0))&gt;=100000), " ",IF(INDEX($P$2:$S$1001,MATCH(ROWS($I$2:I491),$I$2:$I$1001,0),MATCH(COLUMNS($P$1006:Q1006),$P$1006:$S$1006,0)), HYPERLINK("#",""), HYPERLINK(CONCATENATE("#metadata!", ADDRESS(INDEX($K$2:$K$1001,MATCH(ROWS($I$2:I491),$I$2:$I$1001,0),0), INDEX($P$1004:$S$1004,1,MATCH(COLUMNS($P$1006:Q1006),$P$1006:$S$1006,0)))),"Fix")))</f>
        <v>0</v>
      </c>
      <c r="D491" s="3">
        <f>IF(OR(INDEX($J$2:$J$1001,MATCH(ROWS($I$2:I491),$I$2:$I$1001,0),1)&gt;=100000,INDEX($P$1005:$S$1005,1,MATCH(COLUMNS($P$1006:R1006),$P$1006:$S$1006,0))&gt;=100000), " ",IF(INDEX($P$2:$S$1001,MATCH(ROWS($I$2:I491),$I$2:$I$1001,0),MATCH(COLUMNS($P$1006:R1006),$P$1006:$S$1006,0)), HYPERLINK("#",""), HYPERLINK(CONCATENATE("#metadata!", ADDRESS(INDEX($K$2:$K$1001,MATCH(ROWS($I$2:I491),$I$2:$I$1001,0),0), INDEX($P$1004:$S$1004,1,MATCH(COLUMNS($P$1006:R1006),$P$1006:$S$1006,0)))),"Fix")))</f>
        <v>0</v>
      </c>
      <c r="E491" s="3">
        <f>IF(OR(INDEX($J$2:$J$1001,MATCH(ROWS($I$2:I491),$I$2:$I$1001,0),1)&gt;=100000,INDEX($P$1005:$S$1005,1,MATCH(COLUMNS($P$1006:S1006),$P$1006:$S$1006,0))&gt;=100000), " ",IF(INDEX($P$2:$S$1001,MATCH(ROWS($I$2:I491),$I$2:$I$1001,0),MATCH(COLUMNS($P$1006:S1006),$P$1006:$S$1006,0)), HYPERLINK("#",""), HYPERLINK(CONCATENATE("#metadata!", ADDRESS(INDEX($K$2:$K$1001,MATCH(ROWS($I$2:I491),$I$2:$I$1001,0),0), INDEX($P$1004:$S$1004,1,MATCH(COLUMNS($P$1006:S1006),$P$1006:$S$1006,0)))),"Fix")))</f>
        <v>0</v>
      </c>
      <c r="I491">
        <v>0</v>
      </c>
      <c r="J491">
        <v>0</v>
      </c>
      <c r="K491">
        <v>0</v>
      </c>
      <c r="L491">
        <f>IF(M491,TRUE,AND(P491:S491))</f>
        <v>0</v>
      </c>
      <c r="M491">
        <f>COUNTBLANK(metadata!B491:E491)=COLUMNS(metadata!B491:E491)</f>
        <v>0</v>
      </c>
      <c r="N491">
        <v>0</v>
      </c>
      <c r="P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Q491">
        <f>AND(IF(metadata!C491="",FALSE,TRUE),exact(metadata!C491,"other"))</f>
        <v>0</v>
      </c>
      <c r="R491">
        <f>AND(IF(metadata!D491="",FALSE,TRUE),exact(metadata!D491,"metagenome"))</f>
        <v>0</v>
      </c>
      <c r="S491">
        <f>AND(IF(metadata!E491="",FALSE,TRUE),exact(metadata!E491,"256318"))</f>
        <v>0</v>
      </c>
    </row>
    <row r="492" spans="1:19">
      <c r="A492" s="4">
        <f>IF(B492=" "," ",HYPERLINK(CONCATENATE("#metadata!",ADDRESS(INDEX($K$2:$K$1001,MATCH(ROWS($I$2:I492),$I$2:$I$1001,0),0),1)),INDEX($N$2:$N$1001,MATCH(ROWS($I$2:I492),$I$2:$I$1001,0),0)))</f>
        <v>0</v>
      </c>
      <c r="B492" s="3">
        <f>IF(OR(INDEX($J$2:$J$1001,MATCH(ROWS($I$2:I492),$I$2:$I$1001,0),1)&gt;=100000,INDEX($P$1005:$S$1005,1,MATCH(COLUMNS($P$1006:P1006),$P$1006:$S$1006,0))&gt;=100000), " ",IF(INDEX($P$2:$S$1001,MATCH(ROWS($I$2:I492),$I$2:$I$1001,0),MATCH(COLUMNS($P$1006:P1006),$P$1006:$S$1006,0)), HYPERLINK("#",""), HYPERLINK(CONCATENATE("#metadata!", ADDRESS(INDEX($K$2:$K$1001,MATCH(ROWS($I$2:I492),$I$2:$I$1001,0),0), INDEX($P$1004:$S$1004,1,MATCH(COLUMNS($P$1006:P1006),$P$1006:$S$1006,0)))),"Fix")))</f>
        <v>0</v>
      </c>
      <c r="C492" s="3">
        <f>IF(OR(INDEX($J$2:$J$1001,MATCH(ROWS($I$2:I492),$I$2:$I$1001,0),1)&gt;=100000,INDEX($P$1005:$S$1005,1,MATCH(COLUMNS($P$1006:Q1006),$P$1006:$S$1006,0))&gt;=100000), " ",IF(INDEX($P$2:$S$1001,MATCH(ROWS($I$2:I492),$I$2:$I$1001,0),MATCH(COLUMNS($P$1006:Q1006),$P$1006:$S$1006,0)), HYPERLINK("#",""), HYPERLINK(CONCATENATE("#metadata!", ADDRESS(INDEX($K$2:$K$1001,MATCH(ROWS($I$2:I492),$I$2:$I$1001,0),0), INDEX($P$1004:$S$1004,1,MATCH(COLUMNS($P$1006:Q1006),$P$1006:$S$1006,0)))),"Fix")))</f>
        <v>0</v>
      </c>
      <c r="D492" s="3">
        <f>IF(OR(INDEX($J$2:$J$1001,MATCH(ROWS($I$2:I492),$I$2:$I$1001,0),1)&gt;=100000,INDEX($P$1005:$S$1005,1,MATCH(COLUMNS($P$1006:R1006),$P$1006:$S$1006,0))&gt;=100000), " ",IF(INDEX($P$2:$S$1001,MATCH(ROWS($I$2:I492),$I$2:$I$1001,0),MATCH(COLUMNS($P$1006:R1006),$P$1006:$S$1006,0)), HYPERLINK("#",""), HYPERLINK(CONCATENATE("#metadata!", ADDRESS(INDEX($K$2:$K$1001,MATCH(ROWS($I$2:I492),$I$2:$I$1001,0),0), INDEX($P$1004:$S$1004,1,MATCH(COLUMNS($P$1006:R1006),$P$1006:$S$1006,0)))),"Fix")))</f>
        <v>0</v>
      </c>
      <c r="E492" s="3">
        <f>IF(OR(INDEX($J$2:$J$1001,MATCH(ROWS($I$2:I492),$I$2:$I$1001,0),1)&gt;=100000,INDEX($P$1005:$S$1005,1,MATCH(COLUMNS($P$1006:S1006),$P$1006:$S$1006,0))&gt;=100000), " ",IF(INDEX($P$2:$S$1001,MATCH(ROWS($I$2:I492),$I$2:$I$1001,0),MATCH(COLUMNS($P$1006:S1006),$P$1006:$S$1006,0)), HYPERLINK("#",""), HYPERLINK(CONCATENATE("#metadata!", ADDRESS(INDEX($K$2:$K$1001,MATCH(ROWS($I$2:I492),$I$2:$I$1001,0),0), INDEX($P$1004:$S$1004,1,MATCH(COLUMNS($P$1006:S1006),$P$1006:$S$1006,0)))),"Fix")))</f>
        <v>0</v>
      </c>
      <c r="I492">
        <v>0</v>
      </c>
      <c r="J492">
        <v>0</v>
      </c>
      <c r="K492">
        <v>0</v>
      </c>
      <c r="L492">
        <f>IF(M492,TRUE,AND(P492:S492))</f>
        <v>0</v>
      </c>
      <c r="M492">
        <f>COUNTBLANK(metadata!B492:E492)=COLUMNS(metadata!B492:E492)</f>
        <v>0</v>
      </c>
      <c r="N492">
        <v>0</v>
      </c>
      <c r="P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Q492">
        <f>AND(IF(metadata!C492="",FALSE,TRUE),exact(metadata!C492,"other"))</f>
        <v>0</v>
      </c>
      <c r="R492">
        <f>AND(IF(metadata!D492="",FALSE,TRUE),exact(metadata!D492,"metagenome"))</f>
        <v>0</v>
      </c>
      <c r="S492">
        <f>AND(IF(metadata!E492="",FALSE,TRUE),exact(metadata!E492,"256318"))</f>
        <v>0</v>
      </c>
    </row>
    <row r="493" spans="1:19">
      <c r="A493" s="4">
        <f>IF(B493=" "," ",HYPERLINK(CONCATENATE("#metadata!",ADDRESS(INDEX($K$2:$K$1001,MATCH(ROWS($I$2:I493),$I$2:$I$1001,0),0),1)),INDEX($N$2:$N$1001,MATCH(ROWS($I$2:I493),$I$2:$I$1001,0),0)))</f>
        <v>0</v>
      </c>
      <c r="B493" s="3">
        <f>IF(OR(INDEX($J$2:$J$1001,MATCH(ROWS($I$2:I493),$I$2:$I$1001,0),1)&gt;=100000,INDEX($P$1005:$S$1005,1,MATCH(COLUMNS($P$1006:P1006),$P$1006:$S$1006,0))&gt;=100000), " ",IF(INDEX($P$2:$S$1001,MATCH(ROWS($I$2:I493),$I$2:$I$1001,0),MATCH(COLUMNS($P$1006:P1006),$P$1006:$S$1006,0)), HYPERLINK("#",""), HYPERLINK(CONCATENATE("#metadata!", ADDRESS(INDEX($K$2:$K$1001,MATCH(ROWS($I$2:I493),$I$2:$I$1001,0),0), INDEX($P$1004:$S$1004,1,MATCH(COLUMNS($P$1006:P1006),$P$1006:$S$1006,0)))),"Fix")))</f>
        <v>0</v>
      </c>
      <c r="C493" s="3">
        <f>IF(OR(INDEX($J$2:$J$1001,MATCH(ROWS($I$2:I493),$I$2:$I$1001,0),1)&gt;=100000,INDEX($P$1005:$S$1005,1,MATCH(COLUMNS($P$1006:Q1006),$P$1006:$S$1006,0))&gt;=100000), " ",IF(INDEX($P$2:$S$1001,MATCH(ROWS($I$2:I493),$I$2:$I$1001,0),MATCH(COLUMNS($P$1006:Q1006),$P$1006:$S$1006,0)), HYPERLINK("#",""), HYPERLINK(CONCATENATE("#metadata!", ADDRESS(INDEX($K$2:$K$1001,MATCH(ROWS($I$2:I493),$I$2:$I$1001,0),0), INDEX($P$1004:$S$1004,1,MATCH(COLUMNS($P$1006:Q1006),$P$1006:$S$1006,0)))),"Fix")))</f>
        <v>0</v>
      </c>
      <c r="D493" s="3">
        <f>IF(OR(INDEX($J$2:$J$1001,MATCH(ROWS($I$2:I493),$I$2:$I$1001,0),1)&gt;=100000,INDEX($P$1005:$S$1005,1,MATCH(COLUMNS($P$1006:R1006),$P$1006:$S$1006,0))&gt;=100000), " ",IF(INDEX($P$2:$S$1001,MATCH(ROWS($I$2:I493),$I$2:$I$1001,0),MATCH(COLUMNS($P$1006:R1006),$P$1006:$S$1006,0)), HYPERLINK("#",""), HYPERLINK(CONCATENATE("#metadata!", ADDRESS(INDEX($K$2:$K$1001,MATCH(ROWS($I$2:I493),$I$2:$I$1001,0),0), INDEX($P$1004:$S$1004,1,MATCH(COLUMNS($P$1006:R1006),$P$1006:$S$1006,0)))),"Fix")))</f>
        <v>0</v>
      </c>
      <c r="E493" s="3">
        <f>IF(OR(INDEX($J$2:$J$1001,MATCH(ROWS($I$2:I493),$I$2:$I$1001,0),1)&gt;=100000,INDEX($P$1005:$S$1005,1,MATCH(COLUMNS($P$1006:S1006),$P$1006:$S$1006,0))&gt;=100000), " ",IF(INDEX($P$2:$S$1001,MATCH(ROWS($I$2:I493),$I$2:$I$1001,0),MATCH(COLUMNS($P$1006:S1006),$P$1006:$S$1006,0)), HYPERLINK("#",""), HYPERLINK(CONCATENATE("#metadata!", ADDRESS(INDEX($K$2:$K$1001,MATCH(ROWS($I$2:I493),$I$2:$I$1001,0),0), INDEX($P$1004:$S$1004,1,MATCH(COLUMNS($P$1006:S1006),$P$1006:$S$1006,0)))),"Fix")))</f>
        <v>0</v>
      </c>
      <c r="I493">
        <v>0</v>
      </c>
      <c r="J493">
        <v>0</v>
      </c>
      <c r="K493">
        <v>0</v>
      </c>
      <c r="L493">
        <f>IF(M493,TRUE,AND(P493:S493))</f>
        <v>0</v>
      </c>
      <c r="M493">
        <f>COUNTBLANK(metadata!B493:E493)=COLUMNS(metadata!B493:E493)</f>
        <v>0</v>
      </c>
      <c r="N493">
        <v>0</v>
      </c>
      <c r="P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Q493">
        <f>AND(IF(metadata!C493="",FALSE,TRUE),exact(metadata!C493,"other"))</f>
        <v>0</v>
      </c>
      <c r="R493">
        <f>AND(IF(metadata!D493="",FALSE,TRUE),exact(metadata!D493,"metagenome"))</f>
        <v>0</v>
      </c>
      <c r="S493">
        <f>AND(IF(metadata!E493="",FALSE,TRUE),exact(metadata!E493,"256318"))</f>
        <v>0</v>
      </c>
    </row>
    <row r="494" spans="1:19">
      <c r="A494" s="4">
        <f>IF(B494=" "," ",HYPERLINK(CONCATENATE("#metadata!",ADDRESS(INDEX($K$2:$K$1001,MATCH(ROWS($I$2:I494),$I$2:$I$1001,0),0),1)),INDEX($N$2:$N$1001,MATCH(ROWS($I$2:I494),$I$2:$I$1001,0),0)))</f>
        <v>0</v>
      </c>
      <c r="B494" s="3">
        <f>IF(OR(INDEX($J$2:$J$1001,MATCH(ROWS($I$2:I494),$I$2:$I$1001,0),1)&gt;=100000,INDEX($P$1005:$S$1005,1,MATCH(COLUMNS($P$1006:P1006),$P$1006:$S$1006,0))&gt;=100000), " ",IF(INDEX($P$2:$S$1001,MATCH(ROWS($I$2:I494),$I$2:$I$1001,0),MATCH(COLUMNS($P$1006:P1006),$P$1006:$S$1006,0)), HYPERLINK("#",""), HYPERLINK(CONCATENATE("#metadata!", ADDRESS(INDEX($K$2:$K$1001,MATCH(ROWS($I$2:I494),$I$2:$I$1001,0),0), INDEX($P$1004:$S$1004,1,MATCH(COLUMNS($P$1006:P1006),$P$1006:$S$1006,0)))),"Fix")))</f>
        <v>0</v>
      </c>
      <c r="C494" s="3">
        <f>IF(OR(INDEX($J$2:$J$1001,MATCH(ROWS($I$2:I494),$I$2:$I$1001,0),1)&gt;=100000,INDEX($P$1005:$S$1005,1,MATCH(COLUMNS($P$1006:Q1006),$P$1006:$S$1006,0))&gt;=100000), " ",IF(INDEX($P$2:$S$1001,MATCH(ROWS($I$2:I494),$I$2:$I$1001,0),MATCH(COLUMNS($P$1006:Q1006),$P$1006:$S$1006,0)), HYPERLINK("#",""), HYPERLINK(CONCATENATE("#metadata!", ADDRESS(INDEX($K$2:$K$1001,MATCH(ROWS($I$2:I494),$I$2:$I$1001,0),0), INDEX($P$1004:$S$1004,1,MATCH(COLUMNS($P$1006:Q1006),$P$1006:$S$1006,0)))),"Fix")))</f>
        <v>0</v>
      </c>
      <c r="D494" s="3">
        <f>IF(OR(INDEX($J$2:$J$1001,MATCH(ROWS($I$2:I494),$I$2:$I$1001,0),1)&gt;=100000,INDEX($P$1005:$S$1005,1,MATCH(COLUMNS($P$1006:R1006),$P$1006:$S$1006,0))&gt;=100000), " ",IF(INDEX($P$2:$S$1001,MATCH(ROWS($I$2:I494),$I$2:$I$1001,0),MATCH(COLUMNS($P$1006:R1006),$P$1006:$S$1006,0)), HYPERLINK("#",""), HYPERLINK(CONCATENATE("#metadata!", ADDRESS(INDEX($K$2:$K$1001,MATCH(ROWS($I$2:I494),$I$2:$I$1001,0),0), INDEX($P$1004:$S$1004,1,MATCH(COLUMNS($P$1006:R1006),$P$1006:$S$1006,0)))),"Fix")))</f>
        <v>0</v>
      </c>
      <c r="E494" s="3">
        <f>IF(OR(INDEX($J$2:$J$1001,MATCH(ROWS($I$2:I494),$I$2:$I$1001,0),1)&gt;=100000,INDEX($P$1005:$S$1005,1,MATCH(COLUMNS($P$1006:S1006),$P$1006:$S$1006,0))&gt;=100000), " ",IF(INDEX($P$2:$S$1001,MATCH(ROWS($I$2:I494),$I$2:$I$1001,0),MATCH(COLUMNS($P$1006:S1006),$P$1006:$S$1006,0)), HYPERLINK("#",""), HYPERLINK(CONCATENATE("#metadata!", ADDRESS(INDEX($K$2:$K$1001,MATCH(ROWS($I$2:I494),$I$2:$I$1001,0),0), INDEX($P$1004:$S$1004,1,MATCH(COLUMNS($P$1006:S1006),$P$1006:$S$1006,0)))),"Fix")))</f>
        <v>0</v>
      </c>
      <c r="I494">
        <v>0</v>
      </c>
      <c r="J494">
        <v>0</v>
      </c>
      <c r="K494">
        <v>0</v>
      </c>
      <c r="L494">
        <f>IF(M494,TRUE,AND(P494:S494))</f>
        <v>0</v>
      </c>
      <c r="M494">
        <f>COUNTBLANK(metadata!B494:E494)=COLUMNS(metadata!B494:E494)</f>
        <v>0</v>
      </c>
      <c r="N494">
        <v>0</v>
      </c>
      <c r="P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Q494">
        <f>AND(IF(metadata!C494="",FALSE,TRUE),exact(metadata!C494,"other"))</f>
        <v>0</v>
      </c>
      <c r="R494">
        <f>AND(IF(metadata!D494="",FALSE,TRUE),exact(metadata!D494,"metagenome"))</f>
        <v>0</v>
      </c>
      <c r="S494">
        <f>AND(IF(metadata!E494="",FALSE,TRUE),exact(metadata!E494,"256318"))</f>
        <v>0</v>
      </c>
    </row>
    <row r="495" spans="1:19">
      <c r="A495" s="4">
        <f>IF(B495=" "," ",HYPERLINK(CONCATENATE("#metadata!",ADDRESS(INDEX($K$2:$K$1001,MATCH(ROWS($I$2:I495),$I$2:$I$1001,0),0),1)),INDEX($N$2:$N$1001,MATCH(ROWS($I$2:I495),$I$2:$I$1001,0),0)))</f>
        <v>0</v>
      </c>
      <c r="B495" s="3">
        <f>IF(OR(INDEX($J$2:$J$1001,MATCH(ROWS($I$2:I495),$I$2:$I$1001,0),1)&gt;=100000,INDEX($P$1005:$S$1005,1,MATCH(COLUMNS($P$1006:P1006),$P$1006:$S$1006,0))&gt;=100000), " ",IF(INDEX($P$2:$S$1001,MATCH(ROWS($I$2:I495),$I$2:$I$1001,0),MATCH(COLUMNS($P$1006:P1006),$P$1006:$S$1006,0)), HYPERLINK("#",""), HYPERLINK(CONCATENATE("#metadata!", ADDRESS(INDEX($K$2:$K$1001,MATCH(ROWS($I$2:I495),$I$2:$I$1001,0),0), INDEX($P$1004:$S$1004,1,MATCH(COLUMNS($P$1006:P1006),$P$1006:$S$1006,0)))),"Fix")))</f>
        <v>0</v>
      </c>
      <c r="C495" s="3">
        <f>IF(OR(INDEX($J$2:$J$1001,MATCH(ROWS($I$2:I495),$I$2:$I$1001,0),1)&gt;=100000,INDEX($P$1005:$S$1005,1,MATCH(COLUMNS($P$1006:Q1006),$P$1006:$S$1006,0))&gt;=100000), " ",IF(INDEX($P$2:$S$1001,MATCH(ROWS($I$2:I495),$I$2:$I$1001,0),MATCH(COLUMNS($P$1006:Q1006),$P$1006:$S$1006,0)), HYPERLINK("#",""), HYPERLINK(CONCATENATE("#metadata!", ADDRESS(INDEX($K$2:$K$1001,MATCH(ROWS($I$2:I495),$I$2:$I$1001,0),0), INDEX($P$1004:$S$1004,1,MATCH(COLUMNS($P$1006:Q1006),$P$1006:$S$1006,0)))),"Fix")))</f>
        <v>0</v>
      </c>
      <c r="D495" s="3">
        <f>IF(OR(INDEX($J$2:$J$1001,MATCH(ROWS($I$2:I495),$I$2:$I$1001,0),1)&gt;=100000,INDEX($P$1005:$S$1005,1,MATCH(COLUMNS($P$1006:R1006),$P$1006:$S$1006,0))&gt;=100000), " ",IF(INDEX($P$2:$S$1001,MATCH(ROWS($I$2:I495),$I$2:$I$1001,0),MATCH(COLUMNS($P$1006:R1006),$P$1006:$S$1006,0)), HYPERLINK("#",""), HYPERLINK(CONCATENATE("#metadata!", ADDRESS(INDEX($K$2:$K$1001,MATCH(ROWS($I$2:I495),$I$2:$I$1001,0),0), INDEX($P$1004:$S$1004,1,MATCH(COLUMNS($P$1006:R1006),$P$1006:$S$1006,0)))),"Fix")))</f>
        <v>0</v>
      </c>
      <c r="E495" s="3">
        <f>IF(OR(INDEX($J$2:$J$1001,MATCH(ROWS($I$2:I495),$I$2:$I$1001,0),1)&gt;=100000,INDEX($P$1005:$S$1005,1,MATCH(COLUMNS($P$1006:S1006),$P$1006:$S$1006,0))&gt;=100000), " ",IF(INDEX($P$2:$S$1001,MATCH(ROWS($I$2:I495),$I$2:$I$1001,0),MATCH(COLUMNS($P$1006:S1006),$P$1006:$S$1006,0)), HYPERLINK("#",""), HYPERLINK(CONCATENATE("#metadata!", ADDRESS(INDEX($K$2:$K$1001,MATCH(ROWS($I$2:I495),$I$2:$I$1001,0),0), INDEX($P$1004:$S$1004,1,MATCH(COLUMNS($P$1006:S1006),$P$1006:$S$1006,0)))),"Fix")))</f>
        <v>0</v>
      </c>
      <c r="I495">
        <v>0</v>
      </c>
      <c r="J495">
        <v>0</v>
      </c>
      <c r="K495">
        <v>0</v>
      </c>
      <c r="L495">
        <f>IF(M495,TRUE,AND(P495:S495))</f>
        <v>0</v>
      </c>
      <c r="M495">
        <f>COUNTBLANK(metadata!B495:E495)=COLUMNS(metadata!B495:E495)</f>
        <v>0</v>
      </c>
      <c r="N495">
        <v>0</v>
      </c>
      <c r="P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Q495">
        <f>AND(IF(metadata!C495="",FALSE,TRUE),exact(metadata!C495,"other"))</f>
        <v>0</v>
      </c>
      <c r="R495">
        <f>AND(IF(metadata!D495="",FALSE,TRUE),exact(metadata!D495,"metagenome"))</f>
        <v>0</v>
      </c>
      <c r="S495">
        <f>AND(IF(metadata!E495="",FALSE,TRUE),exact(metadata!E495,"256318"))</f>
        <v>0</v>
      </c>
    </row>
    <row r="496" spans="1:19">
      <c r="A496" s="4">
        <f>IF(B496=" "," ",HYPERLINK(CONCATENATE("#metadata!",ADDRESS(INDEX($K$2:$K$1001,MATCH(ROWS($I$2:I496),$I$2:$I$1001,0),0),1)),INDEX($N$2:$N$1001,MATCH(ROWS($I$2:I496),$I$2:$I$1001,0),0)))</f>
        <v>0</v>
      </c>
      <c r="B496" s="3">
        <f>IF(OR(INDEX($J$2:$J$1001,MATCH(ROWS($I$2:I496),$I$2:$I$1001,0),1)&gt;=100000,INDEX($P$1005:$S$1005,1,MATCH(COLUMNS($P$1006:P1006),$P$1006:$S$1006,0))&gt;=100000), " ",IF(INDEX($P$2:$S$1001,MATCH(ROWS($I$2:I496),$I$2:$I$1001,0),MATCH(COLUMNS($P$1006:P1006),$P$1006:$S$1006,0)), HYPERLINK("#",""), HYPERLINK(CONCATENATE("#metadata!", ADDRESS(INDEX($K$2:$K$1001,MATCH(ROWS($I$2:I496),$I$2:$I$1001,0),0), INDEX($P$1004:$S$1004,1,MATCH(COLUMNS($P$1006:P1006),$P$1006:$S$1006,0)))),"Fix")))</f>
        <v>0</v>
      </c>
      <c r="C496" s="3">
        <f>IF(OR(INDEX($J$2:$J$1001,MATCH(ROWS($I$2:I496),$I$2:$I$1001,0),1)&gt;=100000,INDEX($P$1005:$S$1005,1,MATCH(COLUMNS($P$1006:Q1006),$P$1006:$S$1006,0))&gt;=100000), " ",IF(INDEX($P$2:$S$1001,MATCH(ROWS($I$2:I496),$I$2:$I$1001,0),MATCH(COLUMNS($P$1006:Q1006),$P$1006:$S$1006,0)), HYPERLINK("#",""), HYPERLINK(CONCATENATE("#metadata!", ADDRESS(INDEX($K$2:$K$1001,MATCH(ROWS($I$2:I496),$I$2:$I$1001,0),0), INDEX($P$1004:$S$1004,1,MATCH(COLUMNS($P$1006:Q1006),$P$1006:$S$1006,0)))),"Fix")))</f>
        <v>0</v>
      </c>
      <c r="D496" s="3">
        <f>IF(OR(INDEX($J$2:$J$1001,MATCH(ROWS($I$2:I496),$I$2:$I$1001,0),1)&gt;=100000,INDEX($P$1005:$S$1005,1,MATCH(COLUMNS($P$1006:R1006),$P$1006:$S$1006,0))&gt;=100000), " ",IF(INDEX($P$2:$S$1001,MATCH(ROWS($I$2:I496),$I$2:$I$1001,0),MATCH(COLUMNS($P$1006:R1006),$P$1006:$S$1006,0)), HYPERLINK("#",""), HYPERLINK(CONCATENATE("#metadata!", ADDRESS(INDEX($K$2:$K$1001,MATCH(ROWS($I$2:I496),$I$2:$I$1001,0),0), INDEX($P$1004:$S$1004,1,MATCH(COLUMNS($P$1006:R1006),$P$1006:$S$1006,0)))),"Fix")))</f>
        <v>0</v>
      </c>
      <c r="E496" s="3">
        <f>IF(OR(INDEX($J$2:$J$1001,MATCH(ROWS($I$2:I496),$I$2:$I$1001,0),1)&gt;=100000,INDEX($P$1005:$S$1005,1,MATCH(COLUMNS($P$1006:S1006),$P$1006:$S$1006,0))&gt;=100000), " ",IF(INDEX($P$2:$S$1001,MATCH(ROWS($I$2:I496),$I$2:$I$1001,0),MATCH(COLUMNS($P$1006:S1006),$P$1006:$S$1006,0)), HYPERLINK("#",""), HYPERLINK(CONCATENATE("#metadata!", ADDRESS(INDEX($K$2:$K$1001,MATCH(ROWS($I$2:I496),$I$2:$I$1001,0),0), INDEX($P$1004:$S$1004,1,MATCH(COLUMNS($P$1006:S1006),$P$1006:$S$1006,0)))),"Fix")))</f>
        <v>0</v>
      </c>
      <c r="I496">
        <v>0</v>
      </c>
      <c r="J496">
        <v>0</v>
      </c>
      <c r="K496">
        <v>0</v>
      </c>
      <c r="L496">
        <f>IF(M496,TRUE,AND(P496:S496))</f>
        <v>0</v>
      </c>
      <c r="M496">
        <f>COUNTBLANK(metadata!B496:E496)=COLUMNS(metadata!B496:E496)</f>
        <v>0</v>
      </c>
      <c r="N496">
        <v>0</v>
      </c>
      <c r="P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Q496">
        <f>AND(IF(metadata!C496="",FALSE,TRUE),exact(metadata!C496,"other"))</f>
        <v>0</v>
      </c>
      <c r="R496">
        <f>AND(IF(metadata!D496="",FALSE,TRUE),exact(metadata!D496,"metagenome"))</f>
        <v>0</v>
      </c>
      <c r="S496">
        <f>AND(IF(metadata!E496="",FALSE,TRUE),exact(metadata!E496,"256318"))</f>
        <v>0</v>
      </c>
    </row>
    <row r="497" spans="1:19">
      <c r="A497" s="4">
        <f>IF(B497=" "," ",HYPERLINK(CONCATENATE("#metadata!",ADDRESS(INDEX($K$2:$K$1001,MATCH(ROWS($I$2:I497),$I$2:$I$1001,0),0),1)),INDEX($N$2:$N$1001,MATCH(ROWS($I$2:I497),$I$2:$I$1001,0),0)))</f>
        <v>0</v>
      </c>
      <c r="B497" s="3">
        <f>IF(OR(INDEX($J$2:$J$1001,MATCH(ROWS($I$2:I497),$I$2:$I$1001,0),1)&gt;=100000,INDEX($P$1005:$S$1005,1,MATCH(COLUMNS($P$1006:P1006),$P$1006:$S$1006,0))&gt;=100000), " ",IF(INDEX($P$2:$S$1001,MATCH(ROWS($I$2:I497),$I$2:$I$1001,0),MATCH(COLUMNS($P$1006:P1006),$P$1006:$S$1006,0)), HYPERLINK("#",""), HYPERLINK(CONCATENATE("#metadata!", ADDRESS(INDEX($K$2:$K$1001,MATCH(ROWS($I$2:I497),$I$2:$I$1001,0),0), INDEX($P$1004:$S$1004,1,MATCH(COLUMNS($P$1006:P1006),$P$1006:$S$1006,0)))),"Fix")))</f>
        <v>0</v>
      </c>
      <c r="C497" s="3">
        <f>IF(OR(INDEX($J$2:$J$1001,MATCH(ROWS($I$2:I497),$I$2:$I$1001,0),1)&gt;=100000,INDEX($P$1005:$S$1005,1,MATCH(COLUMNS($P$1006:Q1006),$P$1006:$S$1006,0))&gt;=100000), " ",IF(INDEX($P$2:$S$1001,MATCH(ROWS($I$2:I497),$I$2:$I$1001,0),MATCH(COLUMNS($P$1006:Q1006),$P$1006:$S$1006,0)), HYPERLINK("#",""), HYPERLINK(CONCATENATE("#metadata!", ADDRESS(INDEX($K$2:$K$1001,MATCH(ROWS($I$2:I497),$I$2:$I$1001,0),0), INDEX($P$1004:$S$1004,1,MATCH(COLUMNS($P$1006:Q1006),$P$1006:$S$1006,0)))),"Fix")))</f>
        <v>0</v>
      </c>
      <c r="D497" s="3">
        <f>IF(OR(INDEX($J$2:$J$1001,MATCH(ROWS($I$2:I497),$I$2:$I$1001,0),1)&gt;=100000,INDEX($P$1005:$S$1005,1,MATCH(COLUMNS($P$1006:R1006),$P$1006:$S$1006,0))&gt;=100000), " ",IF(INDEX($P$2:$S$1001,MATCH(ROWS($I$2:I497),$I$2:$I$1001,0),MATCH(COLUMNS($P$1006:R1006),$P$1006:$S$1006,0)), HYPERLINK("#",""), HYPERLINK(CONCATENATE("#metadata!", ADDRESS(INDEX($K$2:$K$1001,MATCH(ROWS($I$2:I497),$I$2:$I$1001,0),0), INDEX($P$1004:$S$1004,1,MATCH(COLUMNS($P$1006:R1006),$P$1006:$S$1006,0)))),"Fix")))</f>
        <v>0</v>
      </c>
      <c r="E497" s="3">
        <f>IF(OR(INDEX($J$2:$J$1001,MATCH(ROWS($I$2:I497),$I$2:$I$1001,0),1)&gt;=100000,INDEX($P$1005:$S$1005,1,MATCH(COLUMNS($P$1006:S1006),$P$1006:$S$1006,0))&gt;=100000), " ",IF(INDEX($P$2:$S$1001,MATCH(ROWS($I$2:I497),$I$2:$I$1001,0),MATCH(COLUMNS($P$1006:S1006),$P$1006:$S$1006,0)), HYPERLINK("#",""), HYPERLINK(CONCATENATE("#metadata!", ADDRESS(INDEX($K$2:$K$1001,MATCH(ROWS($I$2:I497),$I$2:$I$1001,0),0), INDEX($P$1004:$S$1004,1,MATCH(COLUMNS($P$1006:S1006),$P$1006:$S$1006,0)))),"Fix")))</f>
        <v>0</v>
      </c>
      <c r="I497">
        <v>0</v>
      </c>
      <c r="J497">
        <v>0</v>
      </c>
      <c r="K497">
        <v>0</v>
      </c>
      <c r="L497">
        <f>IF(M497,TRUE,AND(P497:S497))</f>
        <v>0</v>
      </c>
      <c r="M497">
        <f>COUNTBLANK(metadata!B497:E497)=COLUMNS(metadata!B497:E497)</f>
        <v>0</v>
      </c>
      <c r="N497">
        <v>0</v>
      </c>
      <c r="P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Q497">
        <f>AND(IF(metadata!C497="",FALSE,TRUE),exact(metadata!C497,"other"))</f>
        <v>0</v>
      </c>
      <c r="R497">
        <f>AND(IF(metadata!D497="",FALSE,TRUE),exact(metadata!D497,"metagenome"))</f>
        <v>0</v>
      </c>
      <c r="S497">
        <f>AND(IF(metadata!E497="",FALSE,TRUE),exact(metadata!E497,"256318"))</f>
        <v>0</v>
      </c>
    </row>
    <row r="498" spans="1:19">
      <c r="A498" s="4">
        <f>IF(B498=" "," ",HYPERLINK(CONCATENATE("#metadata!",ADDRESS(INDEX($K$2:$K$1001,MATCH(ROWS($I$2:I498),$I$2:$I$1001,0),0),1)),INDEX($N$2:$N$1001,MATCH(ROWS($I$2:I498),$I$2:$I$1001,0),0)))</f>
        <v>0</v>
      </c>
      <c r="B498" s="3">
        <f>IF(OR(INDEX($J$2:$J$1001,MATCH(ROWS($I$2:I498),$I$2:$I$1001,0),1)&gt;=100000,INDEX($P$1005:$S$1005,1,MATCH(COLUMNS($P$1006:P1006),$P$1006:$S$1006,0))&gt;=100000), " ",IF(INDEX($P$2:$S$1001,MATCH(ROWS($I$2:I498),$I$2:$I$1001,0),MATCH(COLUMNS($P$1006:P1006),$P$1006:$S$1006,0)), HYPERLINK("#",""), HYPERLINK(CONCATENATE("#metadata!", ADDRESS(INDEX($K$2:$K$1001,MATCH(ROWS($I$2:I498),$I$2:$I$1001,0),0), INDEX($P$1004:$S$1004,1,MATCH(COLUMNS($P$1006:P1006),$P$1006:$S$1006,0)))),"Fix")))</f>
        <v>0</v>
      </c>
      <c r="C498" s="3">
        <f>IF(OR(INDEX($J$2:$J$1001,MATCH(ROWS($I$2:I498),$I$2:$I$1001,0),1)&gt;=100000,INDEX($P$1005:$S$1005,1,MATCH(COLUMNS($P$1006:Q1006),$P$1006:$S$1006,0))&gt;=100000), " ",IF(INDEX($P$2:$S$1001,MATCH(ROWS($I$2:I498),$I$2:$I$1001,0),MATCH(COLUMNS($P$1006:Q1006),$P$1006:$S$1006,0)), HYPERLINK("#",""), HYPERLINK(CONCATENATE("#metadata!", ADDRESS(INDEX($K$2:$K$1001,MATCH(ROWS($I$2:I498),$I$2:$I$1001,0),0), INDEX($P$1004:$S$1004,1,MATCH(COLUMNS($P$1006:Q1006),$P$1006:$S$1006,0)))),"Fix")))</f>
        <v>0</v>
      </c>
      <c r="D498" s="3">
        <f>IF(OR(INDEX($J$2:$J$1001,MATCH(ROWS($I$2:I498),$I$2:$I$1001,0),1)&gt;=100000,INDEX($P$1005:$S$1005,1,MATCH(COLUMNS($P$1006:R1006),$P$1006:$S$1006,0))&gt;=100000), " ",IF(INDEX($P$2:$S$1001,MATCH(ROWS($I$2:I498),$I$2:$I$1001,0),MATCH(COLUMNS($P$1006:R1006),$P$1006:$S$1006,0)), HYPERLINK("#",""), HYPERLINK(CONCATENATE("#metadata!", ADDRESS(INDEX($K$2:$K$1001,MATCH(ROWS($I$2:I498),$I$2:$I$1001,0),0), INDEX($P$1004:$S$1004,1,MATCH(COLUMNS($P$1006:R1006),$P$1006:$S$1006,0)))),"Fix")))</f>
        <v>0</v>
      </c>
      <c r="E498" s="3">
        <f>IF(OR(INDEX($J$2:$J$1001,MATCH(ROWS($I$2:I498),$I$2:$I$1001,0),1)&gt;=100000,INDEX($P$1005:$S$1005,1,MATCH(COLUMNS($P$1006:S1006),$P$1006:$S$1006,0))&gt;=100000), " ",IF(INDEX($P$2:$S$1001,MATCH(ROWS($I$2:I498),$I$2:$I$1001,0),MATCH(COLUMNS($P$1006:S1006),$P$1006:$S$1006,0)), HYPERLINK("#",""), HYPERLINK(CONCATENATE("#metadata!", ADDRESS(INDEX($K$2:$K$1001,MATCH(ROWS($I$2:I498),$I$2:$I$1001,0),0), INDEX($P$1004:$S$1004,1,MATCH(COLUMNS($P$1006:S1006),$P$1006:$S$1006,0)))),"Fix")))</f>
        <v>0</v>
      </c>
      <c r="I498">
        <v>0</v>
      </c>
      <c r="J498">
        <v>0</v>
      </c>
      <c r="K498">
        <v>0</v>
      </c>
      <c r="L498">
        <f>IF(M498,TRUE,AND(P498:S498))</f>
        <v>0</v>
      </c>
      <c r="M498">
        <f>COUNTBLANK(metadata!B498:E498)=COLUMNS(metadata!B498:E498)</f>
        <v>0</v>
      </c>
      <c r="N498">
        <v>0</v>
      </c>
      <c r="P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Q498">
        <f>AND(IF(metadata!C498="",FALSE,TRUE),exact(metadata!C498,"other"))</f>
        <v>0</v>
      </c>
      <c r="R498">
        <f>AND(IF(metadata!D498="",FALSE,TRUE),exact(metadata!D498,"metagenome"))</f>
        <v>0</v>
      </c>
      <c r="S498">
        <f>AND(IF(metadata!E498="",FALSE,TRUE),exact(metadata!E498,"256318"))</f>
        <v>0</v>
      </c>
    </row>
    <row r="499" spans="1:19">
      <c r="A499" s="4">
        <f>IF(B499=" "," ",HYPERLINK(CONCATENATE("#metadata!",ADDRESS(INDEX($K$2:$K$1001,MATCH(ROWS($I$2:I499),$I$2:$I$1001,0),0),1)),INDEX($N$2:$N$1001,MATCH(ROWS($I$2:I499),$I$2:$I$1001,0),0)))</f>
        <v>0</v>
      </c>
      <c r="B499" s="3">
        <f>IF(OR(INDEX($J$2:$J$1001,MATCH(ROWS($I$2:I499),$I$2:$I$1001,0),1)&gt;=100000,INDEX($P$1005:$S$1005,1,MATCH(COLUMNS($P$1006:P1006),$P$1006:$S$1006,0))&gt;=100000), " ",IF(INDEX($P$2:$S$1001,MATCH(ROWS($I$2:I499),$I$2:$I$1001,0),MATCH(COLUMNS($P$1006:P1006),$P$1006:$S$1006,0)), HYPERLINK("#",""), HYPERLINK(CONCATENATE("#metadata!", ADDRESS(INDEX($K$2:$K$1001,MATCH(ROWS($I$2:I499),$I$2:$I$1001,0),0), INDEX($P$1004:$S$1004,1,MATCH(COLUMNS($P$1006:P1006),$P$1006:$S$1006,0)))),"Fix")))</f>
        <v>0</v>
      </c>
      <c r="C499" s="3">
        <f>IF(OR(INDEX($J$2:$J$1001,MATCH(ROWS($I$2:I499),$I$2:$I$1001,0),1)&gt;=100000,INDEX($P$1005:$S$1005,1,MATCH(COLUMNS($P$1006:Q1006),$P$1006:$S$1006,0))&gt;=100000), " ",IF(INDEX($P$2:$S$1001,MATCH(ROWS($I$2:I499),$I$2:$I$1001,0),MATCH(COLUMNS($P$1006:Q1006),$P$1006:$S$1006,0)), HYPERLINK("#",""), HYPERLINK(CONCATENATE("#metadata!", ADDRESS(INDEX($K$2:$K$1001,MATCH(ROWS($I$2:I499),$I$2:$I$1001,0),0), INDEX($P$1004:$S$1004,1,MATCH(COLUMNS($P$1006:Q1006),$P$1006:$S$1006,0)))),"Fix")))</f>
        <v>0</v>
      </c>
      <c r="D499" s="3">
        <f>IF(OR(INDEX($J$2:$J$1001,MATCH(ROWS($I$2:I499),$I$2:$I$1001,0),1)&gt;=100000,INDEX($P$1005:$S$1005,1,MATCH(COLUMNS($P$1006:R1006),$P$1006:$S$1006,0))&gt;=100000), " ",IF(INDEX($P$2:$S$1001,MATCH(ROWS($I$2:I499),$I$2:$I$1001,0),MATCH(COLUMNS($P$1006:R1006),$P$1006:$S$1006,0)), HYPERLINK("#",""), HYPERLINK(CONCATENATE("#metadata!", ADDRESS(INDEX($K$2:$K$1001,MATCH(ROWS($I$2:I499),$I$2:$I$1001,0),0), INDEX($P$1004:$S$1004,1,MATCH(COLUMNS($P$1006:R1006),$P$1006:$S$1006,0)))),"Fix")))</f>
        <v>0</v>
      </c>
      <c r="E499" s="3">
        <f>IF(OR(INDEX($J$2:$J$1001,MATCH(ROWS($I$2:I499),$I$2:$I$1001,0),1)&gt;=100000,INDEX($P$1005:$S$1005,1,MATCH(COLUMNS($P$1006:S1006),$P$1006:$S$1006,0))&gt;=100000), " ",IF(INDEX($P$2:$S$1001,MATCH(ROWS($I$2:I499),$I$2:$I$1001,0),MATCH(COLUMNS($P$1006:S1006),$P$1006:$S$1006,0)), HYPERLINK("#",""), HYPERLINK(CONCATENATE("#metadata!", ADDRESS(INDEX($K$2:$K$1001,MATCH(ROWS($I$2:I499),$I$2:$I$1001,0),0), INDEX($P$1004:$S$1004,1,MATCH(COLUMNS($P$1006:S1006),$P$1006:$S$1006,0)))),"Fix")))</f>
        <v>0</v>
      </c>
      <c r="I499">
        <v>0</v>
      </c>
      <c r="J499">
        <v>0</v>
      </c>
      <c r="K499">
        <v>0</v>
      </c>
      <c r="L499">
        <f>IF(M499,TRUE,AND(P499:S499))</f>
        <v>0</v>
      </c>
      <c r="M499">
        <f>COUNTBLANK(metadata!B499:E499)=COLUMNS(metadata!B499:E499)</f>
        <v>0</v>
      </c>
      <c r="N499">
        <v>0</v>
      </c>
      <c r="P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Q499">
        <f>AND(IF(metadata!C499="",FALSE,TRUE),exact(metadata!C499,"other"))</f>
        <v>0</v>
      </c>
      <c r="R499">
        <f>AND(IF(metadata!D499="",FALSE,TRUE),exact(metadata!D499,"metagenome"))</f>
        <v>0</v>
      </c>
      <c r="S499">
        <f>AND(IF(metadata!E499="",FALSE,TRUE),exact(metadata!E499,"256318"))</f>
        <v>0</v>
      </c>
    </row>
    <row r="500" spans="1:19">
      <c r="A500" s="4">
        <f>IF(B500=" "," ",HYPERLINK(CONCATENATE("#metadata!",ADDRESS(INDEX($K$2:$K$1001,MATCH(ROWS($I$2:I500),$I$2:$I$1001,0),0),1)),INDEX($N$2:$N$1001,MATCH(ROWS($I$2:I500),$I$2:$I$1001,0),0)))</f>
        <v>0</v>
      </c>
      <c r="B500" s="3">
        <f>IF(OR(INDEX($J$2:$J$1001,MATCH(ROWS($I$2:I500),$I$2:$I$1001,0),1)&gt;=100000,INDEX($P$1005:$S$1005,1,MATCH(COLUMNS($P$1006:P1006),$P$1006:$S$1006,0))&gt;=100000), " ",IF(INDEX($P$2:$S$1001,MATCH(ROWS($I$2:I500),$I$2:$I$1001,0),MATCH(COLUMNS($P$1006:P1006),$P$1006:$S$1006,0)), HYPERLINK("#",""), HYPERLINK(CONCATENATE("#metadata!", ADDRESS(INDEX($K$2:$K$1001,MATCH(ROWS($I$2:I500),$I$2:$I$1001,0),0), INDEX($P$1004:$S$1004,1,MATCH(COLUMNS($P$1006:P1006),$P$1006:$S$1006,0)))),"Fix")))</f>
        <v>0</v>
      </c>
      <c r="C500" s="3">
        <f>IF(OR(INDEX($J$2:$J$1001,MATCH(ROWS($I$2:I500),$I$2:$I$1001,0),1)&gt;=100000,INDEX($P$1005:$S$1005,1,MATCH(COLUMNS($P$1006:Q1006),$P$1006:$S$1006,0))&gt;=100000), " ",IF(INDEX($P$2:$S$1001,MATCH(ROWS($I$2:I500),$I$2:$I$1001,0),MATCH(COLUMNS($P$1006:Q1006),$P$1006:$S$1006,0)), HYPERLINK("#",""), HYPERLINK(CONCATENATE("#metadata!", ADDRESS(INDEX($K$2:$K$1001,MATCH(ROWS($I$2:I500),$I$2:$I$1001,0),0), INDEX($P$1004:$S$1004,1,MATCH(COLUMNS($P$1006:Q1006),$P$1006:$S$1006,0)))),"Fix")))</f>
        <v>0</v>
      </c>
      <c r="D500" s="3">
        <f>IF(OR(INDEX($J$2:$J$1001,MATCH(ROWS($I$2:I500),$I$2:$I$1001,0),1)&gt;=100000,INDEX($P$1005:$S$1005,1,MATCH(COLUMNS($P$1006:R1006),$P$1006:$S$1006,0))&gt;=100000), " ",IF(INDEX($P$2:$S$1001,MATCH(ROWS($I$2:I500),$I$2:$I$1001,0),MATCH(COLUMNS($P$1006:R1006),$P$1006:$S$1006,0)), HYPERLINK("#",""), HYPERLINK(CONCATENATE("#metadata!", ADDRESS(INDEX($K$2:$K$1001,MATCH(ROWS($I$2:I500),$I$2:$I$1001,0),0), INDEX($P$1004:$S$1004,1,MATCH(COLUMNS($P$1006:R1006),$P$1006:$S$1006,0)))),"Fix")))</f>
        <v>0</v>
      </c>
      <c r="E500" s="3">
        <f>IF(OR(INDEX($J$2:$J$1001,MATCH(ROWS($I$2:I500),$I$2:$I$1001,0),1)&gt;=100000,INDEX($P$1005:$S$1005,1,MATCH(COLUMNS($P$1006:S1006),$P$1006:$S$1006,0))&gt;=100000), " ",IF(INDEX($P$2:$S$1001,MATCH(ROWS($I$2:I500),$I$2:$I$1001,0),MATCH(COLUMNS($P$1006:S1006),$P$1006:$S$1006,0)), HYPERLINK("#",""), HYPERLINK(CONCATENATE("#metadata!", ADDRESS(INDEX($K$2:$K$1001,MATCH(ROWS($I$2:I500),$I$2:$I$1001,0),0), INDEX($P$1004:$S$1004,1,MATCH(COLUMNS($P$1006:S1006),$P$1006:$S$1006,0)))),"Fix")))</f>
        <v>0</v>
      </c>
      <c r="I500">
        <v>0</v>
      </c>
      <c r="J500">
        <v>0</v>
      </c>
      <c r="K500">
        <v>0</v>
      </c>
      <c r="L500">
        <f>IF(M500,TRUE,AND(P500:S500))</f>
        <v>0</v>
      </c>
      <c r="M500">
        <f>COUNTBLANK(metadata!B500:E500)=COLUMNS(metadata!B500:E500)</f>
        <v>0</v>
      </c>
      <c r="N500">
        <v>0</v>
      </c>
      <c r="P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Q500">
        <f>AND(IF(metadata!C500="",FALSE,TRUE),exact(metadata!C500,"other"))</f>
        <v>0</v>
      </c>
      <c r="R500">
        <f>AND(IF(metadata!D500="",FALSE,TRUE),exact(metadata!D500,"metagenome"))</f>
        <v>0</v>
      </c>
      <c r="S500">
        <f>AND(IF(metadata!E500="",FALSE,TRUE),exact(metadata!E500,"256318"))</f>
        <v>0</v>
      </c>
    </row>
    <row r="501" spans="1:19">
      <c r="A501" s="4">
        <f>IF(B501=" "," ",HYPERLINK(CONCATENATE("#metadata!",ADDRESS(INDEX($K$2:$K$1001,MATCH(ROWS($I$2:I501),$I$2:$I$1001,0),0),1)),INDEX($N$2:$N$1001,MATCH(ROWS($I$2:I501),$I$2:$I$1001,0),0)))</f>
        <v>0</v>
      </c>
      <c r="B501" s="3">
        <f>IF(OR(INDEX($J$2:$J$1001,MATCH(ROWS($I$2:I501),$I$2:$I$1001,0),1)&gt;=100000,INDEX($P$1005:$S$1005,1,MATCH(COLUMNS($P$1006:P1006),$P$1006:$S$1006,0))&gt;=100000), " ",IF(INDEX($P$2:$S$1001,MATCH(ROWS($I$2:I501),$I$2:$I$1001,0),MATCH(COLUMNS($P$1006:P1006),$P$1006:$S$1006,0)), HYPERLINK("#",""), HYPERLINK(CONCATENATE("#metadata!", ADDRESS(INDEX($K$2:$K$1001,MATCH(ROWS($I$2:I501),$I$2:$I$1001,0),0), INDEX($P$1004:$S$1004,1,MATCH(COLUMNS($P$1006:P1006),$P$1006:$S$1006,0)))),"Fix")))</f>
        <v>0</v>
      </c>
      <c r="C501" s="3">
        <f>IF(OR(INDEX($J$2:$J$1001,MATCH(ROWS($I$2:I501),$I$2:$I$1001,0),1)&gt;=100000,INDEX($P$1005:$S$1005,1,MATCH(COLUMNS($P$1006:Q1006),$P$1006:$S$1006,0))&gt;=100000), " ",IF(INDEX($P$2:$S$1001,MATCH(ROWS($I$2:I501),$I$2:$I$1001,0),MATCH(COLUMNS($P$1006:Q1006),$P$1006:$S$1006,0)), HYPERLINK("#",""), HYPERLINK(CONCATENATE("#metadata!", ADDRESS(INDEX($K$2:$K$1001,MATCH(ROWS($I$2:I501),$I$2:$I$1001,0),0), INDEX($P$1004:$S$1004,1,MATCH(COLUMNS($P$1006:Q1006),$P$1006:$S$1006,0)))),"Fix")))</f>
        <v>0</v>
      </c>
      <c r="D501" s="3">
        <f>IF(OR(INDEX($J$2:$J$1001,MATCH(ROWS($I$2:I501),$I$2:$I$1001,0),1)&gt;=100000,INDEX($P$1005:$S$1005,1,MATCH(COLUMNS($P$1006:R1006),$P$1006:$S$1006,0))&gt;=100000), " ",IF(INDEX($P$2:$S$1001,MATCH(ROWS($I$2:I501),$I$2:$I$1001,0),MATCH(COLUMNS($P$1006:R1006),$P$1006:$S$1006,0)), HYPERLINK("#",""), HYPERLINK(CONCATENATE("#metadata!", ADDRESS(INDEX($K$2:$K$1001,MATCH(ROWS($I$2:I501),$I$2:$I$1001,0),0), INDEX($P$1004:$S$1004,1,MATCH(COLUMNS($P$1006:R1006),$P$1006:$S$1006,0)))),"Fix")))</f>
        <v>0</v>
      </c>
      <c r="E501" s="3">
        <f>IF(OR(INDEX($J$2:$J$1001,MATCH(ROWS($I$2:I501),$I$2:$I$1001,0),1)&gt;=100000,INDEX($P$1005:$S$1005,1,MATCH(COLUMNS($P$1006:S1006),$P$1006:$S$1006,0))&gt;=100000), " ",IF(INDEX($P$2:$S$1001,MATCH(ROWS($I$2:I501),$I$2:$I$1001,0),MATCH(COLUMNS($P$1006:S1006),$P$1006:$S$1006,0)), HYPERLINK("#",""), HYPERLINK(CONCATENATE("#metadata!", ADDRESS(INDEX($K$2:$K$1001,MATCH(ROWS($I$2:I501),$I$2:$I$1001,0),0), INDEX($P$1004:$S$1004,1,MATCH(COLUMNS($P$1006:S1006),$P$1006:$S$1006,0)))),"Fix")))</f>
        <v>0</v>
      </c>
      <c r="I501">
        <v>0</v>
      </c>
      <c r="J501">
        <v>0</v>
      </c>
      <c r="K501">
        <v>0</v>
      </c>
      <c r="L501">
        <f>IF(M501,TRUE,AND(P501:S501))</f>
        <v>0</v>
      </c>
      <c r="M501">
        <f>COUNTBLANK(metadata!B501:E501)=COLUMNS(metadata!B501:E501)</f>
        <v>0</v>
      </c>
      <c r="N501">
        <v>0</v>
      </c>
      <c r="P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Q501">
        <f>AND(IF(metadata!C501="",FALSE,TRUE),exact(metadata!C501,"other"))</f>
        <v>0</v>
      </c>
      <c r="R501">
        <f>AND(IF(metadata!D501="",FALSE,TRUE),exact(metadata!D501,"metagenome"))</f>
        <v>0</v>
      </c>
      <c r="S501">
        <f>AND(IF(metadata!E501="",FALSE,TRUE),exact(metadata!E501,"256318"))</f>
        <v>0</v>
      </c>
    </row>
    <row r="502" spans="1:19">
      <c r="A502" s="4">
        <f>IF(B502=" "," ",HYPERLINK(CONCATENATE("#metadata!",ADDRESS(INDEX($K$2:$K$1001,MATCH(ROWS($I$2:I502),$I$2:$I$1001,0),0),1)),INDEX($N$2:$N$1001,MATCH(ROWS($I$2:I502),$I$2:$I$1001,0),0)))</f>
        <v>0</v>
      </c>
      <c r="B502" s="3">
        <f>IF(OR(INDEX($J$2:$J$1001,MATCH(ROWS($I$2:I502),$I$2:$I$1001,0),1)&gt;=100000,INDEX($P$1005:$S$1005,1,MATCH(COLUMNS($P$1006:P1006),$P$1006:$S$1006,0))&gt;=100000), " ",IF(INDEX($P$2:$S$1001,MATCH(ROWS($I$2:I502),$I$2:$I$1001,0),MATCH(COLUMNS($P$1006:P1006),$P$1006:$S$1006,0)), HYPERLINK("#",""), HYPERLINK(CONCATENATE("#metadata!", ADDRESS(INDEX($K$2:$K$1001,MATCH(ROWS($I$2:I502),$I$2:$I$1001,0),0), INDEX($P$1004:$S$1004,1,MATCH(COLUMNS($P$1006:P1006),$P$1006:$S$1006,0)))),"Fix")))</f>
        <v>0</v>
      </c>
      <c r="C502" s="3">
        <f>IF(OR(INDEX($J$2:$J$1001,MATCH(ROWS($I$2:I502),$I$2:$I$1001,0),1)&gt;=100000,INDEX($P$1005:$S$1005,1,MATCH(COLUMNS($P$1006:Q1006),$P$1006:$S$1006,0))&gt;=100000), " ",IF(INDEX($P$2:$S$1001,MATCH(ROWS($I$2:I502),$I$2:$I$1001,0),MATCH(COLUMNS($P$1006:Q1006),$P$1006:$S$1006,0)), HYPERLINK("#",""), HYPERLINK(CONCATENATE("#metadata!", ADDRESS(INDEX($K$2:$K$1001,MATCH(ROWS($I$2:I502),$I$2:$I$1001,0),0), INDEX($P$1004:$S$1004,1,MATCH(COLUMNS($P$1006:Q1006),$P$1006:$S$1006,0)))),"Fix")))</f>
        <v>0</v>
      </c>
      <c r="D502" s="3">
        <f>IF(OR(INDEX($J$2:$J$1001,MATCH(ROWS($I$2:I502),$I$2:$I$1001,0),1)&gt;=100000,INDEX($P$1005:$S$1005,1,MATCH(COLUMNS($P$1006:R1006),$P$1006:$S$1006,0))&gt;=100000), " ",IF(INDEX($P$2:$S$1001,MATCH(ROWS($I$2:I502),$I$2:$I$1001,0),MATCH(COLUMNS($P$1006:R1006),$P$1006:$S$1006,0)), HYPERLINK("#",""), HYPERLINK(CONCATENATE("#metadata!", ADDRESS(INDEX($K$2:$K$1001,MATCH(ROWS($I$2:I502),$I$2:$I$1001,0),0), INDEX($P$1004:$S$1004,1,MATCH(COLUMNS($P$1006:R1006),$P$1006:$S$1006,0)))),"Fix")))</f>
        <v>0</v>
      </c>
      <c r="E502" s="3">
        <f>IF(OR(INDEX($J$2:$J$1001,MATCH(ROWS($I$2:I502),$I$2:$I$1001,0),1)&gt;=100000,INDEX($P$1005:$S$1005,1,MATCH(COLUMNS($P$1006:S1006),$P$1006:$S$1006,0))&gt;=100000), " ",IF(INDEX($P$2:$S$1001,MATCH(ROWS($I$2:I502),$I$2:$I$1001,0),MATCH(COLUMNS($P$1006:S1006),$P$1006:$S$1006,0)), HYPERLINK("#",""), HYPERLINK(CONCATENATE("#metadata!", ADDRESS(INDEX($K$2:$K$1001,MATCH(ROWS($I$2:I502),$I$2:$I$1001,0),0), INDEX($P$1004:$S$1004,1,MATCH(COLUMNS($P$1006:S1006),$P$1006:$S$1006,0)))),"Fix")))</f>
        <v>0</v>
      </c>
      <c r="I502">
        <v>0</v>
      </c>
      <c r="J502">
        <v>0</v>
      </c>
      <c r="K502">
        <v>0</v>
      </c>
      <c r="L502">
        <f>IF(M502,TRUE,AND(P502:S502))</f>
        <v>0</v>
      </c>
      <c r="M502">
        <f>COUNTBLANK(metadata!B502:E502)=COLUMNS(metadata!B502:E502)</f>
        <v>0</v>
      </c>
      <c r="N502">
        <v>0</v>
      </c>
      <c r="P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Q502">
        <f>AND(IF(metadata!C502="",FALSE,TRUE),exact(metadata!C502,"other"))</f>
        <v>0</v>
      </c>
      <c r="R502">
        <f>AND(IF(metadata!D502="",FALSE,TRUE),exact(metadata!D502,"metagenome"))</f>
        <v>0</v>
      </c>
      <c r="S502">
        <f>AND(IF(metadata!E502="",FALSE,TRUE),exact(metadata!E502,"256318"))</f>
        <v>0</v>
      </c>
    </row>
    <row r="503" spans="1:19">
      <c r="A503" s="4">
        <f>IF(B503=" "," ",HYPERLINK(CONCATENATE("#metadata!",ADDRESS(INDEX($K$2:$K$1001,MATCH(ROWS($I$2:I503),$I$2:$I$1001,0),0),1)),INDEX($N$2:$N$1001,MATCH(ROWS($I$2:I503),$I$2:$I$1001,0),0)))</f>
        <v>0</v>
      </c>
      <c r="B503" s="3">
        <f>IF(OR(INDEX($J$2:$J$1001,MATCH(ROWS($I$2:I503),$I$2:$I$1001,0),1)&gt;=100000,INDEX($P$1005:$S$1005,1,MATCH(COLUMNS($P$1006:P1006),$P$1006:$S$1006,0))&gt;=100000), " ",IF(INDEX($P$2:$S$1001,MATCH(ROWS($I$2:I503),$I$2:$I$1001,0),MATCH(COLUMNS($P$1006:P1006),$P$1006:$S$1006,0)), HYPERLINK("#",""), HYPERLINK(CONCATENATE("#metadata!", ADDRESS(INDEX($K$2:$K$1001,MATCH(ROWS($I$2:I503),$I$2:$I$1001,0),0), INDEX($P$1004:$S$1004,1,MATCH(COLUMNS($P$1006:P1006),$P$1006:$S$1006,0)))),"Fix")))</f>
        <v>0</v>
      </c>
      <c r="C503" s="3">
        <f>IF(OR(INDEX($J$2:$J$1001,MATCH(ROWS($I$2:I503),$I$2:$I$1001,0),1)&gt;=100000,INDEX($P$1005:$S$1005,1,MATCH(COLUMNS($P$1006:Q1006),$P$1006:$S$1006,0))&gt;=100000), " ",IF(INDEX($P$2:$S$1001,MATCH(ROWS($I$2:I503),$I$2:$I$1001,0),MATCH(COLUMNS($P$1006:Q1006),$P$1006:$S$1006,0)), HYPERLINK("#",""), HYPERLINK(CONCATENATE("#metadata!", ADDRESS(INDEX($K$2:$K$1001,MATCH(ROWS($I$2:I503),$I$2:$I$1001,0),0), INDEX($P$1004:$S$1004,1,MATCH(COLUMNS($P$1006:Q1006),$P$1006:$S$1006,0)))),"Fix")))</f>
        <v>0</v>
      </c>
      <c r="D503" s="3">
        <f>IF(OR(INDEX($J$2:$J$1001,MATCH(ROWS($I$2:I503),$I$2:$I$1001,0),1)&gt;=100000,INDEX($P$1005:$S$1005,1,MATCH(COLUMNS($P$1006:R1006),$P$1006:$S$1006,0))&gt;=100000), " ",IF(INDEX($P$2:$S$1001,MATCH(ROWS($I$2:I503),$I$2:$I$1001,0),MATCH(COLUMNS($P$1006:R1006),$P$1006:$S$1006,0)), HYPERLINK("#",""), HYPERLINK(CONCATENATE("#metadata!", ADDRESS(INDEX($K$2:$K$1001,MATCH(ROWS($I$2:I503),$I$2:$I$1001,0),0), INDEX($P$1004:$S$1004,1,MATCH(COLUMNS($P$1006:R1006),$P$1006:$S$1006,0)))),"Fix")))</f>
        <v>0</v>
      </c>
      <c r="E503" s="3">
        <f>IF(OR(INDEX($J$2:$J$1001,MATCH(ROWS($I$2:I503),$I$2:$I$1001,0),1)&gt;=100000,INDEX($P$1005:$S$1005,1,MATCH(COLUMNS($P$1006:S1006),$P$1006:$S$1006,0))&gt;=100000), " ",IF(INDEX($P$2:$S$1001,MATCH(ROWS($I$2:I503),$I$2:$I$1001,0),MATCH(COLUMNS($P$1006:S1006),$P$1006:$S$1006,0)), HYPERLINK("#",""), HYPERLINK(CONCATENATE("#metadata!", ADDRESS(INDEX($K$2:$K$1001,MATCH(ROWS($I$2:I503),$I$2:$I$1001,0),0), INDEX($P$1004:$S$1004,1,MATCH(COLUMNS($P$1006:S1006),$P$1006:$S$1006,0)))),"Fix")))</f>
        <v>0</v>
      </c>
      <c r="I503">
        <v>0</v>
      </c>
      <c r="J503">
        <v>0</v>
      </c>
      <c r="K503">
        <v>0</v>
      </c>
      <c r="L503">
        <f>IF(M503,TRUE,AND(P503:S503))</f>
        <v>0</v>
      </c>
      <c r="M503">
        <f>COUNTBLANK(metadata!B503:E503)=COLUMNS(metadata!B503:E503)</f>
        <v>0</v>
      </c>
      <c r="N503">
        <v>0</v>
      </c>
      <c r="P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Q503">
        <f>AND(IF(metadata!C503="",FALSE,TRUE),exact(metadata!C503,"other"))</f>
        <v>0</v>
      </c>
      <c r="R503">
        <f>AND(IF(metadata!D503="",FALSE,TRUE),exact(metadata!D503,"metagenome"))</f>
        <v>0</v>
      </c>
      <c r="S503">
        <f>AND(IF(metadata!E503="",FALSE,TRUE),exact(metadata!E503,"256318"))</f>
        <v>0</v>
      </c>
    </row>
    <row r="504" spans="1:19">
      <c r="A504" s="4">
        <f>IF(B504=" "," ",HYPERLINK(CONCATENATE("#metadata!",ADDRESS(INDEX($K$2:$K$1001,MATCH(ROWS($I$2:I504),$I$2:$I$1001,0),0),1)),INDEX($N$2:$N$1001,MATCH(ROWS($I$2:I504),$I$2:$I$1001,0),0)))</f>
        <v>0</v>
      </c>
      <c r="B504" s="3">
        <f>IF(OR(INDEX($J$2:$J$1001,MATCH(ROWS($I$2:I504),$I$2:$I$1001,0),1)&gt;=100000,INDEX($P$1005:$S$1005,1,MATCH(COLUMNS($P$1006:P1006),$P$1006:$S$1006,0))&gt;=100000), " ",IF(INDEX($P$2:$S$1001,MATCH(ROWS($I$2:I504),$I$2:$I$1001,0),MATCH(COLUMNS($P$1006:P1006),$P$1006:$S$1006,0)), HYPERLINK("#",""), HYPERLINK(CONCATENATE("#metadata!", ADDRESS(INDEX($K$2:$K$1001,MATCH(ROWS($I$2:I504),$I$2:$I$1001,0),0), INDEX($P$1004:$S$1004,1,MATCH(COLUMNS($P$1006:P1006),$P$1006:$S$1006,0)))),"Fix")))</f>
        <v>0</v>
      </c>
      <c r="C504" s="3">
        <f>IF(OR(INDEX($J$2:$J$1001,MATCH(ROWS($I$2:I504),$I$2:$I$1001,0),1)&gt;=100000,INDEX($P$1005:$S$1005,1,MATCH(COLUMNS($P$1006:Q1006),$P$1006:$S$1006,0))&gt;=100000), " ",IF(INDEX($P$2:$S$1001,MATCH(ROWS($I$2:I504),$I$2:$I$1001,0),MATCH(COLUMNS($P$1006:Q1006),$P$1006:$S$1006,0)), HYPERLINK("#",""), HYPERLINK(CONCATENATE("#metadata!", ADDRESS(INDEX($K$2:$K$1001,MATCH(ROWS($I$2:I504),$I$2:$I$1001,0),0), INDEX($P$1004:$S$1004,1,MATCH(COLUMNS($P$1006:Q1006),$P$1006:$S$1006,0)))),"Fix")))</f>
        <v>0</v>
      </c>
      <c r="D504" s="3">
        <f>IF(OR(INDEX($J$2:$J$1001,MATCH(ROWS($I$2:I504),$I$2:$I$1001,0),1)&gt;=100000,INDEX($P$1005:$S$1005,1,MATCH(COLUMNS($P$1006:R1006),$P$1006:$S$1006,0))&gt;=100000), " ",IF(INDEX($P$2:$S$1001,MATCH(ROWS($I$2:I504),$I$2:$I$1001,0),MATCH(COLUMNS($P$1006:R1006),$P$1006:$S$1006,0)), HYPERLINK("#",""), HYPERLINK(CONCATENATE("#metadata!", ADDRESS(INDEX($K$2:$K$1001,MATCH(ROWS($I$2:I504),$I$2:$I$1001,0),0), INDEX($P$1004:$S$1004,1,MATCH(COLUMNS($P$1006:R1006),$P$1006:$S$1006,0)))),"Fix")))</f>
        <v>0</v>
      </c>
      <c r="E504" s="3">
        <f>IF(OR(INDEX($J$2:$J$1001,MATCH(ROWS($I$2:I504),$I$2:$I$1001,0),1)&gt;=100000,INDEX($P$1005:$S$1005,1,MATCH(COLUMNS($P$1006:S1006),$P$1006:$S$1006,0))&gt;=100000), " ",IF(INDEX($P$2:$S$1001,MATCH(ROWS($I$2:I504),$I$2:$I$1001,0),MATCH(COLUMNS($P$1006:S1006),$P$1006:$S$1006,0)), HYPERLINK("#",""), HYPERLINK(CONCATENATE("#metadata!", ADDRESS(INDEX($K$2:$K$1001,MATCH(ROWS($I$2:I504),$I$2:$I$1001,0),0), INDEX($P$1004:$S$1004,1,MATCH(COLUMNS($P$1006:S1006),$P$1006:$S$1006,0)))),"Fix")))</f>
        <v>0</v>
      </c>
      <c r="I504">
        <v>0</v>
      </c>
      <c r="J504">
        <v>0</v>
      </c>
      <c r="K504">
        <v>0</v>
      </c>
      <c r="L504">
        <f>IF(M504,TRUE,AND(P504:S504))</f>
        <v>0</v>
      </c>
      <c r="M504">
        <f>COUNTBLANK(metadata!B504:E504)=COLUMNS(metadata!B504:E504)</f>
        <v>0</v>
      </c>
      <c r="N504">
        <v>0</v>
      </c>
      <c r="P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Q504">
        <f>AND(IF(metadata!C504="",FALSE,TRUE),exact(metadata!C504,"other"))</f>
        <v>0</v>
      </c>
      <c r="R504">
        <f>AND(IF(metadata!D504="",FALSE,TRUE),exact(metadata!D504,"metagenome"))</f>
        <v>0</v>
      </c>
      <c r="S504">
        <f>AND(IF(metadata!E504="",FALSE,TRUE),exact(metadata!E504,"256318"))</f>
        <v>0</v>
      </c>
    </row>
    <row r="505" spans="1:19">
      <c r="A505" s="4">
        <f>IF(B505=" "," ",HYPERLINK(CONCATENATE("#metadata!",ADDRESS(INDEX($K$2:$K$1001,MATCH(ROWS($I$2:I505),$I$2:$I$1001,0),0),1)),INDEX($N$2:$N$1001,MATCH(ROWS($I$2:I505),$I$2:$I$1001,0),0)))</f>
        <v>0</v>
      </c>
      <c r="B505" s="3">
        <f>IF(OR(INDEX($J$2:$J$1001,MATCH(ROWS($I$2:I505),$I$2:$I$1001,0),1)&gt;=100000,INDEX($P$1005:$S$1005,1,MATCH(COLUMNS($P$1006:P1006),$P$1006:$S$1006,0))&gt;=100000), " ",IF(INDEX($P$2:$S$1001,MATCH(ROWS($I$2:I505),$I$2:$I$1001,0),MATCH(COLUMNS($P$1006:P1006),$P$1006:$S$1006,0)), HYPERLINK("#",""), HYPERLINK(CONCATENATE("#metadata!", ADDRESS(INDEX($K$2:$K$1001,MATCH(ROWS($I$2:I505),$I$2:$I$1001,0),0), INDEX($P$1004:$S$1004,1,MATCH(COLUMNS($P$1006:P1006),$P$1006:$S$1006,0)))),"Fix")))</f>
        <v>0</v>
      </c>
      <c r="C505" s="3">
        <f>IF(OR(INDEX($J$2:$J$1001,MATCH(ROWS($I$2:I505),$I$2:$I$1001,0),1)&gt;=100000,INDEX($P$1005:$S$1005,1,MATCH(COLUMNS($P$1006:Q1006),$P$1006:$S$1006,0))&gt;=100000), " ",IF(INDEX($P$2:$S$1001,MATCH(ROWS($I$2:I505),$I$2:$I$1001,0),MATCH(COLUMNS($P$1006:Q1006),$P$1006:$S$1006,0)), HYPERLINK("#",""), HYPERLINK(CONCATENATE("#metadata!", ADDRESS(INDEX($K$2:$K$1001,MATCH(ROWS($I$2:I505),$I$2:$I$1001,0),0), INDEX($P$1004:$S$1004,1,MATCH(COLUMNS($P$1006:Q1006),$P$1006:$S$1006,0)))),"Fix")))</f>
        <v>0</v>
      </c>
      <c r="D505" s="3">
        <f>IF(OR(INDEX($J$2:$J$1001,MATCH(ROWS($I$2:I505),$I$2:$I$1001,0),1)&gt;=100000,INDEX($P$1005:$S$1005,1,MATCH(COLUMNS($P$1006:R1006),$P$1006:$S$1006,0))&gt;=100000), " ",IF(INDEX($P$2:$S$1001,MATCH(ROWS($I$2:I505),$I$2:$I$1001,0),MATCH(COLUMNS($P$1006:R1006),$P$1006:$S$1006,0)), HYPERLINK("#",""), HYPERLINK(CONCATENATE("#metadata!", ADDRESS(INDEX($K$2:$K$1001,MATCH(ROWS($I$2:I505),$I$2:$I$1001,0),0), INDEX($P$1004:$S$1004,1,MATCH(COLUMNS($P$1006:R1006),$P$1006:$S$1006,0)))),"Fix")))</f>
        <v>0</v>
      </c>
      <c r="E505" s="3">
        <f>IF(OR(INDEX($J$2:$J$1001,MATCH(ROWS($I$2:I505),$I$2:$I$1001,0),1)&gt;=100000,INDEX($P$1005:$S$1005,1,MATCH(COLUMNS($P$1006:S1006),$P$1006:$S$1006,0))&gt;=100000), " ",IF(INDEX($P$2:$S$1001,MATCH(ROWS($I$2:I505),$I$2:$I$1001,0),MATCH(COLUMNS($P$1006:S1006),$P$1006:$S$1006,0)), HYPERLINK("#",""), HYPERLINK(CONCATENATE("#metadata!", ADDRESS(INDEX($K$2:$K$1001,MATCH(ROWS($I$2:I505),$I$2:$I$1001,0),0), INDEX($P$1004:$S$1004,1,MATCH(COLUMNS($P$1006:S1006),$P$1006:$S$1006,0)))),"Fix")))</f>
        <v>0</v>
      </c>
      <c r="I505">
        <v>0</v>
      </c>
      <c r="J505">
        <v>0</v>
      </c>
      <c r="K505">
        <v>0</v>
      </c>
      <c r="L505">
        <f>IF(M505,TRUE,AND(P505:S505))</f>
        <v>0</v>
      </c>
      <c r="M505">
        <f>COUNTBLANK(metadata!B505:E505)=COLUMNS(metadata!B505:E505)</f>
        <v>0</v>
      </c>
      <c r="N505">
        <v>0</v>
      </c>
      <c r="P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Q505">
        <f>AND(IF(metadata!C505="",FALSE,TRUE),exact(metadata!C505,"other"))</f>
        <v>0</v>
      </c>
      <c r="R505">
        <f>AND(IF(metadata!D505="",FALSE,TRUE),exact(metadata!D505,"metagenome"))</f>
        <v>0</v>
      </c>
      <c r="S505">
        <f>AND(IF(metadata!E505="",FALSE,TRUE),exact(metadata!E505,"256318"))</f>
        <v>0</v>
      </c>
    </row>
    <row r="506" spans="1:19">
      <c r="A506" s="4">
        <f>IF(B506=" "," ",HYPERLINK(CONCATENATE("#metadata!",ADDRESS(INDEX($K$2:$K$1001,MATCH(ROWS($I$2:I506),$I$2:$I$1001,0),0),1)),INDEX($N$2:$N$1001,MATCH(ROWS($I$2:I506),$I$2:$I$1001,0),0)))</f>
        <v>0</v>
      </c>
      <c r="B506" s="3">
        <f>IF(OR(INDEX($J$2:$J$1001,MATCH(ROWS($I$2:I506),$I$2:$I$1001,0),1)&gt;=100000,INDEX($P$1005:$S$1005,1,MATCH(COLUMNS($P$1006:P1006),$P$1006:$S$1006,0))&gt;=100000), " ",IF(INDEX($P$2:$S$1001,MATCH(ROWS($I$2:I506),$I$2:$I$1001,0),MATCH(COLUMNS($P$1006:P1006),$P$1006:$S$1006,0)), HYPERLINK("#",""), HYPERLINK(CONCATENATE("#metadata!", ADDRESS(INDEX($K$2:$K$1001,MATCH(ROWS($I$2:I506),$I$2:$I$1001,0),0), INDEX($P$1004:$S$1004,1,MATCH(COLUMNS($P$1006:P1006),$P$1006:$S$1006,0)))),"Fix")))</f>
        <v>0</v>
      </c>
      <c r="C506" s="3">
        <f>IF(OR(INDEX($J$2:$J$1001,MATCH(ROWS($I$2:I506),$I$2:$I$1001,0),1)&gt;=100000,INDEX($P$1005:$S$1005,1,MATCH(COLUMNS($P$1006:Q1006),$P$1006:$S$1006,0))&gt;=100000), " ",IF(INDEX($P$2:$S$1001,MATCH(ROWS($I$2:I506),$I$2:$I$1001,0),MATCH(COLUMNS($P$1006:Q1006),$P$1006:$S$1006,0)), HYPERLINK("#",""), HYPERLINK(CONCATENATE("#metadata!", ADDRESS(INDEX($K$2:$K$1001,MATCH(ROWS($I$2:I506),$I$2:$I$1001,0),0), INDEX($P$1004:$S$1004,1,MATCH(COLUMNS($P$1006:Q1006),$P$1006:$S$1006,0)))),"Fix")))</f>
        <v>0</v>
      </c>
      <c r="D506" s="3">
        <f>IF(OR(INDEX($J$2:$J$1001,MATCH(ROWS($I$2:I506),$I$2:$I$1001,0),1)&gt;=100000,INDEX($P$1005:$S$1005,1,MATCH(COLUMNS($P$1006:R1006),$P$1006:$S$1006,0))&gt;=100000), " ",IF(INDEX($P$2:$S$1001,MATCH(ROWS($I$2:I506),$I$2:$I$1001,0),MATCH(COLUMNS($P$1006:R1006),$P$1006:$S$1006,0)), HYPERLINK("#",""), HYPERLINK(CONCATENATE("#metadata!", ADDRESS(INDEX($K$2:$K$1001,MATCH(ROWS($I$2:I506),$I$2:$I$1001,0),0), INDEX($P$1004:$S$1004,1,MATCH(COLUMNS($P$1006:R1006),$P$1006:$S$1006,0)))),"Fix")))</f>
        <v>0</v>
      </c>
      <c r="E506" s="3">
        <f>IF(OR(INDEX($J$2:$J$1001,MATCH(ROWS($I$2:I506),$I$2:$I$1001,0),1)&gt;=100000,INDEX($P$1005:$S$1005,1,MATCH(COLUMNS($P$1006:S1006),$P$1006:$S$1006,0))&gt;=100000), " ",IF(INDEX($P$2:$S$1001,MATCH(ROWS($I$2:I506),$I$2:$I$1001,0),MATCH(COLUMNS($P$1006:S1006),$P$1006:$S$1006,0)), HYPERLINK("#",""), HYPERLINK(CONCATENATE("#metadata!", ADDRESS(INDEX($K$2:$K$1001,MATCH(ROWS($I$2:I506),$I$2:$I$1001,0),0), INDEX($P$1004:$S$1004,1,MATCH(COLUMNS($P$1006:S1006),$P$1006:$S$1006,0)))),"Fix")))</f>
        <v>0</v>
      </c>
      <c r="I506">
        <v>0</v>
      </c>
      <c r="J506">
        <v>0</v>
      </c>
      <c r="K506">
        <v>0</v>
      </c>
      <c r="L506">
        <f>IF(M506,TRUE,AND(P506:S506))</f>
        <v>0</v>
      </c>
      <c r="M506">
        <f>COUNTBLANK(metadata!B506:E506)=COLUMNS(metadata!B506:E506)</f>
        <v>0</v>
      </c>
      <c r="N506">
        <v>0</v>
      </c>
      <c r="P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Q506">
        <f>AND(IF(metadata!C506="",FALSE,TRUE),exact(metadata!C506,"other"))</f>
        <v>0</v>
      </c>
      <c r="R506">
        <f>AND(IF(metadata!D506="",FALSE,TRUE),exact(metadata!D506,"metagenome"))</f>
        <v>0</v>
      </c>
      <c r="S506">
        <f>AND(IF(metadata!E506="",FALSE,TRUE),exact(metadata!E506,"256318"))</f>
        <v>0</v>
      </c>
    </row>
    <row r="507" spans="1:19">
      <c r="A507" s="4">
        <f>IF(B507=" "," ",HYPERLINK(CONCATENATE("#metadata!",ADDRESS(INDEX($K$2:$K$1001,MATCH(ROWS($I$2:I507),$I$2:$I$1001,0),0),1)),INDEX($N$2:$N$1001,MATCH(ROWS($I$2:I507),$I$2:$I$1001,0),0)))</f>
        <v>0</v>
      </c>
      <c r="B507" s="3">
        <f>IF(OR(INDEX($J$2:$J$1001,MATCH(ROWS($I$2:I507),$I$2:$I$1001,0),1)&gt;=100000,INDEX($P$1005:$S$1005,1,MATCH(COLUMNS($P$1006:P1006),$P$1006:$S$1006,0))&gt;=100000), " ",IF(INDEX($P$2:$S$1001,MATCH(ROWS($I$2:I507),$I$2:$I$1001,0),MATCH(COLUMNS($P$1006:P1006),$P$1006:$S$1006,0)), HYPERLINK("#",""), HYPERLINK(CONCATENATE("#metadata!", ADDRESS(INDEX($K$2:$K$1001,MATCH(ROWS($I$2:I507),$I$2:$I$1001,0),0), INDEX($P$1004:$S$1004,1,MATCH(COLUMNS($P$1006:P1006),$P$1006:$S$1006,0)))),"Fix")))</f>
        <v>0</v>
      </c>
      <c r="C507" s="3">
        <f>IF(OR(INDEX($J$2:$J$1001,MATCH(ROWS($I$2:I507),$I$2:$I$1001,0),1)&gt;=100000,INDEX($P$1005:$S$1005,1,MATCH(COLUMNS($P$1006:Q1006),$P$1006:$S$1006,0))&gt;=100000), " ",IF(INDEX($P$2:$S$1001,MATCH(ROWS($I$2:I507),$I$2:$I$1001,0),MATCH(COLUMNS($P$1006:Q1006),$P$1006:$S$1006,0)), HYPERLINK("#",""), HYPERLINK(CONCATENATE("#metadata!", ADDRESS(INDEX($K$2:$K$1001,MATCH(ROWS($I$2:I507),$I$2:$I$1001,0),0), INDEX($P$1004:$S$1004,1,MATCH(COLUMNS($P$1006:Q1006),$P$1006:$S$1006,0)))),"Fix")))</f>
        <v>0</v>
      </c>
      <c r="D507" s="3">
        <f>IF(OR(INDEX($J$2:$J$1001,MATCH(ROWS($I$2:I507),$I$2:$I$1001,0),1)&gt;=100000,INDEX($P$1005:$S$1005,1,MATCH(COLUMNS($P$1006:R1006),$P$1006:$S$1006,0))&gt;=100000), " ",IF(INDEX($P$2:$S$1001,MATCH(ROWS($I$2:I507),$I$2:$I$1001,0),MATCH(COLUMNS($P$1006:R1006),$P$1006:$S$1006,0)), HYPERLINK("#",""), HYPERLINK(CONCATENATE("#metadata!", ADDRESS(INDEX($K$2:$K$1001,MATCH(ROWS($I$2:I507),$I$2:$I$1001,0),0), INDEX($P$1004:$S$1004,1,MATCH(COLUMNS($P$1006:R1006),$P$1006:$S$1006,0)))),"Fix")))</f>
        <v>0</v>
      </c>
      <c r="E507" s="3">
        <f>IF(OR(INDEX($J$2:$J$1001,MATCH(ROWS($I$2:I507),$I$2:$I$1001,0),1)&gt;=100000,INDEX($P$1005:$S$1005,1,MATCH(COLUMNS($P$1006:S1006),$P$1006:$S$1006,0))&gt;=100000), " ",IF(INDEX($P$2:$S$1001,MATCH(ROWS($I$2:I507),$I$2:$I$1001,0),MATCH(COLUMNS($P$1006:S1006),$P$1006:$S$1006,0)), HYPERLINK("#",""), HYPERLINK(CONCATENATE("#metadata!", ADDRESS(INDEX($K$2:$K$1001,MATCH(ROWS($I$2:I507),$I$2:$I$1001,0),0), INDEX($P$1004:$S$1004,1,MATCH(COLUMNS($P$1006:S1006),$P$1006:$S$1006,0)))),"Fix")))</f>
        <v>0</v>
      </c>
      <c r="I507">
        <v>0</v>
      </c>
      <c r="J507">
        <v>0</v>
      </c>
      <c r="K507">
        <v>0</v>
      </c>
      <c r="L507">
        <f>IF(M507,TRUE,AND(P507:S507))</f>
        <v>0</v>
      </c>
      <c r="M507">
        <f>COUNTBLANK(metadata!B507:E507)=COLUMNS(metadata!B507:E507)</f>
        <v>0</v>
      </c>
      <c r="N507">
        <v>0</v>
      </c>
      <c r="P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Q507">
        <f>AND(IF(metadata!C507="",FALSE,TRUE),exact(metadata!C507,"other"))</f>
        <v>0</v>
      </c>
      <c r="R507">
        <f>AND(IF(metadata!D507="",FALSE,TRUE),exact(metadata!D507,"metagenome"))</f>
        <v>0</v>
      </c>
      <c r="S507">
        <f>AND(IF(metadata!E507="",FALSE,TRUE),exact(metadata!E507,"256318"))</f>
        <v>0</v>
      </c>
    </row>
    <row r="508" spans="1:19">
      <c r="A508" s="4">
        <f>IF(B508=" "," ",HYPERLINK(CONCATENATE("#metadata!",ADDRESS(INDEX($K$2:$K$1001,MATCH(ROWS($I$2:I508),$I$2:$I$1001,0),0),1)),INDEX($N$2:$N$1001,MATCH(ROWS($I$2:I508),$I$2:$I$1001,0),0)))</f>
        <v>0</v>
      </c>
      <c r="B508" s="3">
        <f>IF(OR(INDEX($J$2:$J$1001,MATCH(ROWS($I$2:I508),$I$2:$I$1001,0),1)&gt;=100000,INDEX($P$1005:$S$1005,1,MATCH(COLUMNS($P$1006:P1006),$P$1006:$S$1006,0))&gt;=100000), " ",IF(INDEX($P$2:$S$1001,MATCH(ROWS($I$2:I508),$I$2:$I$1001,0),MATCH(COLUMNS($P$1006:P1006),$P$1006:$S$1006,0)), HYPERLINK("#",""), HYPERLINK(CONCATENATE("#metadata!", ADDRESS(INDEX($K$2:$K$1001,MATCH(ROWS($I$2:I508),$I$2:$I$1001,0),0), INDEX($P$1004:$S$1004,1,MATCH(COLUMNS($P$1006:P1006),$P$1006:$S$1006,0)))),"Fix")))</f>
        <v>0</v>
      </c>
      <c r="C508" s="3">
        <f>IF(OR(INDEX($J$2:$J$1001,MATCH(ROWS($I$2:I508),$I$2:$I$1001,0),1)&gt;=100000,INDEX($P$1005:$S$1005,1,MATCH(COLUMNS($P$1006:Q1006),$P$1006:$S$1006,0))&gt;=100000), " ",IF(INDEX($P$2:$S$1001,MATCH(ROWS($I$2:I508),$I$2:$I$1001,0),MATCH(COLUMNS($P$1006:Q1006),$P$1006:$S$1006,0)), HYPERLINK("#",""), HYPERLINK(CONCATENATE("#metadata!", ADDRESS(INDEX($K$2:$K$1001,MATCH(ROWS($I$2:I508),$I$2:$I$1001,0),0), INDEX($P$1004:$S$1004,1,MATCH(COLUMNS($P$1006:Q1006),$P$1006:$S$1006,0)))),"Fix")))</f>
        <v>0</v>
      </c>
      <c r="D508" s="3">
        <f>IF(OR(INDEX($J$2:$J$1001,MATCH(ROWS($I$2:I508),$I$2:$I$1001,0),1)&gt;=100000,INDEX($P$1005:$S$1005,1,MATCH(COLUMNS($P$1006:R1006),$P$1006:$S$1006,0))&gt;=100000), " ",IF(INDEX($P$2:$S$1001,MATCH(ROWS($I$2:I508),$I$2:$I$1001,0),MATCH(COLUMNS($P$1006:R1006),$P$1006:$S$1006,0)), HYPERLINK("#",""), HYPERLINK(CONCATENATE("#metadata!", ADDRESS(INDEX($K$2:$K$1001,MATCH(ROWS($I$2:I508),$I$2:$I$1001,0),0), INDEX($P$1004:$S$1004,1,MATCH(COLUMNS($P$1006:R1006),$P$1006:$S$1006,0)))),"Fix")))</f>
        <v>0</v>
      </c>
      <c r="E508" s="3">
        <f>IF(OR(INDEX($J$2:$J$1001,MATCH(ROWS($I$2:I508),$I$2:$I$1001,0),1)&gt;=100000,INDEX($P$1005:$S$1005,1,MATCH(COLUMNS($P$1006:S1006),$P$1006:$S$1006,0))&gt;=100000), " ",IF(INDEX($P$2:$S$1001,MATCH(ROWS($I$2:I508),$I$2:$I$1001,0),MATCH(COLUMNS($P$1006:S1006),$P$1006:$S$1006,0)), HYPERLINK("#",""), HYPERLINK(CONCATENATE("#metadata!", ADDRESS(INDEX($K$2:$K$1001,MATCH(ROWS($I$2:I508),$I$2:$I$1001,0),0), INDEX($P$1004:$S$1004,1,MATCH(COLUMNS($P$1006:S1006),$P$1006:$S$1006,0)))),"Fix")))</f>
        <v>0</v>
      </c>
      <c r="I508">
        <v>0</v>
      </c>
      <c r="J508">
        <v>0</v>
      </c>
      <c r="K508">
        <v>0</v>
      </c>
      <c r="L508">
        <f>IF(M508,TRUE,AND(P508:S508))</f>
        <v>0</v>
      </c>
      <c r="M508">
        <f>COUNTBLANK(metadata!B508:E508)=COLUMNS(metadata!B508:E508)</f>
        <v>0</v>
      </c>
      <c r="N508">
        <v>0</v>
      </c>
      <c r="P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Q508">
        <f>AND(IF(metadata!C508="",FALSE,TRUE),exact(metadata!C508,"other"))</f>
        <v>0</v>
      </c>
      <c r="R508">
        <f>AND(IF(metadata!D508="",FALSE,TRUE),exact(metadata!D508,"metagenome"))</f>
        <v>0</v>
      </c>
      <c r="S508">
        <f>AND(IF(metadata!E508="",FALSE,TRUE),exact(metadata!E508,"256318"))</f>
        <v>0</v>
      </c>
    </row>
    <row r="509" spans="1:19">
      <c r="A509" s="4">
        <f>IF(B509=" "," ",HYPERLINK(CONCATENATE("#metadata!",ADDRESS(INDEX($K$2:$K$1001,MATCH(ROWS($I$2:I509),$I$2:$I$1001,0),0),1)),INDEX($N$2:$N$1001,MATCH(ROWS($I$2:I509),$I$2:$I$1001,0),0)))</f>
        <v>0</v>
      </c>
      <c r="B509" s="3">
        <f>IF(OR(INDEX($J$2:$J$1001,MATCH(ROWS($I$2:I509),$I$2:$I$1001,0),1)&gt;=100000,INDEX($P$1005:$S$1005,1,MATCH(COLUMNS($P$1006:P1006),$P$1006:$S$1006,0))&gt;=100000), " ",IF(INDEX($P$2:$S$1001,MATCH(ROWS($I$2:I509),$I$2:$I$1001,0),MATCH(COLUMNS($P$1006:P1006),$P$1006:$S$1006,0)), HYPERLINK("#",""), HYPERLINK(CONCATENATE("#metadata!", ADDRESS(INDEX($K$2:$K$1001,MATCH(ROWS($I$2:I509),$I$2:$I$1001,0),0), INDEX($P$1004:$S$1004,1,MATCH(COLUMNS($P$1006:P1006),$P$1006:$S$1006,0)))),"Fix")))</f>
        <v>0</v>
      </c>
      <c r="C509" s="3">
        <f>IF(OR(INDEX($J$2:$J$1001,MATCH(ROWS($I$2:I509),$I$2:$I$1001,0),1)&gt;=100000,INDEX($P$1005:$S$1005,1,MATCH(COLUMNS($P$1006:Q1006),$P$1006:$S$1006,0))&gt;=100000), " ",IF(INDEX($P$2:$S$1001,MATCH(ROWS($I$2:I509),$I$2:$I$1001,0),MATCH(COLUMNS($P$1006:Q1006),$P$1006:$S$1006,0)), HYPERLINK("#",""), HYPERLINK(CONCATENATE("#metadata!", ADDRESS(INDEX($K$2:$K$1001,MATCH(ROWS($I$2:I509),$I$2:$I$1001,0),0), INDEX($P$1004:$S$1004,1,MATCH(COLUMNS($P$1006:Q1006),$P$1006:$S$1006,0)))),"Fix")))</f>
        <v>0</v>
      </c>
      <c r="D509" s="3">
        <f>IF(OR(INDEX($J$2:$J$1001,MATCH(ROWS($I$2:I509),$I$2:$I$1001,0),1)&gt;=100000,INDEX($P$1005:$S$1005,1,MATCH(COLUMNS($P$1006:R1006),$P$1006:$S$1006,0))&gt;=100000), " ",IF(INDEX($P$2:$S$1001,MATCH(ROWS($I$2:I509),$I$2:$I$1001,0),MATCH(COLUMNS($P$1006:R1006),$P$1006:$S$1006,0)), HYPERLINK("#",""), HYPERLINK(CONCATENATE("#metadata!", ADDRESS(INDEX($K$2:$K$1001,MATCH(ROWS($I$2:I509),$I$2:$I$1001,0),0), INDEX($P$1004:$S$1004,1,MATCH(COLUMNS($P$1006:R1006),$P$1006:$S$1006,0)))),"Fix")))</f>
        <v>0</v>
      </c>
      <c r="E509" s="3">
        <f>IF(OR(INDEX($J$2:$J$1001,MATCH(ROWS($I$2:I509),$I$2:$I$1001,0),1)&gt;=100000,INDEX($P$1005:$S$1005,1,MATCH(COLUMNS($P$1006:S1006),$P$1006:$S$1006,0))&gt;=100000), " ",IF(INDEX($P$2:$S$1001,MATCH(ROWS($I$2:I509),$I$2:$I$1001,0),MATCH(COLUMNS($P$1006:S1006),$P$1006:$S$1006,0)), HYPERLINK("#",""), HYPERLINK(CONCATENATE("#metadata!", ADDRESS(INDEX($K$2:$K$1001,MATCH(ROWS($I$2:I509),$I$2:$I$1001,0),0), INDEX($P$1004:$S$1004,1,MATCH(COLUMNS($P$1006:S1006),$P$1006:$S$1006,0)))),"Fix")))</f>
        <v>0</v>
      </c>
      <c r="I509">
        <v>0</v>
      </c>
      <c r="J509">
        <v>0</v>
      </c>
      <c r="K509">
        <v>0</v>
      </c>
      <c r="L509">
        <f>IF(M509,TRUE,AND(P509:S509))</f>
        <v>0</v>
      </c>
      <c r="M509">
        <f>COUNTBLANK(metadata!B509:E509)=COLUMNS(metadata!B509:E509)</f>
        <v>0</v>
      </c>
      <c r="N509">
        <v>0</v>
      </c>
      <c r="P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Q509">
        <f>AND(IF(metadata!C509="",FALSE,TRUE),exact(metadata!C509,"other"))</f>
        <v>0</v>
      </c>
      <c r="R509">
        <f>AND(IF(metadata!D509="",FALSE,TRUE),exact(metadata!D509,"metagenome"))</f>
        <v>0</v>
      </c>
      <c r="S509">
        <f>AND(IF(metadata!E509="",FALSE,TRUE),exact(metadata!E509,"256318"))</f>
        <v>0</v>
      </c>
    </row>
    <row r="510" spans="1:19">
      <c r="A510" s="4">
        <f>IF(B510=" "," ",HYPERLINK(CONCATENATE("#metadata!",ADDRESS(INDEX($K$2:$K$1001,MATCH(ROWS($I$2:I510),$I$2:$I$1001,0),0),1)),INDEX($N$2:$N$1001,MATCH(ROWS($I$2:I510),$I$2:$I$1001,0),0)))</f>
        <v>0</v>
      </c>
      <c r="B510" s="3">
        <f>IF(OR(INDEX($J$2:$J$1001,MATCH(ROWS($I$2:I510),$I$2:$I$1001,0),1)&gt;=100000,INDEX($P$1005:$S$1005,1,MATCH(COLUMNS($P$1006:P1006),$P$1006:$S$1006,0))&gt;=100000), " ",IF(INDEX($P$2:$S$1001,MATCH(ROWS($I$2:I510),$I$2:$I$1001,0),MATCH(COLUMNS($P$1006:P1006),$P$1006:$S$1006,0)), HYPERLINK("#",""), HYPERLINK(CONCATENATE("#metadata!", ADDRESS(INDEX($K$2:$K$1001,MATCH(ROWS($I$2:I510),$I$2:$I$1001,0),0), INDEX($P$1004:$S$1004,1,MATCH(COLUMNS($P$1006:P1006),$P$1006:$S$1006,0)))),"Fix")))</f>
        <v>0</v>
      </c>
      <c r="C510" s="3">
        <f>IF(OR(INDEX($J$2:$J$1001,MATCH(ROWS($I$2:I510),$I$2:$I$1001,0),1)&gt;=100000,INDEX($P$1005:$S$1005,1,MATCH(COLUMNS($P$1006:Q1006),$P$1006:$S$1006,0))&gt;=100000), " ",IF(INDEX($P$2:$S$1001,MATCH(ROWS($I$2:I510),$I$2:$I$1001,0),MATCH(COLUMNS($P$1006:Q1006),$P$1006:$S$1006,0)), HYPERLINK("#",""), HYPERLINK(CONCATENATE("#metadata!", ADDRESS(INDEX($K$2:$K$1001,MATCH(ROWS($I$2:I510),$I$2:$I$1001,0),0), INDEX($P$1004:$S$1004,1,MATCH(COLUMNS($P$1006:Q1006),$P$1006:$S$1006,0)))),"Fix")))</f>
        <v>0</v>
      </c>
      <c r="D510" s="3">
        <f>IF(OR(INDEX($J$2:$J$1001,MATCH(ROWS($I$2:I510),$I$2:$I$1001,0),1)&gt;=100000,INDEX($P$1005:$S$1005,1,MATCH(COLUMNS($P$1006:R1006),$P$1006:$S$1006,0))&gt;=100000), " ",IF(INDEX($P$2:$S$1001,MATCH(ROWS($I$2:I510),$I$2:$I$1001,0),MATCH(COLUMNS($P$1006:R1006),$P$1006:$S$1006,0)), HYPERLINK("#",""), HYPERLINK(CONCATENATE("#metadata!", ADDRESS(INDEX($K$2:$K$1001,MATCH(ROWS($I$2:I510),$I$2:$I$1001,0),0), INDEX($P$1004:$S$1004,1,MATCH(COLUMNS($P$1006:R1006),$P$1006:$S$1006,0)))),"Fix")))</f>
        <v>0</v>
      </c>
      <c r="E510" s="3">
        <f>IF(OR(INDEX($J$2:$J$1001,MATCH(ROWS($I$2:I510),$I$2:$I$1001,0),1)&gt;=100000,INDEX($P$1005:$S$1005,1,MATCH(COLUMNS($P$1006:S1006),$P$1006:$S$1006,0))&gt;=100000), " ",IF(INDEX($P$2:$S$1001,MATCH(ROWS($I$2:I510),$I$2:$I$1001,0),MATCH(COLUMNS($P$1006:S1006),$P$1006:$S$1006,0)), HYPERLINK("#",""), HYPERLINK(CONCATENATE("#metadata!", ADDRESS(INDEX($K$2:$K$1001,MATCH(ROWS($I$2:I510),$I$2:$I$1001,0),0), INDEX($P$1004:$S$1004,1,MATCH(COLUMNS($P$1006:S1006),$P$1006:$S$1006,0)))),"Fix")))</f>
        <v>0</v>
      </c>
      <c r="I510">
        <v>0</v>
      </c>
      <c r="J510">
        <v>0</v>
      </c>
      <c r="K510">
        <v>0</v>
      </c>
      <c r="L510">
        <f>IF(M510,TRUE,AND(P510:S510))</f>
        <v>0</v>
      </c>
      <c r="M510">
        <f>COUNTBLANK(metadata!B510:E510)=COLUMNS(metadata!B510:E510)</f>
        <v>0</v>
      </c>
      <c r="N510">
        <v>0</v>
      </c>
      <c r="P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Q510">
        <f>AND(IF(metadata!C510="",FALSE,TRUE),exact(metadata!C510,"other"))</f>
        <v>0</v>
      </c>
      <c r="R510">
        <f>AND(IF(metadata!D510="",FALSE,TRUE),exact(metadata!D510,"metagenome"))</f>
        <v>0</v>
      </c>
      <c r="S510">
        <f>AND(IF(metadata!E510="",FALSE,TRUE),exact(metadata!E510,"256318"))</f>
        <v>0</v>
      </c>
    </row>
    <row r="511" spans="1:19">
      <c r="A511" s="4">
        <f>IF(B511=" "," ",HYPERLINK(CONCATENATE("#metadata!",ADDRESS(INDEX($K$2:$K$1001,MATCH(ROWS($I$2:I511),$I$2:$I$1001,0),0),1)),INDEX($N$2:$N$1001,MATCH(ROWS($I$2:I511),$I$2:$I$1001,0),0)))</f>
        <v>0</v>
      </c>
      <c r="B511" s="3">
        <f>IF(OR(INDEX($J$2:$J$1001,MATCH(ROWS($I$2:I511),$I$2:$I$1001,0),1)&gt;=100000,INDEX($P$1005:$S$1005,1,MATCH(COLUMNS($P$1006:P1006),$P$1006:$S$1006,0))&gt;=100000), " ",IF(INDEX($P$2:$S$1001,MATCH(ROWS($I$2:I511),$I$2:$I$1001,0),MATCH(COLUMNS($P$1006:P1006),$P$1006:$S$1006,0)), HYPERLINK("#",""), HYPERLINK(CONCATENATE("#metadata!", ADDRESS(INDEX($K$2:$K$1001,MATCH(ROWS($I$2:I511),$I$2:$I$1001,0),0), INDEX($P$1004:$S$1004,1,MATCH(COLUMNS($P$1006:P1006),$P$1006:$S$1006,0)))),"Fix")))</f>
        <v>0</v>
      </c>
      <c r="C511" s="3">
        <f>IF(OR(INDEX($J$2:$J$1001,MATCH(ROWS($I$2:I511),$I$2:$I$1001,0),1)&gt;=100000,INDEX($P$1005:$S$1005,1,MATCH(COLUMNS($P$1006:Q1006),$P$1006:$S$1006,0))&gt;=100000), " ",IF(INDEX($P$2:$S$1001,MATCH(ROWS($I$2:I511),$I$2:$I$1001,0),MATCH(COLUMNS($P$1006:Q1006),$P$1006:$S$1006,0)), HYPERLINK("#",""), HYPERLINK(CONCATENATE("#metadata!", ADDRESS(INDEX($K$2:$K$1001,MATCH(ROWS($I$2:I511),$I$2:$I$1001,0),0), INDEX($P$1004:$S$1004,1,MATCH(COLUMNS($P$1006:Q1006),$P$1006:$S$1006,0)))),"Fix")))</f>
        <v>0</v>
      </c>
      <c r="D511" s="3">
        <f>IF(OR(INDEX($J$2:$J$1001,MATCH(ROWS($I$2:I511),$I$2:$I$1001,0),1)&gt;=100000,INDEX($P$1005:$S$1005,1,MATCH(COLUMNS($P$1006:R1006),$P$1006:$S$1006,0))&gt;=100000), " ",IF(INDEX($P$2:$S$1001,MATCH(ROWS($I$2:I511),$I$2:$I$1001,0),MATCH(COLUMNS($P$1006:R1006),$P$1006:$S$1006,0)), HYPERLINK("#",""), HYPERLINK(CONCATENATE("#metadata!", ADDRESS(INDEX($K$2:$K$1001,MATCH(ROWS($I$2:I511),$I$2:$I$1001,0),0), INDEX($P$1004:$S$1004,1,MATCH(COLUMNS($P$1006:R1006),$P$1006:$S$1006,0)))),"Fix")))</f>
        <v>0</v>
      </c>
      <c r="E511" s="3">
        <f>IF(OR(INDEX($J$2:$J$1001,MATCH(ROWS($I$2:I511),$I$2:$I$1001,0),1)&gt;=100000,INDEX($P$1005:$S$1005,1,MATCH(COLUMNS($P$1006:S1006),$P$1006:$S$1006,0))&gt;=100000), " ",IF(INDEX($P$2:$S$1001,MATCH(ROWS($I$2:I511),$I$2:$I$1001,0),MATCH(COLUMNS($P$1006:S1006),$P$1006:$S$1006,0)), HYPERLINK("#",""), HYPERLINK(CONCATENATE("#metadata!", ADDRESS(INDEX($K$2:$K$1001,MATCH(ROWS($I$2:I511),$I$2:$I$1001,0),0), INDEX($P$1004:$S$1004,1,MATCH(COLUMNS($P$1006:S1006),$P$1006:$S$1006,0)))),"Fix")))</f>
        <v>0</v>
      </c>
      <c r="I511">
        <v>0</v>
      </c>
      <c r="J511">
        <v>0</v>
      </c>
      <c r="K511">
        <v>0</v>
      </c>
      <c r="L511">
        <f>IF(M511,TRUE,AND(P511:S511))</f>
        <v>0</v>
      </c>
      <c r="M511">
        <f>COUNTBLANK(metadata!B511:E511)=COLUMNS(metadata!B511:E511)</f>
        <v>0</v>
      </c>
      <c r="N511">
        <v>0</v>
      </c>
      <c r="P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Q511">
        <f>AND(IF(metadata!C511="",FALSE,TRUE),exact(metadata!C511,"other"))</f>
        <v>0</v>
      </c>
      <c r="R511">
        <f>AND(IF(metadata!D511="",FALSE,TRUE),exact(metadata!D511,"metagenome"))</f>
        <v>0</v>
      </c>
      <c r="S511">
        <f>AND(IF(metadata!E511="",FALSE,TRUE),exact(metadata!E511,"256318"))</f>
        <v>0</v>
      </c>
    </row>
    <row r="512" spans="1:19">
      <c r="A512" s="4">
        <f>IF(B512=" "," ",HYPERLINK(CONCATENATE("#metadata!",ADDRESS(INDEX($K$2:$K$1001,MATCH(ROWS($I$2:I512),$I$2:$I$1001,0),0),1)),INDEX($N$2:$N$1001,MATCH(ROWS($I$2:I512),$I$2:$I$1001,0),0)))</f>
        <v>0</v>
      </c>
      <c r="B512" s="3">
        <f>IF(OR(INDEX($J$2:$J$1001,MATCH(ROWS($I$2:I512),$I$2:$I$1001,0),1)&gt;=100000,INDEX($P$1005:$S$1005,1,MATCH(COLUMNS($P$1006:P1006),$P$1006:$S$1006,0))&gt;=100000), " ",IF(INDEX($P$2:$S$1001,MATCH(ROWS($I$2:I512),$I$2:$I$1001,0),MATCH(COLUMNS($P$1006:P1006),$P$1006:$S$1006,0)), HYPERLINK("#",""), HYPERLINK(CONCATENATE("#metadata!", ADDRESS(INDEX($K$2:$K$1001,MATCH(ROWS($I$2:I512),$I$2:$I$1001,0),0), INDEX($P$1004:$S$1004,1,MATCH(COLUMNS($P$1006:P1006),$P$1006:$S$1006,0)))),"Fix")))</f>
        <v>0</v>
      </c>
      <c r="C512" s="3">
        <f>IF(OR(INDEX($J$2:$J$1001,MATCH(ROWS($I$2:I512),$I$2:$I$1001,0),1)&gt;=100000,INDEX($P$1005:$S$1005,1,MATCH(COLUMNS($P$1006:Q1006),$P$1006:$S$1006,0))&gt;=100000), " ",IF(INDEX($P$2:$S$1001,MATCH(ROWS($I$2:I512),$I$2:$I$1001,0),MATCH(COLUMNS($P$1006:Q1006),$P$1006:$S$1006,0)), HYPERLINK("#",""), HYPERLINK(CONCATENATE("#metadata!", ADDRESS(INDEX($K$2:$K$1001,MATCH(ROWS($I$2:I512),$I$2:$I$1001,0),0), INDEX($P$1004:$S$1004,1,MATCH(COLUMNS($P$1006:Q1006),$P$1006:$S$1006,0)))),"Fix")))</f>
        <v>0</v>
      </c>
      <c r="D512" s="3">
        <f>IF(OR(INDEX($J$2:$J$1001,MATCH(ROWS($I$2:I512),$I$2:$I$1001,0),1)&gt;=100000,INDEX($P$1005:$S$1005,1,MATCH(COLUMNS($P$1006:R1006),$P$1006:$S$1006,0))&gt;=100000), " ",IF(INDEX($P$2:$S$1001,MATCH(ROWS($I$2:I512),$I$2:$I$1001,0),MATCH(COLUMNS($P$1006:R1006),$P$1006:$S$1006,0)), HYPERLINK("#",""), HYPERLINK(CONCATENATE("#metadata!", ADDRESS(INDEX($K$2:$K$1001,MATCH(ROWS($I$2:I512),$I$2:$I$1001,0),0), INDEX($P$1004:$S$1004,1,MATCH(COLUMNS($P$1006:R1006),$P$1006:$S$1006,0)))),"Fix")))</f>
        <v>0</v>
      </c>
      <c r="E512" s="3">
        <f>IF(OR(INDEX($J$2:$J$1001,MATCH(ROWS($I$2:I512),$I$2:$I$1001,0),1)&gt;=100000,INDEX($P$1005:$S$1005,1,MATCH(COLUMNS($P$1006:S1006),$P$1006:$S$1006,0))&gt;=100000), " ",IF(INDEX($P$2:$S$1001,MATCH(ROWS($I$2:I512),$I$2:$I$1001,0),MATCH(COLUMNS($P$1006:S1006),$P$1006:$S$1006,0)), HYPERLINK("#",""), HYPERLINK(CONCATENATE("#metadata!", ADDRESS(INDEX($K$2:$K$1001,MATCH(ROWS($I$2:I512),$I$2:$I$1001,0),0), INDEX($P$1004:$S$1004,1,MATCH(COLUMNS($P$1006:S1006),$P$1006:$S$1006,0)))),"Fix")))</f>
        <v>0</v>
      </c>
      <c r="I512">
        <v>0</v>
      </c>
      <c r="J512">
        <v>0</v>
      </c>
      <c r="K512">
        <v>0</v>
      </c>
      <c r="L512">
        <f>IF(M512,TRUE,AND(P512:S512))</f>
        <v>0</v>
      </c>
      <c r="M512">
        <f>COUNTBLANK(metadata!B512:E512)=COLUMNS(metadata!B512:E512)</f>
        <v>0</v>
      </c>
      <c r="N512">
        <v>0</v>
      </c>
      <c r="P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Q512">
        <f>AND(IF(metadata!C512="",FALSE,TRUE),exact(metadata!C512,"other"))</f>
        <v>0</v>
      </c>
      <c r="R512">
        <f>AND(IF(metadata!D512="",FALSE,TRUE),exact(metadata!D512,"metagenome"))</f>
        <v>0</v>
      </c>
      <c r="S512">
        <f>AND(IF(metadata!E512="",FALSE,TRUE),exact(metadata!E512,"256318"))</f>
        <v>0</v>
      </c>
    </row>
    <row r="513" spans="1:19">
      <c r="A513" s="4">
        <f>IF(B513=" "," ",HYPERLINK(CONCATENATE("#metadata!",ADDRESS(INDEX($K$2:$K$1001,MATCH(ROWS($I$2:I513),$I$2:$I$1001,0),0),1)),INDEX($N$2:$N$1001,MATCH(ROWS($I$2:I513),$I$2:$I$1001,0),0)))</f>
        <v>0</v>
      </c>
      <c r="B513" s="3">
        <f>IF(OR(INDEX($J$2:$J$1001,MATCH(ROWS($I$2:I513),$I$2:$I$1001,0),1)&gt;=100000,INDEX($P$1005:$S$1005,1,MATCH(COLUMNS($P$1006:P1006),$P$1006:$S$1006,0))&gt;=100000), " ",IF(INDEX($P$2:$S$1001,MATCH(ROWS($I$2:I513),$I$2:$I$1001,0),MATCH(COLUMNS($P$1006:P1006),$P$1006:$S$1006,0)), HYPERLINK("#",""), HYPERLINK(CONCATENATE("#metadata!", ADDRESS(INDEX($K$2:$K$1001,MATCH(ROWS($I$2:I513),$I$2:$I$1001,0),0), INDEX($P$1004:$S$1004,1,MATCH(COLUMNS($P$1006:P1006),$P$1006:$S$1006,0)))),"Fix")))</f>
        <v>0</v>
      </c>
      <c r="C513" s="3">
        <f>IF(OR(INDEX($J$2:$J$1001,MATCH(ROWS($I$2:I513),$I$2:$I$1001,0),1)&gt;=100000,INDEX($P$1005:$S$1005,1,MATCH(COLUMNS($P$1006:Q1006),$P$1006:$S$1006,0))&gt;=100000), " ",IF(INDEX($P$2:$S$1001,MATCH(ROWS($I$2:I513),$I$2:$I$1001,0),MATCH(COLUMNS($P$1006:Q1006),$P$1006:$S$1006,0)), HYPERLINK("#",""), HYPERLINK(CONCATENATE("#metadata!", ADDRESS(INDEX($K$2:$K$1001,MATCH(ROWS($I$2:I513),$I$2:$I$1001,0),0), INDEX($P$1004:$S$1004,1,MATCH(COLUMNS($P$1006:Q1006),$P$1006:$S$1006,0)))),"Fix")))</f>
        <v>0</v>
      </c>
      <c r="D513" s="3">
        <f>IF(OR(INDEX($J$2:$J$1001,MATCH(ROWS($I$2:I513),$I$2:$I$1001,0),1)&gt;=100000,INDEX($P$1005:$S$1005,1,MATCH(COLUMNS($P$1006:R1006),$P$1006:$S$1006,0))&gt;=100000), " ",IF(INDEX($P$2:$S$1001,MATCH(ROWS($I$2:I513),$I$2:$I$1001,0),MATCH(COLUMNS($P$1006:R1006),$P$1006:$S$1006,0)), HYPERLINK("#",""), HYPERLINK(CONCATENATE("#metadata!", ADDRESS(INDEX($K$2:$K$1001,MATCH(ROWS($I$2:I513),$I$2:$I$1001,0),0), INDEX($P$1004:$S$1004,1,MATCH(COLUMNS($P$1006:R1006),$P$1006:$S$1006,0)))),"Fix")))</f>
        <v>0</v>
      </c>
      <c r="E513" s="3">
        <f>IF(OR(INDEX($J$2:$J$1001,MATCH(ROWS($I$2:I513),$I$2:$I$1001,0),1)&gt;=100000,INDEX($P$1005:$S$1005,1,MATCH(COLUMNS($P$1006:S1006),$P$1006:$S$1006,0))&gt;=100000), " ",IF(INDEX($P$2:$S$1001,MATCH(ROWS($I$2:I513),$I$2:$I$1001,0),MATCH(COLUMNS($P$1006:S1006),$P$1006:$S$1006,0)), HYPERLINK("#",""), HYPERLINK(CONCATENATE("#metadata!", ADDRESS(INDEX($K$2:$K$1001,MATCH(ROWS($I$2:I513),$I$2:$I$1001,0),0), INDEX($P$1004:$S$1004,1,MATCH(COLUMNS($P$1006:S1006),$P$1006:$S$1006,0)))),"Fix")))</f>
        <v>0</v>
      </c>
      <c r="I513">
        <v>0</v>
      </c>
      <c r="J513">
        <v>0</v>
      </c>
      <c r="K513">
        <v>0</v>
      </c>
      <c r="L513">
        <f>IF(M513,TRUE,AND(P513:S513))</f>
        <v>0</v>
      </c>
      <c r="M513">
        <f>COUNTBLANK(metadata!B513:E513)=COLUMNS(metadata!B513:E513)</f>
        <v>0</v>
      </c>
      <c r="N513">
        <v>0</v>
      </c>
      <c r="P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Q513">
        <f>AND(IF(metadata!C513="",FALSE,TRUE),exact(metadata!C513,"other"))</f>
        <v>0</v>
      </c>
      <c r="R513">
        <f>AND(IF(metadata!D513="",FALSE,TRUE),exact(metadata!D513,"metagenome"))</f>
        <v>0</v>
      </c>
      <c r="S513">
        <f>AND(IF(metadata!E513="",FALSE,TRUE),exact(metadata!E513,"256318"))</f>
        <v>0</v>
      </c>
    </row>
    <row r="514" spans="1:19">
      <c r="A514" s="4">
        <f>IF(B514=" "," ",HYPERLINK(CONCATENATE("#metadata!",ADDRESS(INDEX($K$2:$K$1001,MATCH(ROWS($I$2:I514),$I$2:$I$1001,0),0),1)),INDEX($N$2:$N$1001,MATCH(ROWS($I$2:I514),$I$2:$I$1001,0),0)))</f>
        <v>0</v>
      </c>
      <c r="B514" s="3">
        <f>IF(OR(INDEX($J$2:$J$1001,MATCH(ROWS($I$2:I514),$I$2:$I$1001,0),1)&gt;=100000,INDEX($P$1005:$S$1005,1,MATCH(COLUMNS($P$1006:P1006),$P$1006:$S$1006,0))&gt;=100000), " ",IF(INDEX($P$2:$S$1001,MATCH(ROWS($I$2:I514),$I$2:$I$1001,0),MATCH(COLUMNS($P$1006:P1006),$P$1006:$S$1006,0)), HYPERLINK("#",""), HYPERLINK(CONCATENATE("#metadata!", ADDRESS(INDEX($K$2:$K$1001,MATCH(ROWS($I$2:I514),$I$2:$I$1001,0),0), INDEX($P$1004:$S$1004,1,MATCH(COLUMNS($P$1006:P1006),$P$1006:$S$1006,0)))),"Fix")))</f>
        <v>0</v>
      </c>
      <c r="C514" s="3">
        <f>IF(OR(INDEX($J$2:$J$1001,MATCH(ROWS($I$2:I514),$I$2:$I$1001,0),1)&gt;=100000,INDEX($P$1005:$S$1005,1,MATCH(COLUMNS($P$1006:Q1006),$P$1006:$S$1006,0))&gt;=100000), " ",IF(INDEX($P$2:$S$1001,MATCH(ROWS($I$2:I514),$I$2:$I$1001,0),MATCH(COLUMNS($P$1006:Q1006),$P$1006:$S$1006,0)), HYPERLINK("#",""), HYPERLINK(CONCATENATE("#metadata!", ADDRESS(INDEX($K$2:$K$1001,MATCH(ROWS($I$2:I514),$I$2:$I$1001,0),0), INDEX($P$1004:$S$1004,1,MATCH(COLUMNS($P$1006:Q1006),$P$1006:$S$1006,0)))),"Fix")))</f>
        <v>0</v>
      </c>
      <c r="D514" s="3">
        <f>IF(OR(INDEX($J$2:$J$1001,MATCH(ROWS($I$2:I514),$I$2:$I$1001,0),1)&gt;=100000,INDEX($P$1005:$S$1005,1,MATCH(COLUMNS($P$1006:R1006),$P$1006:$S$1006,0))&gt;=100000), " ",IF(INDEX($P$2:$S$1001,MATCH(ROWS($I$2:I514),$I$2:$I$1001,0),MATCH(COLUMNS($P$1006:R1006),$P$1006:$S$1006,0)), HYPERLINK("#",""), HYPERLINK(CONCATENATE("#metadata!", ADDRESS(INDEX($K$2:$K$1001,MATCH(ROWS($I$2:I514),$I$2:$I$1001,0),0), INDEX($P$1004:$S$1004,1,MATCH(COLUMNS($P$1006:R1006),$P$1006:$S$1006,0)))),"Fix")))</f>
        <v>0</v>
      </c>
      <c r="E514" s="3">
        <f>IF(OR(INDEX($J$2:$J$1001,MATCH(ROWS($I$2:I514),$I$2:$I$1001,0),1)&gt;=100000,INDEX($P$1005:$S$1005,1,MATCH(COLUMNS($P$1006:S1006),$P$1006:$S$1006,0))&gt;=100000), " ",IF(INDEX($P$2:$S$1001,MATCH(ROWS($I$2:I514),$I$2:$I$1001,0),MATCH(COLUMNS($P$1006:S1006),$P$1006:$S$1006,0)), HYPERLINK("#",""), HYPERLINK(CONCATENATE("#metadata!", ADDRESS(INDEX($K$2:$K$1001,MATCH(ROWS($I$2:I514),$I$2:$I$1001,0),0), INDEX($P$1004:$S$1004,1,MATCH(COLUMNS($P$1006:S1006),$P$1006:$S$1006,0)))),"Fix")))</f>
        <v>0</v>
      </c>
      <c r="I514">
        <v>0</v>
      </c>
      <c r="J514">
        <v>0</v>
      </c>
      <c r="K514">
        <v>0</v>
      </c>
      <c r="L514">
        <f>IF(M514,TRUE,AND(P514:S514))</f>
        <v>0</v>
      </c>
      <c r="M514">
        <f>COUNTBLANK(metadata!B514:E514)=COLUMNS(metadata!B514:E514)</f>
        <v>0</v>
      </c>
      <c r="N514">
        <v>0</v>
      </c>
      <c r="P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Q514">
        <f>AND(IF(metadata!C514="",FALSE,TRUE),exact(metadata!C514,"other"))</f>
        <v>0</v>
      </c>
      <c r="R514">
        <f>AND(IF(metadata!D514="",FALSE,TRUE),exact(metadata!D514,"metagenome"))</f>
        <v>0</v>
      </c>
      <c r="S514">
        <f>AND(IF(metadata!E514="",FALSE,TRUE),exact(metadata!E514,"256318"))</f>
        <v>0</v>
      </c>
    </row>
    <row r="515" spans="1:19">
      <c r="A515" s="4">
        <f>IF(B515=" "," ",HYPERLINK(CONCATENATE("#metadata!",ADDRESS(INDEX($K$2:$K$1001,MATCH(ROWS($I$2:I515),$I$2:$I$1001,0),0),1)),INDEX($N$2:$N$1001,MATCH(ROWS($I$2:I515),$I$2:$I$1001,0),0)))</f>
        <v>0</v>
      </c>
      <c r="B515" s="3">
        <f>IF(OR(INDEX($J$2:$J$1001,MATCH(ROWS($I$2:I515),$I$2:$I$1001,0),1)&gt;=100000,INDEX($P$1005:$S$1005,1,MATCH(COLUMNS($P$1006:P1006),$P$1006:$S$1006,0))&gt;=100000), " ",IF(INDEX($P$2:$S$1001,MATCH(ROWS($I$2:I515),$I$2:$I$1001,0),MATCH(COLUMNS($P$1006:P1006),$P$1006:$S$1006,0)), HYPERLINK("#",""), HYPERLINK(CONCATENATE("#metadata!", ADDRESS(INDEX($K$2:$K$1001,MATCH(ROWS($I$2:I515),$I$2:$I$1001,0),0), INDEX($P$1004:$S$1004,1,MATCH(COLUMNS($P$1006:P1006),$P$1006:$S$1006,0)))),"Fix")))</f>
        <v>0</v>
      </c>
      <c r="C515" s="3">
        <f>IF(OR(INDEX($J$2:$J$1001,MATCH(ROWS($I$2:I515),$I$2:$I$1001,0),1)&gt;=100000,INDEX($P$1005:$S$1005,1,MATCH(COLUMNS($P$1006:Q1006),$P$1006:$S$1006,0))&gt;=100000), " ",IF(INDEX($P$2:$S$1001,MATCH(ROWS($I$2:I515),$I$2:$I$1001,0),MATCH(COLUMNS($P$1006:Q1006),$P$1006:$S$1006,0)), HYPERLINK("#",""), HYPERLINK(CONCATENATE("#metadata!", ADDRESS(INDEX($K$2:$K$1001,MATCH(ROWS($I$2:I515),$I$2:$I$1001,0),0), INDEX($P$1004:$S$1004,1,MATCH(COLUMNS($P$1006:Q1006),$P$1006:$S$1006,0)))),"Fix")))</f>
        <v>0</v>
      </c>
      <c r="D515" s="3">
        <f>IF(OR(INDEX($J$2:$J$1001,MATCH(ROWS($I$2:I515),$I$2:$I$1001,0),1)&gt;=100000,INDEX($P$1005:$S$1005,1,MATCH(COLUMNS($P$1006:R1006),$P$1006:$S$1006,0))&gt;=100000), " ",IF(INDEX($P$2:$S$1001,MATCH(ROWS($I$2:I515),$I$2:$I$1001,0),MATCH(COLUMNS($P$1006:R1006),$P$1006:$S$1006,0)), HYPERLINK("#",""), HYPERLINK(CONCATENATE("#metadata!", ADDRESS(INDEX($K$2:$K$1001,MATCH(ROWS($I$2:I515),$I$2:$I$1001,0),0), INDEX($P$1004:$S$1004,1,MATCH(COLUMNS($P$1006:R1006),$P$1006:$S$1006,0)))),"Fix")))</f>
        <v>0</v>
      </c>
      <c r="E515" s="3">
        <f>IF(OR(INDEX($J$2:$J$1001,MATCH(ROWS($I$2:I515),$I$2:$I$1001,0),1)&gt;=100000,INDEX($P$1005:$S$1005,1,MATCH(COLUMNS($P$1006:S1006),$P$1006:$S$1006,0))&gt;=100000), " ",IF(INDEX($P$2:$S$1001,MATCH(ROWS($I$2:I515),$I$2:$I$1001,0),MATCH(COLUMNS($P$1006:S1006),$P$1006:$S$1006,0)), HYPERLINK("#",""), HYPERLINK(CONCATENATE("#metadata!", ADDRESS(INDEX($K$2:$K$1001,MATCH(ROWS($I$2:I515),$I$2:$I$1001,0),0), INDEX($P$1004:$S$1004,1,MATCH(COLUMNS($P$1006:S1006),$P$1006:$S$1006,0)))),"Fix")))</f>
        <v>0</v>
      </c>
      <c r="I515">
        <v>0</v>
      </c>
      <c r="J515">
        <v>0</v>
      </c>
      <c r="K515">
        <v>0</v>
      </c>
      <c r="L515">
        <f>IF(M515,TRUE,AND(P515:S515))</f>
        <v>0</v>
      </c>
      <c r="M515">
        <f>COUNTBLANK(metadata!B515:E515)=COLUMNS(metadata!B515:E515)</f>
        <v>0</v>
      </c>
      <c r="N515">
        <v>0</v>
      </c>
      <c r="P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Q515">
        <f>AND(IF(metadata!C515="",FALSE,TRUE),exact(metadata!C515,"other"))</f>
        <v>0</v>
      </c>
      <c r="R515">
        <f>AND(IF(metadata!D515="",FALSE,TRUE),exact(metadata!D515,"metagenome"))</f>
        <v>0</v>
      </c>
      <c r="S515">
        <f>AND(IF(metadata!E515="",FALSE,TRUE),exact(metadata!E515,"256318"))</f>
        <v>0</v>
      </c>
    </row>
    <row r="516" spans="1:19">
      <c r="A516" s="4">
        <f>IF(B516=" "," ",HYPERLINK(CONCATENATE("#metadata!",ADDRESS(INDEX($K$2:$K$1001,MATCH(ROWS($I$2:I516),$I$2:$I$1001,0),0),1)),INDEX($N$2:$N$1001,MATCH(ROWS($I$2:I516),$I$2:$I$1001,0),0)))</f>
        <v>0</v>
      </c>
      <c r="B516" s="3">
        <f>IF(OR(INDEX($J$2:$J$1001,MATCH(ROWS($I$2:I516),$I$2:$I$1001,0),1)&gt;=100000,INDEX($P$1005:$S$1005,1,MATCH(COLUMNS($P$1006:P1006),$P$1006:$S$1006,0))&gt;=100000), " ",IF(INDEX($P$2:$S$1001,MATCH(ROWS($I$2:I516),$I$2:$I$1001,0),MATCH(COLUMNS($P$1006:P1006),$P$1006:$S$1006,0)), HYPERLINK("#",""), HYPERLINK(CONCATENATE("#metadata!", ADDRESS(INDEX($K$2:$K$1001,MATCH(ROWS($I$2:I516),$I$2:$I$1001,0),0), INDEX($P$1004:$S$1004,1,MATCH(COLUMNS($P$1006:P1006),$P$1006:$S$1006,0)))),"Fix")))</f>
        <v>0</v>
      </c>
      <c r="C516" s="3">
        <f>IF(OR(INDEX($J$2:$J$1001,MATCH(ROWS($I$2:I516),$I$2:$I$1001,0),1)&gt;=100000,INDEX($P$1005:$S$1005,1,MATCH(COLUMNS($P$1006:Q1006),$P$1006:$S$1006,0))&gt;=100000), " ",IF(INDEX($P$2:$S$1001,MATCH(ROWS($I$2:I516),$I$2:$I$1001,0),MATCH(COLUMNS($P$1006:Q1006),$P$1006:$S$1006,0)), HYPERLINK("#",""), HYPERLINK(CONCATENATE("#metadata!", ADDRESS(INDEX($K$2:$K$1001,MATCH(ROWS($I$2:I516),$I$2:$I$1001,0),0), INDEX($P$1004:$S$1004,1,MATCH(COLUMNS($P$1006:Q1006),$P$1006:$S$1006,0)))),"Fix")))</f>
        <v>0</v>
      </c>
      <c r="D516" s="3">
        <f>IF(OR(INDEX($J$2:$J$1001,MATCH(ROWS($I$2:I516),$I$2:$I$1001,0),1)&gt;=100000,INDEX($P$1005:$S$1005,1,MATCH(COLUMNS($P$1006:R1006),$P$1006:$S$1006,0))&gt;=100000), " ",IF(INDEX($P$2:$S$1001,MATCH(ROWS($I$2:I516),$I$2:$I$1001,0),MATCH(COLUMNS($P$1006:R1006),$P$1006:$S$1006,0)), HYPERLINK("#",""), HYPERLINK(CONCATENATE("#metadata!", ADDRESS(INDEX($K$2:$K$1001,MATCH(ROWS($I$2:I516),$I$2:$I$1001,0),0), INDEX($P$1004:$S$1004,1,MATCH(COLUMNS($P$1006:R1006),$P$1006:$S$1006,0)))),"Fix")))</f>
        <v>0</v>
      </c>
      <c r="E516" s="3">
        <f>IF(OR(INDEX($J$2:$J$1001,MATCH(ROWS($I$2:I516),$I$2:$I$1001,0),1)&gt;=100000,INDEX($P$1005:$S$1005,1,MATCH(COLUMNS($P$1006:S1006),$P$1006:$S$1006,0))&gt;=100000), " ",IF(INDEX($P$2:$S$1001,MATCH(ROWS($I$2:I516),$I$2:$I$1001,0),MATCH(COLUMNS($P$1006:S1006),$P$1006:$S$1006,0)), HYPERLINK("#",""), HYPERLINK(CONCATENATE("#metadata!", ADDRESS(INDEX($K$2:$K$1001,MATCH(ROWS($I$2:I516),$I$2:$I$1001,0),0), INDEX($P$1004:$S$1004,1,MATCH(COLUMNS($P$1006:S1006),$P$1006:$S$1006,0)))),"Fix")))</f>
        <v>0</v>
      </c>
      <c r="I516">
        <v>0</v>
      </c>
      <c r="J516">
        <v>0</v>
      </c>
      <c r="K516">
        <v>0</v>
      </c>
      <c r="L516">
        <f>IF(M516,TRUE,AND(P516:S516))</f>
        <v>0</v>
      </c>
      <c r="M516">
        <f>COUNTBLANK(metadata!B516:E516)=COLUMNS(metadata!B516:E516)</f>
        <v>0</v>
      </c>
      <c r="N516">
        <v>0</v>
      </c>
      <c r="P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Q516">
        <f>AND(IF(metadata!C516="",FALSE,TRUE),exact(metadata!C516,"other"))</f>
        <v>0</v>
      </c>
      <c r="R516">
        <f>AND(IF(metadata!D516="",FALSE,TRUE),exact(metadata!D516,"metagenome"))</f>
        <v>0</v>
      </c>
      <c r="S516">
        <f>AND(IF(metadata!E516="",FALSE,TRUE),exact(metadata!E516,"256318"))</f>
        <v>0</v>
      </c>
    </row>
    <row r="517" spans="1:19">
      <c r="A517" s="4">
        <f>IF(B517=" "," ",HYPERLINK(CONCATENATE("#metadata!",ADDRESS(INDEX($K$2:$K$1001,MATCH(ROWS($I$2:I517),$I$2:$I$1001,0),0),1)),INDEX($N$2:$N$1001,MATCH(ROWS($I$2:I517),$I$2:$I$1001,0),0)))</f>
        <v>0</v>
      </c>
      <c r="B517" s="3">
        <f>IF(OR(INDEX($J$2:$J$1001,MATCH(ROWS($I$2:I517),$I$2:$I$1001,0),1)&gt;=100000,INDEX($P$1005:$S$1005,1,MATCH(COLUMNS($P$1006:P1006),$P$1006:$S$1006,0))&gt;=100000), " ",IF(INDEX($P$2:$S$1001,MATCH(ROWS($I$2:I517),$I$2:$I$1001,0),MATCH(COLUMNS($P$1006:P1006),$P$1006:$S$1006,0)), HYPERLINK("#",""), HYPERLINK(CONCATENATE("#metadata!", ADDRESS(INDEX($K$2:$K$1001,MATCH(ROWS($I$2:I517),$I$2:$I$1001,0),0), INDEX($P$1004:$S$1004,1,MATCH(COLUMNS($P$1006:P1006),$P$1006:$S$1006,0)))),"Fix")))</f>
        <v>0</v>
      </c>
      <c r="C517" s="3">
        <f>IF(OR(INDEX($J$2:$J$1001,MATCH(ROWS($I$2:I517),$I$2:$I$1001,0),1)&gt;=100000,INDEX($P$1005:$S$1005,1,MATCH(COLUMNS($P$1006:Q1006),$P$1006:$S$1006,0))&gt;=100000), " ",IF(INDEX($P$2:$S$1001,MATCH(ROWS($I$2:I517),$I$2:$I$1001,0),MATCH(COLUMNS($P$1006:Q1006),$P$1006:$S$1006,0)), HYPERLINK("#",""), HYPERLINK(CONCATENATE("#metadata!", ADDRESS(INDEX($K$2:$K$1001,MATCH(ROWS($I$2:I517),$I$2:$I$1001,0),0), INDEX($P$1004:$S$1004,1,MATCH(COLUMNS($P$1006:Q1006),$P$1006:$S$1006,0)))),"Fix")))</f>
        <v>0</v>
      </c>
      <c r="D517" s="3">
        <f>IF(OR(INDEX($J$2:$J$1001,MATCH(ROWS($I$2:I517),$I$2:$I$1001,0),1)&gt;=100000,INDEX($P$1005:$S$1005,1,MATCH(COLUMNS($P$1006:R1006),$P$1006:$S$1006,0))&gt;=100000), " ",IF(INDEX($P$2:$S$1001,MATCH(ROWS($I$2:I517),$I$2:$I$1001,0),MATCH(COLUMNS($P$1006:R1006),$P$1006:$S$1006,0)), HYPERLINK("#",""), HYPERLINK(CONCATENATE("#metadata!", ADDRESS(INDEX($K$2:$K$1001,MATCH(ROWS($I$2:I517),$I$2:$I$1001,0),0), INDEX($P$1004:$S$1004,1,MATCH(COLUMNS($P$1006:R1006),$P$1006:$S$1006,0)))),"Fix")))</f>
        <v>0</v>
      </c>
      <c r="E517" s="3">
        <f>IF(OR(INDEX($J$2:$J$1001,MATCH(ROWS($I$2:I517),$I$2:$I$1001,0),1)&gt;=100000,INDEX($P$1005:$S$1005,1,MATCH(COLUMNS($P$1006:S1006),$P$1006:$S$1006,0))&gt;=100000), " ",IF(INDEX($P$2:$S$1001,MATCH(ROWS($I$2:I517),$I$2:$I$1001,0),MATCH(COLUMNS($P$1006:S1006),$P$1006:$S$1006,0)), HYPERLINK("#",""), HYPERLINK(CONCATENATE("#metadata!", ADDRESS(INDEX($K$2:$K$1001,MATCH(ROWS($I$2:I517),$I$2:$I$1001,0),0), INDEX($P$1004:$S$1004,1,MATCH(COLUMNS($P$1006:S1006),$P$1006:$S$1006,0)))),"Fix")))</f>
        <v>0</v>
      </c>
      <c r="I517">
        <v>0</v>
      </c>
      <c r="J517">
        <v>0</v>
      </c>
      <c r="K517">
        <v>0</v>
      </c>
      <c r="L517">
        <f>IF(M517,TRUE,AND(P517:S517))</f>
        <v>0</v>
      </c>
      <c r="M517">
        <f>COUNTBLANK(metadata!B517:E517)=COLUMNS(metadata!B517:E517)</f>
        <v>0</v>
      </c>
      <c r="N517">
        <v>0</v>
      </c>
      <c r="P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Q517">
        <f>AND(IF(metadata!C517="",FALSE,TRUE),exact(metadata!C517,"other"))</f>
        <v>0</v>
      </c>
      <c r="R517">
        <f>AND(IF(metadata!D517="",FALSE,TRUE),exact(metadata!D517,"metagenome"))</f>
        <v>0</v>
      </c>
      <c r="S517">
        <f>AND(IF(metadata!E517="",FALSE,TRUE),exact(metadata!E517,"256318"))</f>
        <v>0</v>
      </c>
    </row>
    <row r="518" spans="1:19">
      <c r="A518" s="4">
        <f>IF(B518=" "," ",HYPERLINK(CONCATENATE("#metadata!",ADDRESS(INDEX($K$2:$K$1001,MATCH(ROWS($I$2:I518),$I$2:$I$1001,0),0),1)),INDEX($N$2:$N$1001,MATCH(ROWS($I$2:I518),$I$2:$I$1001,0),0)))</f>
        <v>0</v>
      </c>
      <c r="B518" s="3">
        <f>IF(OR(INDEX($J$2:$J$1001,MATCH(ROWS($I$2:I518),$I$2:$I$1001,0),1)&gt;=100000,INDEX($P$1005:$S$1005,1,MATCH(COLUMNS($P$1006:P1006),$P$1006:$S$1006,0))&gt;=100000), " ",IF(INDEX($P$2:$S$1001,MATCH(ROWS($I$2:I518),$I$2:$I$1001,0),MATCH(COLUMNS($P$1006:P1006),$P$1006:$S$1006,0)), HYPERLINK("#",""), HYPERLINK(CONCATENATE("#metadata!", ADDRESS(INDEX($K$2:$K$1001,MATCH(ROWS($I$2:I518),$I$2:$I$1001,0),0), INDEX($P$1004:$S$1004,1,MATCH(COLUMNS($P$1006:P1006),$P$1006:$S$1006,0)))),"Fix")))</f>
        <v>0</v>
      </c>
      <c r="C518" s="3">
        <f>IF(OR(INDEX($J$2:$J$1001,MATCH(ROWS($I$2:I518),$I$2:$I$1001,0),1)&gt;=100000,INDEX($P$1005:$S$1005,1,MATCH(COLUMNS($P$1006:Q1006),$P$1006:$S$1006,0))&gt;=100000), " ",IF(INDEX($P$2:$S$1001,MATCH(ROWS($I$2:I518),$I$2:$I$1001,0),MATCH(COLUMNS($P$1006:Q1006),$P$1006:$S$1006,0)), HYPERLINK("#",""), HYPERLINK(CONCATENATE("#metadata!", ADDRESS(INDEX($K$2:$K$1001,MATCH(ROWS($I$2:I518),$I$2:$I$1001,0),0), INDEX($P$1004:$S$1004,1,MATCH(COLUMNS($P$1006:Q1006),$P$1006:$S$1006,0)))),"Fix")))</f>
        <v>0</v>
      </c>
      <c r="D518" s="3">
        <f>IF(OR(INDEX($J$2:$J$1001,MATCH(ROWS($I$2:I518),$I$2:$I$1001,0),1)&gt;=100000,INDEX($P$1005:$S$1005,1,MATCH(COLUMNS($P$1006:R1006),$P$1006:$S$1006,0))&gt;=100000), " ",IF(INDEX($P$2:$S$1001,MATCH(ROWS($I$2:I518),$I$2:$I$1001,0),MATCH(COLUMNS($P$1006:R1006),$P$1006:$S$1006,0)), HYPERLINK("#",""), HYPERLINK(CONCATENATE("#metadata!", ADDRESS(INDEX($K$2:$K$1001,MATCH(ROWS($I$2:I518),$I$2:$I$1001,0),0), INDEX($P$1004:$S$1004,1,MATCH(COLUMNS($P$1006:R1006),$P$1006:$S$1006,0)))),"Fix")))</f>
        <v>0</v>
      </c>
      <c r="E518" s="3">
        <f>IF(OR(INDEX($J$2:$J$1001,MATCH(ROWS($I$2:I518),$I$2:$I$1001,0),1)&gt;=100000,INDEX($P$1005:$S$1005,1,MATCH(COLUMNS($P$1006:S1006),$P$1006:$S$1006,0))&gt;=100000), " ",IF(INDEX($P$2:$S$1001,MATCH(ROWS($I$2:I518),$I$2:$I$1001,0),MATCH(COLUMNS($P$1006:S1006),$P$1006:$S$1006,0)), HYPERLINK("#",""), HYPERLINK(CONCATENATE("#metadata!", ADDRESS(INDEX($K$2:$K$1001,MATCH(ROWS($I$2:I518),$I$2:$I$1001,0),0), INDEX($P$1004:$S$1004,1,MATCH(COLUMNS($P$1006:S1006),$P$1006:$S$1006,0)))),"Fix")))</f>
        <v>0</v>
      </c>
      <c r="I518">
        <v>0</v>
      </c>
      <c r="J518">
        <v>0</v>
      </c>
      <c r="K518">
        <v>0</v>
      </c>
      <c r="L518">
        <f>IF(M518,TRUE,AND(P518:S518))</f>
        <v>0</v>
      </c>
      <c r="M518">
        <f>COUNTBLANK(metadata!B518:E518)=COLUMNS(metadata!B518:E518)</f>
        <v>0</v>
      </c>
      <c r="N518">
        <v>0</v>
      </c>
      <c r="P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Q518">
        <f>AND(IF(metadata!C518="",FALSE,TRUE),exact(metadata!C518,"other"))</f>
        <v>0</v>
      </c>
      <c r="R518">
        <f>AND(IF(metadata!D518="",FALSE,TRUE),exact(metadata!D518,"metagenome"))</f>
        <v>0</v>
      </c>
      <c r="S518">
        <f>AND(IF(metadata!E518="",FALSE,TRUE),exact(metadata!E518,"256318"))</f>
        <v>0</v>
      </c>
    </row>
    <row r="519" spans="1:19">
      <c r="A519" s="4">
        <f>IF(B519=" "," ",HYPERLINK(CONCATENATE("#metadata!",ADDRESS(INDEX($K$2:$K$1001,MATCH(ROWS($I$2:I519),$I$2:$I$1001,0),0),1)),INDEX($N$2:$N$1001,MATCH(ROWS($I$2:I519),$I$2:$I$1001,0),0)))</f>
        <v>0</v>
      </c>
      <c r="B519" s="3">
        <f>IF(OR(INDEX($J$2:$J$1001,MATCH(ROWS($I$2:I519),$I$2:$I$1001,0),1)&gt;=100000,INDEX($P$1005:$S$1005,1,MATCH(COLUMNS($P$1006:P1006),$P$1006:$S$1006,0))&gt;=100000), " ",IF(INDEX($P$2:$S$1001,MATCH(ROWS($I$2:I519),$I$2:$I$1001,0),MATCH(COLUMNS($P$1006:P1006),$P$1006:$S$1006,0)), HYPERLINK("#",""), HYPERLINK(CONCATENATE("#metadata!", ADDRESS(INDEX($K$2:$K$1001,MATCH(ROWS($I$2:I519),$I$2:$I$1001,0),0), INDEX($P$1004:$S$1004,1,MATCH(COLUMNS($P$1006:P1006),$P$1006:$S$1006,0)))),"Fix")))</f>
        <v>0</v>
      </c>
      <c r="C519" s="3">
        <f>IF(OR(INDEX($J$2:$J$1001,MATCH(ROWS($I$2:I519),$I$2:$I$1001,0),1)&gt;=100000,INDEX($P$1005:$S$1005,1,MATCH(COLUMNS($P$1006:Q1006),$P$1006:$S$1006,0))&gt;=100000), " ",IF(INDEX($P$2:$S$1001,MATCH(ROWS($I$2:I519),$I$2:$I$1001,0),MATCH(COLUMNS($P$1006:Q1006),$P$1006:$S$1006,0)), HYPERLINK("#",""), HYPERLINK(CONCATENATE("#metadata!", ADDRESS(INDEX($K$2:$K$1001,MATCH(ROWS($I$2:I519),$I$2:$I$1001,0),0), INDEX($P$1004:$S$1004,1,MATCH(COLUMNS($P$1006:Q1006),$P$1006:$S$1006,0)))),"Fix")))</f>
        <v>0</v>
      </c>
      <c r="D519" s="3">
        <f>IF(OR(INDEX($J$2:$J$1001,MATCH(ROWS($I$2:I519),$I$2:$I$1001,0),1)&gt;=100000,INDEX($P$1005:$S$1005,1,MATCH(COLUMNS($P$1006:R1006),$P$1006:$S$1006,0))&gt;=100000), " ",IF(INDEX($P$2:$S$1001,MATCH(ROWS($I$2:I519),$I$2:$I$1001,0),MATCH(COLUMNS($P$1006:R1006),$P$1006:$S$1006,0)), HYPERLINK("#",""), HYPERLINK(CONCATENATE("#metadata!", ADDRESS(INDEX($K$2:$K$1001,MATCH(ROWS($I$2:I519),$I$2:$I$1001,0),0), INDEX($P$1004:$S$1004,1,MATCH(COLUMNS($P$1006:R1006),$P$1006:$S$1006,0)))),"Fix")))</f>
        <v>0</v>
      </c>
      <c r="E519" s="3">
        <f>IF(OR(INDEX($J$2:$J$1001,MATCH(ROWS($I$2:I519),$I$2:$I$1001,0),1)&gt;=100000,INDEX($P$1005:$S$1005,1,MATCH(COLUMNS($P$1006:S1006),$P$1006:$S$1006,0))&gt;=100000), " ",IF(INDEX($P$2:$S$1001,MATCH(ROWS($I$2:I519),$I$2:$I$1001,0),MATCH(COLUMNS($P$1006:S1006),$P$1006:$S$1006,0)), HYPERLINK("#",""), HYPERLINK(CONCATENATE("#metadata!", ADDRESS(INDEX($K$2:$K$1001,MATCH(ROWS($I$2:I519),$I$2:$I$1001,0),0), INDEX($P$1004:$S$1004,1,MATCH(COLUMNS($P$1006:S1006),$P$1006:$S$1006,0)))),"Fix")))</f>
        <v>0</v>
      </c>
      <c r="I519">
        <v>0</v>
      </c>
      <c r="J519">
        <v>0</v>
      </c>
      <c r="K519">
        <v>0</v>
      </c>
      <c r="L519">
        <f>IF(M519,TRUE,AND(P519:S519))</f>
        <v>0</v>
      </c>
      <c r="M519">
        <f>COUNTBLANK(metadata!B519:E519)=COLUMNS(metadata!B519:E519)</f>
        <v>0</v>
      </c>
      <c r="N519">
        <v>0</v>
      </c>
      <c r="P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Q519">
        <f>AND(IF(metadata!C519="",FALSE,TRUE),exact(metadata!C519,"other"))</f>
        <v>0</v>
      </c>
      <c r="R519">
        <f>AND(IF(metadata!D519="",FALSE,TRUE),exact(metadata!D519,"metagenome"))</f>
        <v>0</v>
      </c>
      <c r="S519">
        <f>AND(IF(metadata!E519="",FALSE,TRUE),exact(metadata!E519,"256318"))</f>
        <v>0</v>
      </c>
    </row>
    <row r="520" spans="1:19">
      <c r="A520" s="4">
        <f>IF(B520=" "," ",HYPERLINK(CONCATENATE("#metadata!",ADDRESS(INDEX($K$2:$K$1001,MATCH(ROWS($I$2:I520),$I$2:$I$1001,0),0),1)),INDEX($N$2:$N$1001,MATCH(ROWS($I$2:I520),$I$2:$I$1001,0),0)))</f>
        <v>0</v>
      </c>
      <c r="B520" s="3">
        <f>IF(OR(INDEX($J$2:$J$1001,MATCH(ROWS($I$2:I520),$I$2:$I$1001,0),1)&gt;=100000,INDEX($P$1005:$S$1005,1,MATCH(COLUMNS($P$1006:P1006),$P$1006:$S$1006,0))&gt;=100000), " ",IF(INDEX($P$2:$S$1001,MATCH(ROWS($I$2:I520),$I$2:$I$1001,0),MATCH(COLUMNS($P$1006:P1006),$P$1006:$S$1006,0)), HYPERLINK("#",""), HYPERLINK(CONCATENATE("#metadata!", ADDRESS(INDEX($K$2:$K$1001,MATCH(ROWS($I$2:I520),$I$2:$I$1001,0),0), INDEX($P$1004:$S$1004,1,MATCH(COLUMNS($P$1006:P1006),$P$1006:$S$1006,0)))),"Fix")))</f>
        <v>0</v>
      </c>
      <c r="C520" s="3">
        <f>IF(OR(INDEX($J$2:$J$1001,MATCH(ROWS($I$2:I520),$I$2:$I$1001,0),1)&gt;=100000,INDEX($P$1005:$S$1005,1,MATCH(COLUMNS($P$1006:Q1006),$P$1006:$S$1006,0))&gt;=100000), " ",IF(INDEX($P$2:$S$1001,MATCH(ROWS($I$2:I520),$I$2:$I$1001,0),MATCH(COLUMNS($P$1006:Q1006),$P$1006:$S$1006,0)), HYPERLINK("#",""), HYPERLINK(CONCATENATE("#metadata!", ADDRESS(INDEX($K$2:$K$1001,MATCH(ROWS($I$2:I520),$I$2:$I$1001,0),0), INDEX($P$1004:$S$1004,1,MATCH(COLUMNS($P$1006:Q1006),$P$1006:$S$1006,0)))),"Fix")))</f>
        <v>0</v>
      </c>
      <c r="D520" s="3">
        <f>IF(OR(INDEX($J$2:$J$1001,MATCH(ROWS($I$2:I520),$I$2:$I$1001,0),1)&gt;=100000,INDEX($P$1005:$S$1005,1,MATCH(COLUMNS($P$1006:R1006),$P$1006:$S$1006,0))&gt;=100000), " ",IF(INDEX($P$2:$S$1001,MATCH(ROWS($I$2:I520),$I$2:$I$1001,0),MATCH(COLUMNS($P$1006:R1006),$P$1006:$S$1006,0)), HYPERLINK("#",""), HYPERLINK(CONCATENATE("#metadata!", ADDRESS(INDEX($K$2:$K$1001,MATCH(ROWS($I$2:I520),$I$2:$I$1001,0),0), INDEX($P$1004:$S$1004,1,MATCH(COLUMNS($P$1006:R1006),$P$1006:$S$1006,0)))),"Fix")))</f>
        <v>0</v>
      </c>
      <c r="E520" s="3">
        <f>IF(OR(INDEX($J$2:$J$1001,MATCH(ROWS($I$2:I520),$I$2:$I$1001,0),1)&gt;=100000,INDEX($P$1005:$S$1005,1,MATCH(COLUMNS($P$1006:S1006),$P$1006:$S$1006,0))&gt;=100000), " ",IF(INDEX($P$2:$S$1001,MATCH(ROWS($I$2:I520),$I$2:$I$1001,0),MATCH(COLUMNS($P$1006:S1006),$P$1006:$S$1006,0)), HYPERLINK("#",""), HYPERLINK(CONCATENATE("#metadata!", ADDRESS(INDEX($K$2:$K$1001,MATCH(ROWS($I$2:I520),$I$2:$I$1001,0),0), INDEX($P$1004:$S$1004,1,MATCH(COLUMNS($P$1006:S1006),$P$1006:$S$1006,0)))),"Fix")))</f>
        <v>0</v>
      </c>
      <c r="I520">
        <v>0</v>
      </c>
      <c r="J520">
        <v>0</v>
      </c>
      <c r="K520">
        <v>0</v>
      </c>
      <c r="L520">
        <f>IF(M520,TRUE,AND(P520:S520))</f>
        <v>0</v>
      </c>
      <c r="M520">
        <f>COUNTBLANK(metadata!B520:E520)=COLUMNS(metadata!B520:E520)</f>
        <v>0</v>
      </c>
      <c r="N520">
        <v>0</v>
      </c>
      <c r="P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Q520">
        <f>AND(IF(metadata!C520="",FALSE,TRUE),exact(metadata!C520,"other"))</f>
        <v>0</v>
      </c>
      <c r="R520">
        <f>AND(IF(metadata!D520="",FALSE,TRUE),exact(metadata!D520,"metagenome"))</f>
        <v>0</v>
      </c>
      <c r="S520">
        <f>AND(IF(metadata!E520="",FALSE,TRUE),exact(metadata!E520,"256318"))</f>
        <v>0</v>
      </c>
    </row>
    <row r="521" spans="1:19">
      <c r="A521" s="4">
        <f>IF(B521=" "," ",HYPERLINK(CONCATENATE("#metadata!",ADDRESS(INDEX($K$2:$K$1001,MATCH(ROWS($I$2:I521),$I$2:$I$1001,0),0),1)),INDEX($N$2:$N$1001,MATCH(ROWS($I$2:I521),$I$2:$I$1001,0),0)))</f>
        <v>0</v>
      </c>
      <c r="B521" s="3">
        <f>IF(OR(INDEX($J$2:$J$1001,MATCH(ROWS($I$2:I521),$I$2:$I$1001,0),1)&gt;=100000,INDEX($P$1005:$S$1005,1,MATCH(COLUMNS($P$1006:P1006),$P$1006:$S$1006,0))&gt;=100000), " ",IF(INDEX($P$2:$S$1001,MATCH(ROWS($I$2:I521),$I$2:$I$1001,0),MATCH(COLUMNS($P$1006:P1006),$P$1006:$S$1006,0)), HYPERLINK("#",""), HYPERLINK(CONCATENATE("#metadata!", ADDRESS(INDEX($K$2:$K$1001,MATCH(ROWS($I$2:I521),$I$2:$I$1001,0),0), INDEX($P$1004:$S$1004,1,MATCH(COLUMNS($P$1006:P1006),$P$1006:$S$1006,0)))),"Fix")))</f>
        <v>0</v>
      </c>
      <c r="C521" s="3">
        <f>IF(OR(INDEX($J$2:$J$1001,MATCH(ROWS($I$2:I521),$I$2:$I$1001,0),1)&gt;=100000,INDEX($P$1005:$S$1005,1,MATCH(COLUMNS($P$1006:Q1006),$P$1006:$S$1006,0))&gt;=100000), " ",IF(INDEX($P$2:$S$1001,MATCH(ROWS($I$2:I521),$I$2:$I$1001,0),MATCH(COLUMNS($P$1006:Q1006),$P$1006:$S$1006,0)), HYPERLINK("#",""), HYPERLINK(CONCATENATE("#metadata!", ADDRESS(INDEX($K$2:$K$1001,MATCH(ROWS($I$2:I521),$I$2:$I$1001,0),0), INDEX($P$1004:$S$1004,1,MATCH(COLUMNS($P$1006:Q1006),$P$1006:$S$1006,0)))),"Fix")))</f>
        <v>0</v>
      </c>
      <c r="D521" s="3">
        <f>IF(OR(INDEX($J$2:$J$1001,MATCH(ROWS($I$2:I521),$I$2:$I$1001,0),1)&gt;=100000,INDEX($P$1005:$S$1005,1,MATCH(COLUMNS($P$1006:R1006),$P$1006:$S$1006,0))&gt;=100000), " ",IF(INDEX($P$2:$S$1001,MATCH(ROWS($I$2:I521),$I$2:$I$1001,0),MATCH(COLUMNS($P$1006:R1006),$P$1006:$S$1006,0)), HYPERLINK("#",""), HYPERLINK(CONCATENATE("#metadata!", ADDRESS(INDEX($K$2:$K$1001,MATCH(ROWS($I$2:I521),$I$2:$I$1001,0),0), INDEX($P$1004:$S$1004,1,MATCH(COLUMNS($P$1006:R1006),$P$1006:$S$1006,0)))),"Fix")))</f>
        <v>0</v>
      </c>
      <c r="E521" s="3">
        <f>IF(OR(INDEX($J$2:$J$1001,MATCH(ROWS($I$2:I521),$I$2:$I$1001,0),1)&gt;=100000,INDEX($P$1005:$S$1005,1,MATCH(COLUMNS($P$1006:S1006),$P$1006:$S$1006,0))&gt;=100000), " ",IF(INDEX($P$2:$S$1001,MATCH(ROWS($I$2:I521),$I$2:$I$1001,0),MATCH(COLUMNS($P$1006:S1006),$P$1006:$S$1006,0)), HYPERLINK("#",""), HYPERLINK(CONCATENATE("#metadata!", ADDRESS(INDEX($K$2:$K$1001,MATCH(ROWS($I$2:I521),$I$2:$I$1001,0),0), INDEX($P$1004:$S$1004,1,MATCH(COLUMNS($P$1006:S1006),$P$1006:$S$1006,0)))),"Fix")))</f>
        <v>0</v>
      </c>
      <c r="I521">
        <v>0</v>
      </c>
      <c r="J521">
        <v>0</v>
      </c>
      <c r="K521">
        <v>0</v>
      </c>
      <c r="L521">
        <f>IF(M521,TRUE,AND(P521:S521))</f>
        <v>0</v>
      </c>
      <c r="M521">
        <f>COUNTBLANK(metadata!B521:E521)=COLUMNS(metadata!B521:E521)</f>
        <v>0</v>
      </c>
      <c r="N521">
        <v>0</v>
      </c>
      <c r="P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Q521">
        <f>AND(IF(metadata!C521="",FALSE,TRUE),exact(metadata!C521,"other"))</f>
        <v>0</v>
      </c>
      <c r="R521">
        <f>AND(IF(metadata!D521="",FALSE,TRUE),exact(metadata!D521,"metagenome"))</f>
        <v>0</v>
      </c>
      <c r="S521">
        <f>AND(IF(metadata!E521="",FALSE,TRUE),exact(metadata!E521,"256318"))</f>
        <v>0</v>
      </c>
    </row>
    <row r="522" spans="1:19">
      <c r="A522" s="4">
        <f>IF(B522=" "," ",HYPERLINK(CONCATENATE("#metadata!",ADDRESS(INDEX($K$2:$K$1001,MATCH(ROWS($I$2:I522),$I$2:$I$1001,0),0),1)),INDEX($N$2:$N$1001,MATCH(ROWS($I$2:I522),$I$2:$I$1001,0),0)))</f>
        <v>0</v>
      </c>
      <c r="B522" s="3">
        <f>IF(OR(INDEX($J$2:$J$1001,MATCH(ROWS($I$2:I522),$I$2:$I$1001,0),1)&gt;=100000,INDEX($P$1005:$S$1005,1,MATCH(COLUMNS($P$1006:P1006),$P$1006:$S$1006,0))&gt;=100000), " ",IF(INDEX($P$2:$S$1001,MATCH(ROWS($I$2:I522),$I$2:$I$1001,0),MATCH(COLUMNS($P$1006:P1006),$P$1006:$S$1006,0)), HYPERLINK("#",""), HYPERLINK(CONCATENATE("#metadata!", ADDRESS(INDEX($K$2:$K$1001,MATCH(ROWS($I$2:I522),$I$2:$I$1001,0),0), INDEX($P$1004:$S$1004,1,MATCH(COLUMNS($P$1006:P1006),$P$1006:$S$1006,0)))),"Fix")))</f>
        <v>0</v>
      </c>
      <c r="C522" s="3">
        <f>IF(OR(INDEX($J$2:$J$1001,MATCH(ROWS($I$2:I522),$I$2:$I$1001,0),1)&gt;=100000,INDEX($P$1005:$S$1005,1,MATCH(COLUMNS($P$1006:Q1006),$P$1006:$S$1006,0))&gt;=100000), " ",IF(INDEX($P$2:$S$1001,MATCH(ROWS($I$2:I522),$I$2:$I$1001,0),MATCH(COLUMNS($P$1006:Q1006),$P$1006:$S$1006,0)), HYPERLINK("#",""), HYPERLINK(CONCATENATE("#metadata!", ADDRESS(INDEX($K$2:$K$1001,MATCH(ROWS($I$2:I522),$I$2:$I$1001,0),0), INDEX($P$1004:$S$1004,1,MATCH(COLUMNS($P$1006:Q1006),$P$1006:$S$1006,0)))),"Fix")))</f>
        <v>0</v>
      </c>
      <c r="D522" s="3">
        <f>IF(OR(INDEX($J$2:$J$1001,MATCH(ROWS($I$2:I522),$I$2:$I$1001,0),1)&gt;=100000,INDEX($P$1005:$S$1005,1,MATCH(COLUMNS($P$1006:R1006),$P$1006:$S$1006,0))&gt;=100000), " ",IF(INDEX($P$2:$S$1001,MATCH(ROWS($I$2:I522),$I$2:$I$1001,0),MATCH(COLUMNS($P$1006:R1006),$P$1006:$S$1006,0)), HYPERLINK("#",""), HYPERLINK(CONCATENATE("#metadata!", ADDRESS(INDEX($K$2:$K$1001,MATCH(ROWS($I$2:I522),$I$2:$I$1001,0),0), INDEX($P$1004:$S$1004,1,MATCH(COLUMNS($P$1006:R1006),$P$1006:$S$1006,0)))),"Fix")))</f>
        <v>0</v>
      </c>
      <c r="E522" s="3">
        <f>IF(OR(INDEX($J$2:$J$1001,MATCH(ROWS($I$2:I522),$I$2:$I$1001,0),1)&gt;=100000,INDEX($P$1005:$S$1005,1,MATCH(COLUMNS($P$1006:S1006),$P$1006:$S$1006,0))&gt;=100000), " ",IF(INDEX($P$2:$S$1001,MATCH(ROWS($I$2:I522),$I$2:$I$1001,0),MATCH(COLUMNS($P$1006:S1006),$P$1006:$S$1006,0)), HYPERLINK("#",""), HYPERLINK(CONCATENATE("#metadata!", ADDRESS(INDEX($K$2:$K$1001,MATCH(ROWS($I$2:I522),$I$2:$I$1001,0),0), INDEX($P$1004:$S$1004,1,MATCH(COLUMNS($P$1006:S1006),$P$1006:$S$1006,0)))),"Fix")))</f>
        <v>0</v>
      </c>
      <c r="I522">
        <v>0</v>
      </c>
      <c r="J522">
        <v>0</v>
      </c>
      <c r="K522">
        <v>0</v>
      </c>
      <c r="L522">
        <f>IF(M522,TRUE,AND(P522:S522))</f>
        <v>0</v>
      </c>
      <c r="M522">
        <f>COUNTBLANK(metadata!B522:E522)=COLUMNS(metadata!B522:E522)</f>
        <v>0</v>
      </c>
      <c r="N522">
        <v>0</v>
      </c>
      <c r="P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Q522">
        <f>AND(IF(metadata!C522="",FALSE,TRUE),exact(metadata!C522,"other"))</f>
        <v>0</v>
      </c>
      <c r="R522">
        <f>AND(IF(metadata!D522="",FALSE,TRUE),exact(metadata!D522,"metagenome"))</f>
        <v>0</v>
      </c>
      <c r="S522">
        <f>AND(IF(metadata!E522="",FALSE,TRUE),exact(metadata!E522,"256318"))</f>
        <v>0</v>
      </c>
    </row>
    <row r="523" spans="1:19">
      <c r="A523" s="4">
        <f>IF(B523=" "," ",HYPERLINK(CONCATENATE("#metadata!",ADDRESS(INDEX($K$2:$K$1001,MATCH(ROWS($I$2:I523),$I$2:$I$1001,0),0),1)),INDEX($N$2:$N$1001,MATCH(ROWS($I$2:I523),$I$2:$I$1001,0),0)))</f>
        <v>0</v>
      </c>
      <c r="B523" s="3">
        <f>IF(OR(INDEX($J$2:$J$1001,MATCH(ROWS($I$2:I523),$I$2:$I$1001,0),1)&gt;=100000,INDEX($P$1005:$S$1005,1,MATCH(COLUMNS($P$1006:P1006),$P$1006:$S$1006,0))&gt;=100000), " ",IF(INDEX($P$2:$S$1001,MATCH(ROWS($I$2:I523),$I$2:$I$1001,0),MATCH(COLUMNS($P$1006:P1006),$P$1006:$S$1006,0)), HYPERLINK("#",""), HYPERLINK(CONCATENATE("#metadata!", ADDRESS(INDEX($K$2:$K$1001,MATCH(ROWS($I$2:I523),$I$2:$I$1001,0),0), INDEX($P$1004:$S$1004,1,MATCH(COLUMNS($P$1006:P1006),$P$1006:$S$1006,0)))),"Fix")))</f>
        <v>0</v>
      </c>
      <c r="C523" s="3">
        <f>IF(OR(INDEX($J$2:$J$1001,MATCH(ROWS($I$2:I523),$I$2:$I$1001,0),1)&gt;=100000,INDEX($P$1005:$S$1005,1,MATCH(COLUMNS($P$1006:Q1006),$P$1006:$S$1006,0))&gt;=100000), " ",IF(INDEX($P$2:$S$1001,MATCH(ROWS($I$2:I523),$I$2:$I$1001,0),MATCH(COLUMNS($P$1006:Q1006),$P$1006:$S$1006,0)), HYPERLINK("#",""), HYPERLINK(CONCATENATE("#metadata!", ADDRESS(INDEX($K$2:$K$1001,MATCH(ROWS($I$2:I523),$I$2:$I$1001,0),0), INDEX($P$1004:$S$1004,1,MATCH(COLUMNS($P$1006:Q1006),$P$1006:$S$1006,0)))),"Fix")))</f>
        <v>0</v>
      </c>
      <c r="D523" s="3">
        <f>IF(OR(INDEX($J$2:$J$1001,MATCH(ROWS($I$2:I523),$I$2:$I$1001,0),1)&gt;=100000,INDEX($P$1005:$S$1005,1,MATCH(COLUMNS($P$1006:R1006),$P$1006:$S$1006,0))&gt;=100000), " ",IF(INDEX($P$2:$S$1001,MATCH(ROWS($I$2:I523),$I$2:$I$1001,0),MATCH(COLUMNS($P$1006:R1006),$P$1006:$S$1006,0)), HYPERLINK("#",""), HYPERLINK(CONCATENATE("#metadata!", ADDRESS(INDEX($K$2:$K$1001,MATCH(ROWS($I$2:I523),$I$2:$I$1001,0),0), INDEX($P$1004:$S$1004,1,MATCH(COLUMNS($P$1006:R1006),$P$1006:$S$1006,0)))),"Fix")))</f>
        <v>0</v>
      </c>
      <c r="E523" s="3">
        <f>IF(OR(INDEX($J$2:$J$1001,MATCH(ROWS($I$2:I523),$I$2:$I$1001,0),1)&gt;=100000,INDEX($P$1005:$S$1005,1,MATCH(COLUMNS($P$1006:S1006),$P$1006:$S$1006,0))&gt;=100000), " ",IF(INDEX($P$2:$S$1001,MATCH(ROWS($I$2:I523),$I$2:$I$1001,0),MATCH(COLUMNS($P$1006:S1006),$P$1006:$S$1006,0)), HYPERLINK("#",""), HYPERLINK(CONCATENATE("#metadata!", ADDRESS(INDEX($K$2:$K$1001,MATCH(ROWS($I$2:I523),$I$2:$I$1001,0),0), INDEX($P$1004:$S$1004,1,MATCH(COLUMNS($P$1006:S1006),$P$1006:$S$1006,0)))),"Fix")))</f>
        <v>0</v>
      </c>
      <c r="I523">
        <v>0</v>
      </c>
      <c r="J523">
        <v>0</v>
      </c>
      <c r="K523">
        <v>0</v>
      </c>
      <c r="L523">
        <f>IF(M523,TRUE,AND(P523:S523))</f>
        <v>0</v>
      </c>
      <c r="M523">
        <f>COUNTBLANK(metadata!B523:E523)=COLUMNS(metadata!B523:E523)</f>
        <v>0</v>
      </c>
      <c r="N523">
        <v>0</v>
      </c>
      <c r="P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Q523">
        <f>AND(IF(metadata!C523="",FALSE,TRUE),exact(metadata!C523,"other"))</f>
        <v>0</v>
      </c>
      <c r="R523">
        <f>AND(IF(metadata!D523="",FALSE,TRUE),exact(metadata!D523,"metagenome"))</f>
        <v>0</v>
      </c>
      <c r="S523">
        <f>AND(IF(metadata!E523="",FALSE,TRUE),exact(metadata!E523,"256318"))</f>
        <v>0</v>
      </c>
    </row>
    <row r="524" spans="1:19">
      <c r="A524" s="4">
        <f>IF(B524=" "," ",HYPERLINK(CONCATENATE("#metadata!",ADDRESS(INDEX($K$2:$K$1001,MATCH(ROWS($I$2:I524),$I$2:$I$1001,0),0),1)),INDEX($N$2:$N$1001,MATCH(ROWS($I$2:I524),$I$2:$I$1001,0),0)))</f>
        <v>0</v>
      </c>
      <c r="B524" s="3">
        <f>IF(OR(INDEX($J$2:$J$1001,MATCH(ROWS($I$2:I524),$I$2:$I$1001,0),1)&gt;=100000,INDEX($P$1005:$S$1005,1,MATCH(COLUMNS($P$1006:P1006),$P$1006:$S$1006,0))&gt;=100000), " ",IF(INDEX($P$2:$S$1001,MATCH(ROWS($I$2:I524),$I$2:$I$1001,0),MATCH(COLUMNS($P$1006:P1006),$P$1006:$S$1006,0)), HYPERLINK("#",""), HYPERLINK(CONCATENATE("#metadata!", ADDRESS(INDEX($K$2:$K$1001,MATCH(ROWS($I$2:I524),$I$2:$I$1001,0),0), INDEX($P$1004:$S$1004,1,MATCH(COLUMNS($P$1006:P1006),$P$1006:$S$1006,0)))),"Fix")))</f>
        <v>0</v>
      </c>
      <c r="C524" s="3">
        <f>IF(OR(INDEX($J$2:$J$1001,MATCH(ROWS($I$2:I524),$I$2:$I$1001,0),1)&gt;=100000,INDEX($P$1005:$S$1005,1,MATCH(COLUMNS($P$1006:Q1006),$P$1006:$S$1006,0))&gt;=100000), " ",IF(INDEX($P$2:$S$1001,MATCH(ROWS($I$2:I524),$I$2:$I$1001,0),MATCH(COLUMNS($P$1006:Q1006),$P$1006:$S$1006,0)), HYPERLINK("#",""), HYPERLINK(CONCATENATE("#metadata!", ADDRESS(INDEX($K$2:$K$1001,MATCH(ROWS($I$2:I524),$I$2:$I$1001,0),0), INDEX($P$1004:$S$1004,1,MATCH(COLUMNS($P$1006:Q1006),$P$1006:$S$1006,0)))),"Fix")))</f>
        <v>0</v>
      </c>
      <c r="D524" s="3">
        <f>IF(OR(INDEX($J$2:$J$1001,MATCH(ROWS($I$2:I524),$I$2:$I$1001,0),1)&gt;=100000,INDEX($P$1005:$S$1005,1,MATCH(COLUMNS($P$1006:R1006),$P$1006:$S$1006,0))&gt;=100000), " ",IF(INDEX($P$2:$S$1001,MATCH(ROWS($I$2:I524),$I$2:$I$1001,0),MATCH(COLUMNS($P$1006:R1006),$P$1006:$S$1006,0)), HYPERLINK("#",""), HYPERLINK(CONCATENATE("#metadata!", ADDRESS(INDEX($K$2:$K$1001,MATCH(ROWS($I$2:I524),$I$2:$I$1001,0),0), INDEX($P$1004:$S$1004,1,MATCH(COLUMNS($P$1006:R1006),$P$1006:$S$1006,0)))),"Fix")))</f>
        <v>0</v>
      </c>
      <c r="E524" s="3">
        <f>IF(OR(INDEX($J$2:$J$1001,MATCH(ROWS($I$2:I524),$I$2:$I$1001,0),1)&gt;=100000,INDEX($P$1005:$S$1005,1,MATCH(COLUMNS($P$1006:S1006),$P$1006:$S$1006,0))&gt;=100000), " ",IF(INDEX($P$2:$S$1001,MATCH(ROWS($I$2:I524),$I$2:$I$1001,0),MATCH(COLUMNS($P$1006:S1006),$P$1006:$S$1006,0)), HYPERLINK("#",""), HYPERLINK(CONCATENATE("#metadata!", ADDRESS(INDEX($K$2:$K$1001,MATCH(ROWS($I$2:I524),$I$2:$I$1001,0),0), INDEX($P$1004:$S$1004,1,MATCH(COLUMNS($P$1006:S1006),$P$1006:$S$1006,0)))),"Fix")))</f>
        <v>0</v>
      </c>
      <c r="I524">
        <v>0</v>
      </c>
      <c r="J524">
        <v>0</v>
      </c>
      <c r="K524">
        <v>0</v>
      </c>
      <c r="L524">
        <f>IF(M524,TRUE,AND(P524:S524))</f>
        <v>0</v>
      </c>
      <c r="M524">
        <f>COUNTBLANK(metadata!B524:E524)=COLUMNS(metadata!B524:E524)</f>
        <v>0</v>
      </c>
      <c r="N524">
        <v>0</v>
      </c>
      <c r="P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Q524">
        <f>AND(IF(metadata!C524="",FALSE,TRUE),exact(metadata!C524,"other"))</f>
        <v>0</v>
      </c>
      <c r="R524">
        <f>AND(IF(metadata!D524="",FALSE,TRUE),exact(metadata!D524,"metagenome"))</f>
        <v>0</v>
      </c>
      <c r="S524">
        <f>AND(IF(metadata!E524="",FALSE,TRUE),exact(metadata!E524,"256318"))</f>
        <v>0</v>
      </c>
    </row>
    <row r="525" spans="1:19">
      <c r="A525" s="4">
        <f>IF(B525=" "," ",HYPERLINK(CONCATENATE("#metadata!",ADDRESS(INDEX($K$2:$K$1001,MATCH(ROWS($I$2:I525),$I$2:$I$1001,0),0),1)),INDEX($N$2:$N$1001,MATCH(ROWS($I$2:I525),$I$2:$I$1001,0),0)))</f>
        <v>0</v>
      </c>
      <c r="B525" s="3">
        <f>IF(OR(INDEX($J$2:$J$1001,MATCH(ROWS($I$2:I525),$I$2:$I$1001,0),1)&gt;=100000,INDEX($P$1005:$S$1005,1,MATCH(COLUMNS($P$1006:P1006),$P$1006:$S$1006,0))&gt;=100000), " ",IF(INDEX($P$2:$S$1001,MATCH(ROWS($I$2:I525),$I$2:$I$1001,0),MATCH(COLUMNS($P$1006:P1006),$P$1006:$S$1006,0)), HYPERLINK("#",""), HYPERLINK(CONCATENATE("#metadata!", ADDRESS(INDEX($K$2:$K$1001,MATCH(ROWS($I$2:I525),$I$2:$I$1001,0),0), INDEX($P$1004:$S$1004,1,MATCH(COLUMNS($P$1006:P1006),$P$1006:$S$1006,0)))),"Fix")))</f>
        <v>0</v>
      </c>
      <c r="C525" s="3">
        <f>IF(OR(INDEX($J$2:$J$1001,MATCH(ROWS($I$2:I525),$I$2:$I$1001,0),1)&gt;=100000,INDEX($P$1005:$S$1005,1,MATCH(COLUMNS($P$1006:Q1006),$P$1006:$S$1006,0))&gt;=100000), " ",IF(INDEX($P$2:$S$1001,MATCH(ROWS($I$2:I525),$I$2:$I$1001,0),MATCH(COLUMNS($P$1006:Q1006),$P$1006:$S$1006,0)), HYPERLINK("#",""), HYPERLINK(CONCATENATE("#metadata!", ADDRESS(INDEX($K$2:$K$1001,MATCH(ROWS($I$2:I525),$I$2:$I$1001,0),0), INDEX($P$1004:$S$1004,1,MATCH(COLUMNS($P$1006:Q1006),$P$1006:$S$1006,0)))),"Fix")))</f>
        <v>0</v>
      </c>
      <c r="D525" s="3">
        <f>IF(OR(INDEX($J$2:$J$1001,MATCH(ROWS($I$2:I525),$I$2:$I$1001,0),1)&gt;=100000,INDEX($P$1005:$S$1005,1,MATCH(COLUMNS($P$1006:R1006),$P$1006:$S$1006,0))&gt;=100000), " ",IF(INDEX($P$2:$S$1001,MATCH(ROWS($I$2:I525),$I$2:$I$1001,0),MATCH(COLUMNS($P$1006:R1006),$P$1006:$S$1006,0)), HYPERLINK("#",""), HYPERLINK(CONCATENATE("#metadata!", ADDRESS(INDEX($K$2:$K$1001,MATCH(ROWS($I$2:I525),$I$2:$I$1001,0),0), INDEX($P$1004:$S$1004,1,MATCH(COLUMNS($P$1006:R1006),$P$1006:$S$1006,0)))),"Fix")))</f>
        <v>0</v>
      </c>
      <c r="E525" s="3">
        <f>IF(OR(INDEX($J$2:$J$1001,MATCH(ROWS($I$2:I525),$I$2:$I$1001,0),1)&gt;=100000,INDEX($P$1005:$S$1005,1,MATCH(COLUMNS($P$1006:S1006),$P$1006:$S$1006,0))&gt;=100000), " ",IF(INDEX($P$2:$S$1001,MATCH(ROWS($I$2:I525),$I$2:$I$1001,0),MATCH(COLUMNS($P$1006:S1006),$P$1006:$S$1006,0)), HYPERLINK("#",""), HYPERLINK(CONCATENATE("#metadata!", ADDRESS(INDEX($K$2:$K$1001,MATCH(ROWS($I$2:I525),$I$2:$I$1001,0),0), INDEX($P$1004:$S$1004,1,MATCH(COLUMNS($P$1006:S1006),$P$1006:$S$1006,0)))),"Fix")))</f>
        <v>0</v>
      </c>
      <c r="I525">
        <v>0</v>
      </c>
      <c r="J525">
        <v>0</v>
      </c>
      <c r="K525">
        <v>0</v>
      </c>
      <c r="L525">
        <f>IF(M525,TRUE,AND(P525:S525))</f>
        <v>0</v>
      </c>
      <c r="M525">
        <f>COUNTBLANK(metadata!B525:E525)=COLUMNS(metadata!B525:E525)</f>
        <v>0</v>
      </c>
      <c r="N525">
        <v>0</v>
      </c>
      <c r="P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Q525">
        <f>AND(IF(metadata!C525="",FALSE,TRUE),exact(metadata!C525,"other"))</f>
        <v>0</v>
      </c>
      <c r="R525">
        <f>AND(IF(metadata!D525="",FALSE,TRUE),exact(metadata!D525,"metagenome"))</f>
        <v>0</v>
      </c>
      <c r="S525">
        <f>AND(IF(metadata!E525="",FALSE,TRUE),exact(metadata!E525,"256318"))</f>
        <v>0</v>
      </c>
    </row>
    <row r="526" spans="1:19">
      <c r="A526" s="4">
        <f>IF(B526=" "," ",HYPERLINK(CONCATENATE("#metadata!",ADDRESS(INDEX($K$2:$K$1001,MATCH(ROWS($I$2:I526),$I$2:$I$1001,0),0),1)),INDEX($N$2:$N$1001,MATCH(ROWS($I$2:I526),$I$2:$I$1001,0),0)))</f>
        <v>0</v>
      </c>
      <c r="B526" s="3">
        <f>IF(OR(INDEX($J$2:$J$1001,MATCH(ROWS($I$2:I526),$I$2:$I$1001,0),1)&gt;=100000,INDEX($P$1005:$S$1005,1,MATCH(COLUMNS($P$1006:P1006),$P$1006:$S$1006,0))&gt;=100000), " ",IF(INDEX($P$2:$S$1001,MATCH(ROWS($I$2:I526),$I$2:$I$1001,0),MATCH(COLUMNS($P$1006:P1006),$P$1006:$S$1006,0)), HYPERLINK("#",""), HYPERLINK(CONCATENATE("#metadata!", ADDRESS(INDEX($K$2:$K$1001,MATCH(ROWS($I$2:I526),$I$2:$I$1001,0),0), INDEX($P$1004:$S$1004,1,MATCH(COLUMNS($P$1006:P1006),$P$1006:$S$1006,0)))),"Fix")))</f>
        <v>0</v>
      </c>
      <c r="C526" s="3">
        <f>IF(OR(INDEX($J$2:$J$1001,MATCH(ROWS($I$2:I526),$I$2:$I$1001,0),1)&gt;=100000,INDEX($P$1005:$S$1005,1,MATCH(COLUMNS($P$1006:Q1006),$P$1006:$S$1006,0))&gt;=100000), " ",IF(INDEX($P$2:$S$1001,MATCH(ROWS($I$2:I526),$I$2:$I$1001,0),MATCH(COLUMNS($P$1006:Q1006),$P$1006:$S$1006,0)), HYPERLINK("#",""), HYPERLINK(CONCATENATE("#metadata!", ADDRESS(INDEX($K$2:$K$1001,MATCH(ROWS($I$2:I526),$I$2:$I$1001,0),0), INDEX($P$1004:$S$1004,1,MATCH(COLUMNS($P$1006:Q1006),$P$1006:$S$1006,0)))),"Fix")))</f>
        <v>0</v>
      </c>
      <c r="D526" s="3">
        <f>IF(OR(INDEX($J$2:$J$1001,MATCH(ROWS($I$2:I526),$I$2:$I$1001,0),1)&gt;=100000,INDEX($P$1005:$S$1005,1,MATCH(COLUMNS($P$1006:R1006),$P$1006:$S$1006,0))&gt;=100000), " ",IF(INDEX($P$2:$S$1001,MATCH(ROWS($I$2:I526),$I$2:$I$1001,0),MATCH(COLUMNS($P$1006:R1006),$P$1006:$S$1006,0)), HYPERLINK("#",""), HYPERLINK(CONCATENATE("#metadata!", ADDRESS(INDEX($K$2:$K$1001,MATCH(ROWS($I$2:I526),$I$2:$I$1001,0),0), INDEX($P$1004:$S$1004,1,MATCH(COLUMNS($P$1006:R1006),$P$1006:$S$1006,0)))),"Fix")))</f>
        <v>0</v>
      </c>
      <c r="E526" s="3">
        <f>IF(OR(INDEX($J$2:$J$1001,MATCH(ROWS($I$2:I526),$I$2:$I$1001,0),1)&gt;=100000,INDEX($P$1005:$S$1005,1,MATCH(COLUMNS($P$1006:S1006),$P$1006:$S$1006,0))&gt;=100000), " ",IF(INDEX($P$2:$S$1001,MATCH(ROWS($I$2:I526),$I$2:$I$1001,0),MATCH(COLUMNS($P$1006:S1006),$P$1006:$S$1006,0)), HYPERLINK("#",""), HYPERLINK(CONCATENATE("#metadata!", ADDRESS(INDEX($K$2:$K$1001,MATCH(ROWS($I$2:I526),$I$2:$I$1001,0),0), INDEX($P$1004:$S$1004,1,MATCH(COLUMNS($P$1006:S1006),$P$1006:$S$1006,0)))),"Fix")))</f>
        <v>0</v>
      </c>
      <c r="I526">
        <v>0</v>
      </c>
      <c r="J526">
        <v>0</v>
      </c>
      <c r="K526">
        <v>0</v>
      </c>
      <c r="L526">
        <f>IF(M526,TRUE,AND(P526:S526))</f>
        <v>0</v>
      </c>
      <c r="M526">
        <f>COUNTBLANK(metadata!B526:E526)=COLUMNS(metadata!B526:E526)</f>
        <v>0</v>
      </c>
      <c r="N526">
        <v>0</v>
      </c>
      <c r="P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Q526">
        <f>AND(IF(metadata!C526="",FALSE,TRUE),exact(metadata!C526,"other"))</f>
        <v>0</v>
      </c>
      <c r="R526">
        <f>AND(IF(metadata!D526="",FALSE,TRUE),exact(metadata!D526,"metagenome"))</f>
        <v>0</v>
      </c>
      <c r="S526">
        <f>AND(IF(metadata!E526="",FALSE,TRUE),exact(metadata!E526,"256318"))</f>
        <v>0</v>
      </c>
    </row>
    <row r="527" spans="1:19">
      <c r="A527" s="4">
        <f>IF(B527=" "," ",HYPERLINK(CONCATENATE("#metadata!",ADDRESS(INDEX($K$2:$K$1001,MATCH(ROWS($I$2:I527),$I$2:$I$1001,0),0),1)),INDEX($N$2:$N$1001,MATCH(ROWS($I$2:I527),$I$2:$I$1001,0),0)))</f>
        <v>0</v>
      </c>
      <c r="B527" s="3">
        <f>IF(OR(INDEX($J$2:$J$1001,MATCH(ROWS($I$2:I527),$I$2:$I$1001,0),1)&gt;=100000,INDEX($P$1005:$S$1005,1,MATCH(COLUMNS($P$1006:P1006),$P$1006:$S$1006,0))&gt;=100000), " ",IF(INDEX($P$2:$S$1001,MATCH(ROWS($I$2:I527),$I$2:$I$1001,0),MATCH(COLUMNS($P$1006:P1006),$P$1006:$S$1006,0)), HYPERLINK("#",""), HYPERLINK(CONCATENATE("#metadata!", ADDRESS(INDEX($K$2:$K$1001,MATCH(ROWS($I$2:I527),$I$2:$I$1001,0),0), INDEX($P$1004:$S$1004,1,MATCH(COLUMNS($P$1006:P1006),$P$1006:$S$1006,0)))),"Fix")))</f>
        <v>0</v>
      </c>
      <c r="C527" s="3">
        <f>IF(OR(INDEX($J$2:$J$1001,MATCH(ROWS($I$2:I527),$I$2:$I$1001,0),1)&gt;=100000,INDEX($P$1005:$S$1005,1,MATCH(COLUMNS($P$1006:Q1006),$P$1006:$S$1006,0))&gt;=100000), " ",IF(INDEX($P$2:$S$1001,MATCH(ROWS($I$2:I527),$I$2:$I$1001,0),MATCH(COLUMNS($P$1006:Q1006),$P$1006:$S$1006,0)), HYPERLINK("#",""), HYPERLINK(CONCATENATE("#metadata!", ADDRESS(INDEX($K$2:$K$1001,MATCH(ROWS($I$2:I527),$I$2:$I$1001,0),0), INDEX($P$1004:$S$1004,1,MATCH(COLUMNS($P$1006:Q1006),$P$1006:$S$1006,0)))),"Fix")))</f>
        <v>0</v>
      </c>
      <c r="D527" s="3">
        <f>IF(OR(INDEX($J$2:$J$1001,MATCH(ROWS($I$2:I527),$I$2:$I$1001,0),1)&gt;=100000,INDEX($P$1005:$S$1005,1,MATCH(COLUMNS($P$1006:R1006),$P$1006:$S$1006,0))&gt;=100000), " ",IF(INDEX($P$2:$S$1001,MATCH(ROWS($I$2:I527),$I$2:$I$1001,0),MATCH(COLUMNS($P$1006:R1006),$P$1006:$S$1006,0)), HYPERLINK("#",""), HYPERLINK(CONCATENATE("#metadata!", ADDRESS(INDEX($K$2:$K$1001,MATCH(ROWS($I$2:I527),$I$2:$I$1001,0),0), INDEX($P$1004:$S$1004,1,MATCH(COLUMNS($P$1006:R1006),$P$1006:$S$1006,0)))),"Fix")))</f>
        <v>0</v>
      </c>
      <c r="E527" s="3">
        <f>IF(OR(INDEX($J$2:$J$1001,MATCH(ROWS($I$2:I527),$I$2:$I$1001,0),1)&gt;=100000,INDEX($P$1005:$S$1005,1,MATCH(COLUMNS($P$1006:S1006),$P$1006:$S$1006,0))&gt;=100000), " ",IF(INDEX($P$2:$S$1001,MATCH(ROWS($I$2:I527),$I$2:$I$1001,0),MATCH(COLUMNS($P$1006:S1006),$P$1006:$S$1006,0)), HYPERLINK("#",""), HYPERLINK(CONCATENATE("#metadata!", ADDRESS(INDEX($K$2:$K$1001,MATCH(ROWS($I$2:I527),$I$2:$I$1001,0),0), INDEX($P$1004:$S$1004,1,MATCH(COLUMNS($P$1006:S1006),$P$1006:$S$1006,0)))),"Fix")))</f>
        <v>0</v>
      </c>
      <c r="I527">
        <v>0</v>
      </c>
      <c r="J527">
        <v>0</v>
      </c>
      <c r="K527">
        <v>0</v>
      </c>
      <c r="L527">
        <f>IF(M527,TRUE,AND(P527:S527))</f>
        <v>0</v>
      </c>
      <c r="M527">
        <f>COUNTBLANK(metadata!B527:E527)=COLUMNS(metadata!B527:E527)</f>
        <v>0</v>
      </c>
      <c r="N527">
        <v>0</v>
      </c>
      <c r="P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Q527">
        <f>AND(IF(metadata!C527="",FALSE,TRUE),exact(metadata!C527,"other"))</f>
        <v>0</v>
      </c>
      <c r="R527">
        <f>AND(IF(metadata!D527="",FALSE,TRUE),exact(metadata!D527,"metagenome"))</f>
        <v>0</v>
      </c>
      <c r="S527">
        <f>AND(IF(metadata!E527="",FALSE,TRUE),exact(metadata!E527,"256318"))</f>
        <v>0</v>
      </c>
    </row>
    <row r="528" spans="1:19">
      <c r="A528" s="4">
        <f>IF(B528=" "," ",HYPERLINK(CONCATENATE("#metadata!",ADDRESS(INDEX($K$2:$K$1001,MATCH(ROWS($I$2:I528),$I$2:$I$1001,0),0),1)),INDEX($N$2:$N$1001,MATCH(ROWS($I$2:I528),$I$2:$I$1001,0),0)))</f>
        <v>0</v>
      </c>
      <c r="B528" s="3">
        <f>IF(OR(INDEX($J$2:$J$1001,MATCH(ROWS($I$2:I528),$I$2:$I$1001,0),1)&gt;=100000,INDEX($P$1005:$S$1005,1,MATCH(COLUMNS($P$1006:P1006),$P$1006:$S$1006,0))&gt;=100000), " ",IF(INDEX($P$2:$S$1001,MATCH(ROWS($I$2:I528),$I$2:$I$1001,0),MATCH(COLUMNS($P$1006:P1006),$P$1006:$S$1006,0)), HYPERLINK("#",""), HYPERLINK(CONCATENATE("#metadata!", ADDRESS(INDEX($K$2:$K$1001,MATCH(ROWS($I$2:I528),$I$2:$I$1001,0),0), INDEX($P$1004:$S$1004,1,MATCH(COLUMNS($P$1006:P1006),$P$1006:$S$1006,0)))),"Fix")))</f>
        <v>0</v>
      </c>
      <c r="C528" s="3">
        <f>IF(OR(INDEX($J$2:$J$1001,MATCH(ROWS($I$2:I528),$I$2:$I$1001,0),1)&gt;=100000,INDEX($P$1005:$S$1005,1,MATCH(COLUMNS($P$1006:Q1006),$P$1006:$S$1006,0))&gt;=100000), " ",IF(INDEX($P$2:$S$1001,MATCH(ROWS($I$2:I528),$I$2:$I$1001,0),MATCH(COLUMNS($P$1006:Q1006),$P$1006:$S$1006,0)), HYPERLINK("#",""), HYPERLINK(CONCATENATE("#metadata!", ADDRESS(INDEX($K$2:$K$1001,MATCH(ROWS($I$2:I528),$I$2:$I$1001,0),0), INDEX($P$1004:$S$1004,1,MATCH(COLUMNS($P$1006:Q1006),$P$1006:$S$1006,0)))),"Fix")))</f>
        <v>0</v>
      </c>
      <c r="D528" s="3">
        <f>IF(OR(INDEX($J$2:$J$1001,MATCH(ROWS($I$2:I528),$I$2:$I$1001,0),1)&gt;=100000,INDEX($P$1005:$S$1005,1,MATCH(COLUMNS($P$1006:R1006),$P$1006:$S$1006,0))&gt;=100000), " ",IF(INDEX($P$2:$S$1001,MATCH(ROWS($I$2:I528),$I$2:$I$1001,0),MATCH(COLUMNS($P$1006:R1006),$P$1006:$S$1006,0)), HYPERLINK("#",""), HYPERLINK(CONCATENATE("#metadata!", ADDRESS(INDEX($K$2:$K$1001,MATCH(ROWS($I$2:I528),$I$2:$I$1001,0),0), INDEX($P$1004:$S$1004,1,MATCH(COLUMNS($P$1006:R1006),$P$1006:$S$1006,0)))),"Fix")))</f>
        <v>0</v>
      </c>
      <c r="E528" s="3">
        <f>IF(OR(INDEX($J$2:$J$1001,MATCH(ROWS($I$2:I528),$I$2:$I$1001,0),1)&gt;=100000,INDEX($P$1005:$S$1005,1,MATCH(COLUMNS($P$1006:S1006),$P$1006:$S$1006,0))&gt;=100000), " ",IF(INDEX($P$2:$S$1001,MATCH(ROWS($I$2:I528),$I$2:$I$1001,0),MATCH(COLUMNS($P$1006:S1006),$P$1006:$S$1006,0)), HYPERLINK("#",""), HYPERLINK(CONCATENATE("#metadata!", ADDRESS(INDEX($K$2:$K$1001,MATCH(ROWS($I$2:I528),$I$2:$I$1001,0),0), INDEX($P$1004:$S$1004,1,MATCH(COLUMNS($P$1006:S1006),$P$1006:$S$1006,0)))),"Fix")))</f>
        <v>0</v>
      </c>
      <c r="I528">
        <v>0</v>
      </c>
      <c r="J528">
        <v>0</v>
      </c>
      <c r="K528">
        <v>0</v>
      </c>
      <c r="L528">
        <f>IF(M528,TRUE,AND(P528:S528))</f>
        <v>0</v>
      </c>
      <c r="M528">
        <f>COUNTBLANK(metadata!B528:E528)=COLUMNS(metadata!B528:E528)</f>
        <v>0</v>
      </c>
      <c r="N528">
        <v>0</v>
      </c>
      <c r="P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Q528">
        <f>AND(IF(metadata!C528="",FALSE,TRUE),exact(metadata!C528,"other"))</f>
        <v>0</v>
      </c>
      <c r="R528">
        <f>AND(IF(metadata!D528="",FALSE,TRUE),exact(metadata!D528,"metagenome"))</f>
        <v>0</v>
      </c>
      <c r="S528">
        <f>AND(IF(metadata!E528="",FALSE,TRUE),exact(metadata!E528,"256318"))</f>
        <v>0</v>
      </c>
    </row>
    <row r="529" spans="1:19">
      <c r="A529" s="4">
        <f>IF(B529=" "," ",HYPERLINK(CONCATENATE("#metadata!",ADDRESS(INDEX($K$2:$K$1001,MATCH(ROWS($I$2:I529),$I$2:$I$1001,0),0),1)),INDEX($N$2:$N$1001,MATCH(ROWS($I$2:I529),$I$2:$I$1001,0),0)))</f>
        <v>0</v>
      </c>
      <c r="B529" s="3">
        <f>IF(OR(INDEX($J$2:$J$1001,MATCH(ROWS($I$2:I529),$I$2:$I$1001,0),1)&gt;=100000,INDEX($P$1005:$S$1005,1,MATCH(COLUMNS($P$1006:P1006),$P$1006:$S$1006,0))&gt;=100000), " ",IF(INDEX($P$2:$S$1001,MATCH(ROWS($I$2:I529),$I$2:$I$1001,0),MATCH(COLUMNS($P$1006:P1006),$P$1006:$S$1006,0)), HYPERLINK("#",""), HYPERLINK(CONCATENATE("#metadata!", ADDRESS(INDEX($K$2:$K$1001,MATCH(ROWS($I$2:I529),$I$2:$I$1001,0),0), INDEX($P$1004:$S$1004,1,MATCH(COLUMNS($P$1006:P1006),$P$1006:$S$1006,0)))),"Fix")))</f>
        <v>0</v>
      </c>
      <c r="C529" s="3">
        <f>IF(OR(INDEX($J$2:$J$1001,MATCH(ROWS($I$2:I529),$I$2:$I$1001,0),1)&gt;=100000,INDEX($P$1005:$S$1005,1,MATCH(COLUMNS($P$1006:Q1006),$P$1006:$S$1006,0))&gt;=100000), " ",IF(INDEX($P$2:$S$1001,MATCH(ROWS($I$2:I529),$I$2:$I$1001,0),MATCH(COLUMNS($P$1006:Q1006),$P$1006:$S$1006,0)), HYPERLINK("#",""), HYPERLINK(CONCATENATE("#metadata!", ADDRESS(INDEX($K$2:$K$1001,MATCH(ROWS($I$2:I529),$I$2:$I$1001,0),0), INDEX($P$1004:$S$1004,1,MATCH(COLUMNS($P$1006:Q1006),$P$1006:$S$1006,0)))),"Fix")))</f>
        <v>0</v>
      </c>
      <c r="D529" s="3">
        <f>IF(OR(INDEX($J$2:$J$1001,MATCH(ROWS($I$2:I529),$I$2:$I$1001,0),1)&gt;=100000,INDEX($P$1005:$S$1005,1,MATCH(COLUMNS($P$1006:R1006),$P$1006:$S$1006,0))&gt;=100000), " ",IF(INDEX($P$2:$S$1001,MATCH(ROWS($I$2:I529),$I$2:$I$1001,0),MATCH(COLUMNS($P$1006:R1006),$P$1006:$S$1006,0)), HYPERLINK("#",""), HYPERLINK(CONCATENATE("#metadata!", ADDRESS(INDEX($K$2:$K$1001,MATCH(ROWS($I$2:I529),$I$2:$I$1001,0),0), INDEX($P$1004:$S$1004,1,MATCH(COLUMNS($P$1006:R1006),$P$1006:$S$1006,0)))),"Fix")))</f>
        <v>0</v>
      </c>
      <c r="E529" s="3">
        <f>IF(OR(INDEX($J$2:$J$1001,MATCH(ROWS($I$2:I529),$I$2:$I$1001,0),1)&gt;=100000,INDEX($P$1005:$S$1005,1,MATCH(COLUMNS($P$1006:S1006),$P$1006:$S$1006,0))&gt;=100000), " ",IF(INDEX($P$2:$S$1001,MATCH(ROWS($I$2:I529),$I$2:$I$1001,0),MATCH(COLUMNS($P$1006:S1006),$P$1006:$S$1006,0)), HYPERLINK("#",""), HYPERLINK(CONCATENATE("#metadata!", ADDRESS(INDEX($K$2:$K$1001,MATCH(ROWS($I$2:I529),$I$2:$I$1001,0),0), INDEX($P$1004:$S$1004,1,MATCH(COLUMNS($P$1006:S1006),$P$1006:$S$1006,0)))),"Fix")))</f>
        <v>0</v>
      </c>
      <c r="I529">
        <v>0</v>
      </c>
      <c r="J529">
        <v>0</v>
      </c>
      <c r="K529">
        <v>0</v>
      </c>
      <c r="L529">
        <f>IF(M529,TRUE,AND(P529:S529))</f>
        <v>0</v>
      </c>
      <c r="M529">
        <f>COUNTBLANK(metadata!B529:E529)=COLUMNS(metadata!B529:E529)</f>
        <v>0</v>
      </c>
      <c r="N529">
        <v>0</v>
      </c>
      <c r="P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Q529">
        <f>AND(IF(metadata!C529="",FALSE,TRUE),exact(metadata!C529,"other"))</f>
        <v>0</v>
      </c>
      <c r="R529">
        <f>AND(IF(metadata!D529="",FALSE,TRUE),exact(metadata!D529,"metagenome"))</f>
        <v>0</v>
      </c>
      <c r="S529">
        <f>AND(IF(metadata!E529="",FALSE,TRUE),exact(metadata!E529,"256318"))</f>
        <v>0</v>
      </c>
    </row>
    <row r="530" spans="1:19">
      <c r="A530" s="4">
        <f>IF(B530=" "," ",HYPERLINK(CONCATENATE("#metadata!",ADDRESS(INDEX($K$2:$K$1001,MATCH(ROWS($I$2:I530),$I$2:$I$1001,0),0),1)),INDEX($N$2:$N$1001,MATCH(ROWS($I$2:I530),$I$2:$I$1001,0),0)))</f>
        <v>0</v>
      </c>
      <c r="B530" s="3">
        <f>IF(OR(INDEX($J$2:$J$1001,MATCH(ROWS($I$2:I530),$I$2:$I$1001,0),1)&gt;=100000,INDEX($P$1005:$S$1005,1,MATCH(COLUMNS($P$1006:P1006),$P$1006:$S$1006,0))&gt;=100000), " ",IF(INDEX($P$2:$S$1001,MATCH(ROWS($I$2:I530),$I$2:$I$1001,0),MATCH(COLUMNS($P$1006:P1006),$P$1006:$S$1006,0)), HYPERLINK("#",""), HYPERLINK(CONCATENATE("#metadata!", ADDRESS(INDEX($K$2:$K$1001,MATCH(ROWS($I$2:I530),$I$2:$I$1001,0),0), INDEX($P$1004:$S$1004,1,MATCH(COLUMNS($P$1006:P1006),$P$1006:$S$1006,0)))),"Fix")))</f>
        <v>0</v>
      </c>
      <c r="C530" s="3">
        <f>IF(OR(INDEX($J$2:$J$1001,MATCH(ROWS($I$2:I530),$I$2:$I$1001,0),1)&gt;=100000,INDEX($P$1005:$S$1005,1,MATCH(COLUMNS($P$1006:Q1006),$P$1006:$S$1006,0))&gt;=100000), " ",IF(INDEX($P$2:$S$1001,MATCH(ROWS($I$2:I530),$I$2:$I$1001,0),MATCH(COLUMNS($P$1006:Q1006),$P$1006:$S$1006,0)), HYPERLINK("#",""), HYPERLINK(CONCATENATE("#metadata!", ADDRESS(INDEX($K$2:$K$1001,MATCH(ROWS($I$2:I530),$I$2:$I$1001,0),0), INDEX($P$1004:$S$1004,1,MATCH(COLUMNS($P$1006:Q1006),$P$1006:$S$1006,0)))),"Fix")))</f>
        <v>0</v>
      </c>
      <c r="D530" s="3">
        <f>IF(OR(INDEX($J$2:$J$1001,MATCH(ROWS($I$2:I530),$I$2:$I$1001,0),1)&gt;=100000,INDEX($P$1005:$S$1005,1,MATCH(COLUMNS($P$1006:R1006),$P$1006:$S$1006,0))&gt;=100000), " ",IF(INDEX($P$2:$S$1001,MATCH(ROWS($I$2:I530),$I$2:$I$1001,0),MATCH(COLUMNS($P$1006:R1006),$P$1006:$S$1006,0)), HYPERLINK("#",""), HYPERLINK(CONCATENATE("#metadata!", ADDRESS(INDEX($K$2:$K$1001,MATCH(ROWS($I$2:I530),$I$2:$I$1001,0),0), INDEX($P$1004:$S$1004,1,MATCH(COLUMNS($P$1006:R1006),$P$1006:$S$1006,0)))),"Fix")))</f>
        <v>0</v>
      </c>
      <c r="E530" s="3">
        <f>IF(OR(INDEX($J$2:$J$1001,MATCH(ROWS($I$2:I530),$I$2:$I$1001,0),1)&gt;=100000,INDEX($P$1005:$S$1005,1,MATCH(COLUMNS($P$1006:S1006),$P$1006:$S$1006,0))&gt;=100000), " ",IF(INDEX($P$2:$S$1001,MATCH(ROWS($I$2:I530),$I$2:$I$1001,0),MATCH(COLUMNS($P$1006:S1006),$P$1006:$S$1006,0)), HYPERLINK("#",""), HYPERLINK(CONCATENATE("#metadata!", ADDRESS(INDEX($K$2:$K$1001,MATCH(ROWS($I$2:I530),$I$2:$I$1001,0),0), INDEX($P$1004:$S$1004,1,MATCH(COLUMNS($P$1006:S1006),$P$1006:$S$1006,0)))),"Fix")))</f>
        <v>0</v>
      </c>
      <c r="I530">
        <v>0</v>
      </c>
      <c r="J530">
        <v>0</v>
      </c>
      <c r="K530">
        <v>0</v>
      </c>
      <c r="L530">
        <f>IF(M530,TRUE,AND(P530:S530))</f>
        <v>0</v>
      </c>
      <c r="M530">
        <f>COUNTBLANK(metadata!B530:E530)=COLUMNS(metadata!B530:E530)</f>
        <v>0</v>
      </c>
      <c r="N530">
        <v>0</v>
      </c>
      <c r="P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Q530">
        <f>AND(IF(metadata!C530="",FALSE,TRUE),exact(metadata!C530,"other"))</f>
        <v>0</v>
      </c>
      <c r="R530">
        <f>AND(IF(metadata!D530="",FALSE,TRUE),exact(metadata!D530,"metagenome"))</f>
        <v>0</v>
      </c>
      <c r="S530">
        <f>AND(IF(metadata!E530="",FALSE,TRUE),exact(metadata!E530,"256318"))</f>
        <v>0</v>
      </c>
    </row>
    <row r="531" spans="1:19">
      <c r="A531" s="4">
        <f>IF(B531=" "," ",HYPERLINK(CONCATENATE("#metadata!",ADDRESS(INDEX($K$2:$K$1001,MATCH(ROWS($I$2:I531),$I$2:$I$1001,0),0),1)),INDEX($N$2:$N$1001,MATCH(ROWS($I$2:I531),$I$2:$I$1001,0),0)))</f>
        <v>0</v>
      </c>
      <c r="B531" s="3">
        <f>IF(OR(INDEX($J$2:$J$1001,MATCH(ROWS($I$2:I531),$I$2:$I$1001,0),1)&gt;=100000,INDEX($P$1005:$S$1005,1,MATCH(COLUMNS($P$1006:P1006),$P$1006:$S$1006,0))&gt;=100000), " ",IF(INDEX($P$2:$S$1001,MATCH(ROWS($I$2:I531),$I$2:$I$1001,0),MATCH(COLUMNS($P$1006:P1006),$P$1006:$S$1006,0)), HYPERLINK("#",""), HYPERLINK(CONCATENATE("#metadata!", ADDRESS(INDEX($K$2:$K$1001,MATCH(ROWS($I$2:I531),$I$2:$I$1001,0),0), INDEX($P$1004:$S$1004,1,MATCH(COLUMNS($P$1006:P1006),$P$1006:$S$1006,0)))),"Fix")))</f>
        <v>0</v>
      </c>
      <c r="C531" s="3">
        <f>IF(OR(INDEX($J$2:$J$1001,MATCH(ROWS($I$2:I531),$I$2:$I$1001,0),1)&gt;=100000,INDEX($P$1005:$S$1005,1,MATCH(COLUMNS($P$1006:Q1006),$P$1006:$S$1006,0))&gt;=100000), " ",IF(INDEX($P$2:$S$1001,MATCH(ROWS($I$2:I531),$I$2:$I$1001,0),MATCH(COLUMNS($P$1006:Q1006),$P$1006:$S$1006,0)), HYPERLINK("#",""), HYPERLINK(CONCATENATE("#metadata!", ADDRESS(INDEX($K$2:$K$1001,MATCH(ROWS($I$2:I531),$I$2:$I$1001,0),0), INDEX($P$1004:$S$1004,1,MATCH(COLUMNS($P$1006:Q1006),$P$1006:$S$1006,0)))),"Fix")))</f>
        <v>0</v>
      </c>
      <c r="D531" s="3">
        <f>IF(OR(INDEX($J$2:$J$1001,MATCH(ROWS($I$2:I531),$I$2:$I$1001,0),1)&gt;=100000,INDEX($P$1005:$S$1005,1,MATCH(COLUMNS($P$1006:R1006),$P$1006:$S$1006,0))&gt;=100000), " ",IF(INDEX($P$2:$S$1001,MATCH(ROWS($I$2:I531),$I$2:$I$1001,0),MATCH(COLUMNS($P$1006:R1006),$P$1006:$S$1006,0)), HYPERLINK("#",""), HYPERLINK(CONCATENATE("#metadata!", ADDRESS(INDEX($K$2:$K$1001,MATCH(ROWS($I$2:I531),$I$2:$I$1001,0),0), INDEX($P$1004:$S$1004,1,MATCH(COLUMNS($P$1006:R1006),$P$1006:$S$1006,0)))),"Fix")))</f>
        <v>0</v>
      </c>
      <c r="E531" s="3">
        <f>IF(OR(INDEX($J$2:$J$1001,MATCH(ROWS($I$2:I531),$I$2:$I$1001,0),1)&gt;=100000,INDEX($P$1005:$S$1005,1,MATCH(COLUMNS($P$1006:S1006),$P$1006:$S$1006,0))&gt;=100000), " ",IF(INDEX($P$2:$S$1001,MATCH(ROWS($I$2:I531),$I$2:$I$1001,0),MATCH(COLUMNS($P$1006:S1006),$P$1006:$S$1006,0)), HYPERLINK("#",""), HYPERLINK(CONCATENATE("#metadata!", ADDRESS(INDEX($K$2:$K$1001,MATCH(ROWS($I$2:I531),$I$2:$I$1001,0),0), INDEX($P$1004:$S$1004,1,MATCH(COLUMNS($P$1006:S1006),$P$1006:$S$1006,0)))),"Fix")))</f>
        <v>0</v>
      </c>
      <c r="I531">
        <v>0</v>
      </c>
      <c r="J531">
        <v>0</v>
      </c>
      <c r="K531">
        <v>0</v>
      </c>
      <c r="L531">
        <f>IF(M531,TRUE,AND(P531:S531))</f>
        <v>0</v>
      </c>
      <c r="M531">
        <f>COUNTBLANK(metadata!B531:E531)=COLUMNS(metadata!B531:E531)</f>
        <v>0</v>
      </c>
      <c r="N531">
        <v>0</v>
      </c>
      <c r="P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Q531">
        <f>AND(IF(metadata!C531="",FALSE,TRUE),exact(metadata!C531,"other"))</f>
        <v>0</v>
      </c>
      <c r="R531">
        <f>AND(IF(metadata!D531="",FALSE,TRUE),exact(metadata!D531,"metagenome"))</f>
        <v>0</v>
      </c>
      <c r="S531">
        <f>AND(IF(metadata!E531="",FALSE,TRUE),exact(metadata!E531,"256318"))</f>
        <v>0</v>
      </c>
    </row>
    <row r="532" spans="1:19">
      <c r="A532" s="4">
        <f>IF(B532=" "," ",HYPERLINK(CONCATENATE("#metadata!",ADDRESS(INDEX($K$2:$K$1001,MATCH(ROWS($I$2:I532),$I$2:$I$1001,0),0),1)),INDEX($N$2:$N$1001,MATCH(ROWS($I$2:I532),$I$2:$I$1001,0),0)))</f>
        <v>0</v>
      </c>
      <c r="B532" s="3">
        <f>IF(OR(INDEX($J$2:$J$1001,MATCH(ROWS($I$2:I532),$I$2:$I$1001,0),1)&gt;=100000,INDEX($P$1005:$S$1005,1,MATCH(COLUMNS($P$1006:P1006),$P$1006:$S$1006,0))&gt;=100000), " ",IF(INDEX($P$2:$S$1001,MATCH(ROWS($I$2:I532),$I$2:$I$1001,0),MATCH(COLUMNS($P$1006:P1006),$P$1006:$S$1006,0)), HYPERLINK("#",""), HYPERLINK(CONCATENATE("#metadata!", ADDRESS(INDEX($K$2:$K$1001,MATCH(ROWS($I$2:I532),$I$2:$I$1001,0),0), INDEX($P$1004:$S$1004,1,MATCH(COLUMNS($P$1006:P1006),$P$1006:$S$1006,0)))),"Fix")))</f>
        <v>0</v>
      </c>
      <c r="C532" s="3">
        <f>IF(OR(INDEX($J$2:$J$1001,MATCH(ROWS($I$2:I532),$I$2:$I$1001,0),1)&gt;=100000,INDEX($P$1005:$S$1005,1,MATCH(COLUMNS($P$1006:Q1006),$P$1006:$S$1006,0))&gt;=100000), " ",IF(INDEX($P$2:$S$1001,MATCH(ROWS($I$2:I532),$I$2:$I$1001,0),MATCH(COLUMNS($P$1006:Q1006),$P$1006:$S$1006,0)), HYPERLINK("#",""), HYPERLINK(CONCATENATE("#metadata!", ADDRESS(INDEX($K$2:$K$1001,MATCH(ROWS($I$2:I532),$I$2:$I$1001,0),0), INDEX($P$1004:$S$1004,1,MATCH(COLUMNS($P$1006:Q1006),$P$1006:$S$1006,0)))),"Fix")))</f>
        <v>0</v>
      </c>
      <c r="D532" s="3">
        <f>IF(OR(INDEX($J$2:$J$1001,MATCH(ROWS($I$2:I532),$I$2:$I$1001,0),1)&gt;=100000,INDEX($P$1005:$S$1005,1,MATCH(COLUMNS($P$1006:R1006),$P$1006:$S$1006,0))&gt;=100000), " ",IF(INDEX($P$2:$S$1001,MATCH(ROWS($I$2:I532),$I$2:$I$1001,0),MATCH(COLUMNS($P$1006:R1006),$P$1006:$S$1006,0)), HYPERLINK("#",""), HYPERLINK(CONCATENATE("#metadata!", ADDRESS(INDEX($K$2:$K$1001,MATCH(ROWS($I$2:I532),$I$2:$I$1001,0),0), INDEX($P$1004:$S$1004,1,MATCH(COLUMNS($P$1006:R1006),$P$1006:$S$1006,0)))),"Fix")))</f>
        <v>0</v>
      </c>
      <c r="E532" s="3">
        <f>IF(OR(INDEX($J$2:$J$1001,MATCH(ROWS($I$2:I532),$I$2:$I$1001,0),1)&gt;=100000,INDEX($P$1005:$S$1005,1,MATCH(COLUMNS($P$1006:S1006),$P$1006:$S$1006,0))&gt;=100000), " ",IF(INDEX($P$2:$S$1001,MATCH(ROWS($I$2:I532),$I$2:$I$1001,0),MATCH(COLUMNS($P$1006:S1006),$P$1006:$S$1006,0)), HYPERLINK("#",""), HYPERLINK(CONCATENATE("#metadata!", ADDRESS(INDEX($K$2:$K$1001,MATCH(ROWS($I$2:I532),$I$2:$I$1001,0),0), INDEX($P$1004:$S$1004,1,MATCH(COLUMNS($P$1006:S1006),$P$1006:$S$1006,0)))),"Fix")))</f>
        <v>0</v>
      </c>
      <c r="I532">
        <v>0</v>
      </c>
      <c r="J532">
        <v>0</v>
      </c>
      <c r="K532">
        <v>0</v>
      </c>
      <c r="L532">
        <f>IF(M532,TRUE,AND(P532:S532))</f>
        <v>0</v>
      </c>
      <c r="M532">
        <f>COUNTBLANK(metadata!B532:E532)=COLUMNS(metadata!B532:E532)</f>
        <v>0</v>
      </c>
      <c r="N532">
        <v>0</v>
      </c>
      <c r="P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Q532">
        <f>AND(IF(metadata!C532="",FALSE,TRUE),exact(metadata!C532,"other"))</f>
        <v>0</v>
      </c>
      <c r="R532">
        <f>AND(IF(metadata!D532="",FALSE,TRUE),exact(metadata!D532,"metagenome"))</f>
        <v>0</v>
      </c>
      <c r="S532">
        <f>AND(IF(metadata!E532="",FALSE,TRUE),exact(metadata!E532,"256318"))</f>
        <v>0</v>
      </c>
    </row>
    <row r="533" spans="1:19">
      <c r="A533" s="4">
        <f>IF(B533=" "," ",HYPERLINK(CONCATENATE("#metadata!",ADDRESS(INDEX($K$2:$K$1001,MATCH(ROWS($I$2:I533),$I$2:$I$1001,0),0),1)),INDEX($N$2:$N$1001,MATCH(ROWS($I$2:I533),$I$2:$I$1001,0),0)))</f>
        <v>0</v>
      </c>
      <c r="B533" s="3">
        <f>IF(OR(INDEX($J$2:$J$1001,MATCH(ROWS($I$2:I533),$I$2:$I$1001,0),1)&gt;=100000,INDEX($P$1005:$S$1005,1,MATCH(COLUMNS($P$1006:P1006),$P$1006:$S$1006,0))&gt;=100000), " ",IF(INDEX($P$2:$S$1001,MATCH(ROWS($I$2:I533),$I$2:$I$1001,0),MATCH(COLUMNS($P$1006:P1006),$P$1006:$S$1006,0)), HYPERLINK("#",""), HYPERLINK(CONCATENATE("#metadata!", ADDRESS(INDEX($K$2:$K$1001,MATCH(ROWS($I$2:I533),$I$2:$I$1001,0),0), INDEX($P$1004:$S$1004,1,MATCH(COLUMNS($P$1006:P1006),$P$1006:$S$1006,0)))),"Fix")))</f>
        <v>0</v>
      </c>
      <c r="C533" s="3">
        <f>IF(OR(INDEX($J$2:$J$1001,MATCH(ROWS($I$2:I533),$I$2:$I$1001,0),1)&gt;=100000,INDEX($P$1005:$S$1005,1,MATCH(COLUMNS($P$1006:Q1006),$P$1006:$S$1006,0))&gt;=100000), " ",IF(INDEX($P$2:$S$1001,MATCH(ROWS($I$2:I533),$I$2:$I$1001,0),MATCH(COLUMNS($P$1006:Q1006),$P$1006:$S$1006,0)), HYPERLINK("#",""), HYPERLINK(CONCATENATE("#metadata!", ADDRESS(INDEX($K$2:$K$1001,MATCH(ROWS($I$2:I533),$I$2:$I$1001,0),0), INDEX($P$1004:$S$1004,1,MATCH(COLUMNS($P$1006:Q1006),$P$1006:$S$1006,0)))),"Fix")))</f>
        <v>0</v>
      </c>
      <c r="D533" s="3">
        <f>IF(OR(INDEX($J$2:$J$1001,MATCH(ROWS($I$2:I533),$I$2:$I$1001,0),1)&gt;=100000,INDEX($P$1005:$S$1005,1,MATCH(COLUMNS($P$1006:R1006),$P$1006:$S$1006,0))&gt;=100000), " ",IF(INDEX($P$2:$S$1001,MATCH(ROWS($I$2:I533),$I$2:$I$1001,0),MATCH(COLUMNS($P$1006:R1006),$P$1006:$S$1006,0)), HYPERLINK("#",""), HYPERLINK(CONCATENATE("#metadata!", ADDRESS(INDEX($K$2:$K$1001,MATCH(ROWS($I$2:I533),$I$2:$I$1001,0),0), INDEX($P$1004:$S$1004,1,MATCH(COLUMNS($P$1006:R1006),$P$1006:$S$1006,0)))),"Fix")))</f>
        <v>0</v>
      </c>
      <c r="E533" s="3">
        <f>IF(OR(INDEX($J$2:$J$1001,MATCH(ROWS($I$2:I533),$I$2:$I$1001,0),1)&gt;=100000,INDEX($P$1005:$S$1005,1,MATCH(COLUMNS($P$1006:S1006),$P$1006:$S$1006,0))&gt;=100000), " ",IF(INDEX($P$2:$S$1001,MATCH(ROWS($I$2:I533),$I$2:$I$1001,0),MATCH(COLUMNS($P$1006:S1006),$P$1006:$S$1006,0)), HYPERLINK("#",""), HYPERLINK(CONCATENATE("#metadata!", ADDRESS(INDEX($K$2:$K$1001,MATCH(ROWS($I$2:I533),$I$2:$I$1001,0),0), INDEX($P$1004:$S$1004,1,MATCH(COLUMNS($P$1006:S1006),$P$1006:$S$1006,0)))),"Fix")))</f>
        <v>0</v>
      </c>
      <c r="I533">
        <v>0</v>
      </c>
      <c r="J533">
        <v>0</v>
      </c>
      <c r="K533">
        <v>0</v>
      </c>
      <c r="L533">
        <f>IF(M533,TRUE,AND(P533:S533))</f>
        <v>0</v>
      </c>
      <c r="M533">
        <f>COUNTBLANK(metadata!B533:E533)=COLUMNS(metadata!B533:E533)</f>
        <v>0</v>
      </c>
      <c r="N533">
        <v>0</v>
      </c>
      <c r="P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Q533">
        <f>AND(IF(metadata!C533="",FALSE,TRUE),exact(metadata!C533,"other"))</f>
        <v>0</v>
      </c>
      <c r="R533">
        <f>AND(IF(metadata!D533="",FALSE,TRUE),exact(metadata!D533,"metagenome"))</f>
        <v>0</v>
      </c>
      <c r="S533">
        <f>AND(IF(metadata!E533="",FALSE,TRUE),exact(metadata!E533,"256318"))</f>
        <v>0</v>
      </c>
    </row>
    <row r="534" spans="1:19">
      <c r="A534" s="4">
        <f>IF(B534=" "," ",HYPERLINK(CONCATENATE("#metadata!",ADDRESS(INDEX($K$2:$K$1001,MATCH(ROWS($I$2:I534),$I$2:$I$1001,0),0),1)),INDEX($N$2:$N$1001,MATCH(ROWS($I$2:I534),$I$2:$I$1001,0),0)))</f>
        <v>0</v>
      </c>
      <c r="B534" s="3">
        <f>IF(OR(INDEX($J$2:$J$1001,MATCH(ROWS($I$2:I534),$I$2:$I$1001,0),1)&gt;=100000,INDEX($P$1005:$S$1005,1,MATCH(COLUMNS($P$1006:P1006),$P$1006:$S$1006,0))&gt;=100000), " ",IF(INDEX($P$2:$S$1001,MATCH(ROWS($I$2:I534),$I$2:$I$1001,0),MATCH(COLUMNS($P$1006:P1006),$P$1006:$S$1006,0)), HYPERLINK("#",""), HYPERLINK(CONCATENATE("#metadata!", ADDRESS(INDEX($K$2:$K$1001,MATCH(ROWS($I$2:I534),$I$2:$I$1001,0),0), INDEX($P$1004:$S$1004,1,MATCH(COLUMNS($P$1006:P1006),$P$1006:$S$1006,0)))),"Fix")))</f>
        <v>0</v>
      </c>
      <c r="C534" s="3">
        <f>IF(OR(INDEX($J$2:$J$1001,MATCH(ROWS($I$2:I534),$I$2:$I$1001,0),1)&gt;=100000,INDEX($P$1005:$S$1005,1,MATCH(COLUMNS($P$1006:Q1006),$P$1006:$S$1006,0))&gt;=100000), " ",IF(INDEX($P$2:$S$1001,MATCH(ROWS($I$2:I534),$I$2:$I$1001,0),MATCH(COLUMNS($P$1006:Q1006),$P$1006:$S$1006,0)), HYPERLINK("#",""), HYPERLINK(CONCATENATE("#metadata!", ADDRESS(INDEX($K$2:$K$1001,MATCH(ROWS($I$2:I534),$I$2:$I$1001,0),0), INDEX($P$1004:$S$1004,1,MATCH(COLUMNS($P$1006:Q1006),$P$1006:$S$1006,0)))),"Fix")))</f>
        <v>0</v>
      </c>
      <c r="D534" s="3">
        <f>IF(OR(INDEX($J$2:$J$1001,MATCH(ROWS($I$2:I534),$I$2:$I$1001,0),1)&gt;=100000,INDEX($P$1005:$S$1005,1,MATCH(COLUMNS($P$1006:R1006),$P$1006:$S$1006,0))&gt;=100000), " ",IF(INDEX($P$2:$S$1001,MATCH(ROWS($I$2:I534),$I$2:$I$1001,0),MATCH(COLUMNS($P$1006:R1006),$P$1006:$S$1006,0)), HYPERLINK("#",""), HYPERLINK(CONCATENATE("#metadata!", ADDRESS(INDEX($K$2:$K$1001,MATCH(ROWS($I$2:I534),$I$2:$I$1001,0),0), INDEX($P$1004:$S$1004,1,MATCH(COLUMNS($P$1006:R1006),$P$1006:$S$1006,0)))),"Fix")))</f>
        <v>0</v>
      </c>
      <c r="E534" s="3">
        <f>IF(OR(INDEX($J$2:$J$1001,MATCH(ROWS($I$2:I534),$I$2:$I$1001,0),1)&gt;=100000,INDEX($P$1005:$S$1005,1,MATCH(COLUMNS($P$1006:S1006),$P$1006:$S$1006,0))&gt;=100000), " ",IF(INDEX($P$2:$S$1001,MATCH(ROWS($I$2:I534),$I$2:$I$1001,0),MATCH(COLUMNS($P$1006:S1006),$P$1006:$S$1006,0)), HYPERLINK("#",""), HYPERLINK(CONCATENATE("#metadata!", ADDRESS(INDEX($K$2:$K$1001,MATCH(ROWS($I$2:I534),$I$2:$I$1001,0),0), INDEX($P$1004:$S$1004,1,MATCH(COLUMNS($P$1006:S1006),$P$1006:$S$1006,0)))),"Fix")))</f>
        <v>0</v>
      </c>
      <c r="I534">
        <v>0</v>
      </c>
      <c r="J534">
        <v>0</v>
      </c>
      <c r="K534">
        <v>0</v>
      </c>
      <c r="L534">
        <f>IF(M534,TRUE,AND(P534:S534))</f>
        <v>0</v>
      </c>
      <c r="M534">
        <f>COUNTBLANK(metadata!B534:E534)=COLUMNS(metadata!B534:E534)</f>
        <v>0</v>
      </c>
      <c r="N534">
        <v>0</v>
      </c>
      <c r="P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Q534">
        <f>AND(IF(metadata!C534="",FALSE,TRUE),exact(metadata!C534,"other"))</f>
        <v>0</v>
      </c>
      <c r="R534">
        <f>AND(IF(metadata!D534="",FALSE,TRUE),exact(metadata!D534,"metagenome"))</f>
        <v>0</v>
      </c>
      <c r="S534">
        <f>AND(IF(metadata!E534="",FALSE,TRUE),exact(metadata!E534,"256318"))</f>
        <v>0</v>
      </c>
    </row>
    <row r="535" spans="1:19">
      <c r="A535" s="4">
        <f>IF(B535=" "," ",HYPERLINK(CONCATENATE("#metadata!",ADDRESS(INDEX($K$2:$K$1001,MATCH(ROWS($I$2:I535),$I$2:$I$1001,0),0),1)),INDEX($N$2:$N$1001,MATCH(ROWS($I$2:I535),$I$2:$I$1001,0),0)))</f>
        <v>0</v>
      </c>
      <c r="B535" s="3">
        <f>IF(OR(INDEX($J$2:$J$1001,MATCH(ROWS($I$2:I535),$I$2:$I$1001,0),1)&gt;=100000,INDEX($P$1005:$S$1005,1,MATCH(COLUMNS($P$1006:P1006),$P$1006:$S$1006,0))&gt;=100000), " ",IF(INDEX($P$2:$S$1001,MATCH(ROWS($I$2:I535),$I$2:$I$1001,0),MATCH(COLUMNS($P$1006:P1006),$P$1006:$S$1006,0)), HYPERLINK("#",""), HYPERLINK(CONCATENATE("#metadata!", ADDRESS(INDEX($K$2:$K$1001,MATCH(ROWS($I$2:I535),$I$2:$I$1001,0),0), INDEX($P$1004:$S$1004,1,MATCH(COLUMNS($P$1006:P1006),$P$1006:$S$1006,0)))),"Fix")))</f>
        <v>0</v>
      </c>
      <c r="C535" s="3">
        <f>IF(OR(INDEX($J$2:$J$1001,MATCH(ROWS($I$2:I535),$I$2:$I$1001,0),1)&gt;=100000,INDEX($P$1005:$S$1005,1,MATCH(COLUMNS($P$1006:Q1006),$P$1006:$S$1006,0))&gt;=100000), " ",IF(INDEX($P$2:$S$1001,MATCH(ROWS($I$2:I535),$I$2:$I$1001,0),MATCH(COLUMNS($P$1006:Q1006),$P$1006:$S$1006,0)), HYPERLINK("#",""), HYPERLINK(CONCATENATE("#metadata!", ADDRESS(INDEX($K$2:$K$1001,MATCH(ROWS($I$2:I535),$I$2:$I$1001,0),0), INDEX($P$1004:$S$1004,1,MATCH(COLUMNS($P$1006:Q1006),$P$1006:$S$1006,0)))),"Fix")))</f>
        <v>0</v>
      </c>
      <c r="D535" s="3">
        <f>IF(OR(INDEX($J$2:$J$1001,MATCH(ROWS($I$2:I535),$I$2:$I$1001,0),1)&gt;=100000,INDEX($P$1005:$S$1005,1,MATCH(COLUMNS($P$1006:R1006),$P$1006:$S$1006,0))&gt;=100000), " ",IF(INDEX($P$2:$S$1001,MATCH(ROWS($I$2:I535),$I$2:$I$1001,0),MATCH(COLUMNS($P$1006:R1006),$P$1006:$S$1006,0)), HYPERLINK("#",""), HYPERLINK(CONCATENATE("#metadata!", ADDRESS(INDEX($K$2:$K$1001,MATCH(ROWS($I$2:I535),$I$2:$I$1001,0),0), INDEX($P$1004:$S$1004,1,MATCH(COLUMNS($P$1006:R1006),$P$1006:$S$1006,0)))),"Fix")))</f>
        <v>0</v>
      </c>
      <c r="E535" s="3">
        <f>IF(OR(INDEX($J$2:$J$1001,MATCH(ROWS($I$2:I535),$I$2:$I$1001,0),1)&gt;=100000,INDEX($P$1005:$S$1005,1,MATCH(COLUMNS($P$1006:S1006),$P$1006:$S$1006,0))&gt;=100000), " ",IF(INDEX($P$2:$S$1001,MATCH(ROWS($I$2:I535),$I$2:$I$1001,0),MATCH(COLUMNS($P$1006:S1006),$P$1006:$S$1006,0)), HYPERLINK("#",""), HYPERLINK(CONCATENATE("#metadata!", ADDRESS(INDEX($K$2:$K$1001,MATCH(ROWS($I$2:I535),$I$2:$I$1001,0),0), INDEX($P$1004:$S$1004,1,MATCH(COLUMNS($P$1006:S1006),$P$1006:$S$1006,0)))),"Fix")))</f>
        <v>0</v>
      </c>
      <c r="I535">
        <v>0</v>
      </c>
      <c r="J535">
        <v>0</v>
      </c>
      <c r="K535">
        <v>0</v>
      </c>
      <c r="L535">
        <f>IF(M535,TRUE,AND(P535:S535))</f>
        <v>0</v>
      </c>
      <c r="M535">
        <f>COUNTBLANK(metadata!B535:E535)=COLUMNS(metadata!B535:E535)</f>
        <v>0</v>
      </c>
      <c r="N535">
        <v>0</v>
      </c>
      <c r="P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Q535">
        <f>AND(IF(metadata!C535="",FALSE,TRUE),exact(metadata!C535,"other"))</f>
        <v>0</v>
      </c>
      <c r="R535">
        <f>AND(IF(metadata!D535="",FALSE,TRUE),exact(metadata!D535,"metagenome"))</f>
        <v>0</v>
      </c>
      <c r="S535">
        <f>AND(IF(metadata!E535="",FALSE,TRUE),exact(metadata!E535,"256318"))</f>
        <v>0</v>
      </c>
    </row>
    <row r="536" spans="1:19">
      <c r="A536" s="4">
        <f>IF(B536=" "," ",HYPERLINK(CONCATENATE("#metadata!",ADDRESS(INDEX($K$2:$K$1001,MATCH(ROWS($I$2:I536),$I$2:$I$1001,0),0),1)),INDEX($N$2:$N$1001,MATCH(ROWS($I$2:I536),$I$2:$I$1001,0),0)))</f>
        <v>0</v>
      </c>
      <c r="B536" s="3">
        <f>IF(OR(INDEX($J$2:$J$1001,MATCH(ROWS($I$2:I536),$I$2:$I$1001,0),1)&gt;=100000,INDEX($P$1005:$S$1005,1,MATCH(COLUMNS($P$1006:P1006),$P$1006:$S$1006,0))&gt;=100000), " ",IF(INDEX($P$2:$S$1001,MATCH(ROWS($I$2:I536),$I$2:$I$1001,0),MATCH(COLUMNS($P$1006:P1006),$P$1006:$S$1006,0)), HYPERLINK("#",""), HYPERLINK(CONCATENATE("#metadata!", ADDRESS(INDEX($K$2:$K$1001,MATCH(ROWS($I$2:I536),$I$2:$I$1001,0),0), INDEX($P$1004:$S$1004,1,MATCH(COLUMNS($P$1006:P1006),$P$1006:$S$1006,0)))),"Fix")))</f>
        <v>0</v>
      </c>
      <c r="C536" s="3">
        <f>IF(OR(INDEX($J$2:$J$1001,MATCH(ROWS($I$2:I536),$I$2:$I$1001,0),1)&gt;=100000,INDEX($P$1005:$S$1005,1,MATCH(COLUMNS($P$1006:Q1006),$P$1006:$S$1006,0))&gt;=100000), " ",IF(INDEX($P$2:$S$1001,MATCH(ROWS($I$2:I536),$I$2:$I$1001,0),MATCH(COLUMNS($P$1006:Q1006),$P$1006:$S$1006,0)), HYPERLINK("#",""), HYPERLINK(CONCATENATE("#metadata!", ADDRESS(INDEX($K$2:$K$1001,MATCH(ROWS($I$2:I536),$I$2:$I$1001,0),0), INDEX($P$1004:$S$1004,1,MATCH(COLUMNS($P$1006:Q1006),$P$1006:$S$1006,0)))),"Fix")))</f>
        <v>0</v>
      </c>
      <c r="D536" s="3">
        <f>IF(OR(INDEX($J$2:$J$1001,MATCH(ROWS($I$2:I536),$I$2:$I$1001,0),1)&gt;=100000,INDEX($P$1005:$S$1005,1,MATCH(COLUMNS($P$1006:R1006),$P$1006:$S$1006,0))&gt;=100000), " ",IF(INDEX($P$2:$S$1001,MATCH(ROWS($I$2:I536),$I$2:$I$1001,0),MATCH(COLUMNS($P$1006:R1006),$P$1006:$S$1006,0)), HYPERLINK("#",""), HYPERLINK(CONCATENATE("#metadata!", ADDRESS(INDEX($K$2:$K$1001,MATCH(ROWS($I$2:I536),$I$2:$I$1001,0),0), INDEX($P$1004:$S$1004,1,MATCH(COLUMNS($P$1006:R1006),$P$1006:$S$1006,0)))),"Fix")))</f>
        <v>0</v>
      </c>
      <c r="E536" s="3">
        <f>IF(OR(INDEX($J$2:$J$1001,MATCH(ROWS($I$2:I536),$I$2:$I$1001,0),1)&gt;=100000,INDEX($P$1005:$S$1005,1,MATCH(COLUMNS($P$1006:S1006),$P$1006:$S$1006,0))&gt;=100000), " ",IF(INDEX($P$2:$S$1001,MATCH(ROWS($I$2:I536),$I$2:$I$1001,0),MATCH(COLUMNS($P$1006:S1006),$P$1006:$S$1006,0)), HYPERLINK("#",""), HYPERLINK(CONCATENATE("#metadata!", ADDRESS(INDEX($K$2:$K$1001,MATCH(ROWS($I$2:I536),$I$2:$I$1001,0),0), INDEX($P$1004:$S$1004,1,MATCH(COLUMNS($P$1006:S1006),$P$1006:$S$1006,0)))),"Fix")))</f>
        <v>0</v>
      </c>
      <c r="I536">
        <v>0</v>
      </c>
      <c r="J536">
        <v>0</v>
      </c>
      <c r="K536">
        <v>0</v>
      </c>
      <c r="L536">
        <f>IF(M536,TRUE,AND(P536:S536))</f>
        <v>0</v>
      </c>
      <c r="M536">
        <f>COUNTBLANK(metadata!B536:E536)=COLUMNS(metadata!B536:E536)</f>
        <v>0</v>
      </c>
      <c r="N536">
        <v>0</v>
      </c>
      <c r="P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Q536">
        <f>AND(IF(metadata!C536="",FALSE,TRUE),exact(metadata!C536,"other"))</f>
        <v>0</v>
      </c>
      <c r="R536">
        <f>AND(IF(metadata!D536="",FALSE,TRUE),exact(metadata!D536,"metagenome"))</f>
        <v>0</v>
      </c>
      <c r="S536">
        <f>AND(IF(metadata!E536="",FALSE,TRUE),exact(metadata!E536,"256318"))</f>
        <v>0</v>
      </c>
    </row>
    <row r="537" spans="1:19">
      <c r="A537" s="4">
        <f>IF(B537=" "," ",HYPERLINK(CONCATENATE("#metadata!",ADDRESS(INDEX($K$2:$K$1001,MATCH(ROWS($I$2:I537),$I$2:$I$1001,0),0),1)),INDEX($N$2:$N$1001,MATCH(ROWS($I$2:I537),$I$2:$I$1001,0),0)))</f>
        <v>0</v>
      </c>
      <c r="B537" s="3">
        <f>IF(OR(INDEX($J$2:$J$1001,MATCH(ROWS($I$2:I537),$I$2:$I$1001,0),1)&gt;=100000,INDEX($P$1005:$S$1005,1,MATCH(COLUMNS($P$1006:P1006),$P$1006:$S$1006,0))&gt;=100000), " ",IF(INDEX($P$2:$S$1001,MATCH(ROWS($I$2:I537),$I$2:$I$1001,0),MATCH(COLUMNS($P$1006:P1006),$P$1006:$S$1006,0)), HYPERLINK("#",""), HYPERLINK(CONCATENATE("#metadata!", ADDRESS(INDEX($K$2:$K$1001,MATCH(ROWS($I$2:I537),$I$2:$I$1001,0),0), INDEX($P$1004:$S$1004,1,MATCH(COLUMNS($P$1006:P1006),$P$1006:$S$1006,0)))),"Fix")))</f>
        <v>0</v>
      </c>
      <c r="C537" s="3">
        <f>IF(OR(INDEX($J$2:$J$1001,MATCH(ROWS($I$2:I537),$I$2:$I$1001,0),1)&gt;=100000,INDEX($P$1005:$S$1005,1,MATCH(COLUMNS($P$1006:Q1006),$P$1006:$S$1006,0))&gt;=100000), " ",IF(INDEX($P$2:$S$1001,MATCH(ROWS($I$2:I537),$I$2:$I$1001,0),MATCH(COLUMNS($P$1006:Q1006),$P$1006:$S$1006,0)), HYPERLINK("#",""), HYPERLINK(CONCATENATE("#metadata!", ADDRESS(INDEX($K$2:$K$1001,MATCH(ROWS($I$2:I537),$I$2:$I$1001,0),0), INDEX($P$1004:$S$1004,1,MATCH(COLUMNS($P$1006:Q1006),$P$1006:$S$1006,0)))),"Fix")))</f>
        <v>0</v>
      </c>
      <c r="D537" s="3">
        <f>IF(OR(INDEX($J$2:$J$1001,MATCH(ROWS($I$2:I537),$I$2:$I$1001,0),1)&gt;=100000,INDEX($P$1005:$S$1005,1,MATCH(COLUMNS($P$1006:R1006),$P$1006:$S$1006,0))&gt;=100000), " ",IF(INDEX($P$2:$S$1001,MATCH(ROWS($I$2:I537),$I$2:$I$1001,0),MATCH(COLUMNS($P$1006:R1006),$P$1006:$S$1006,0)), HYPERLINK("#",""), HYPERLINK(CONCATENATE("#metadata!", ADDRESS(INDEX($K$2:$K$1001,MATCH(ROWS($I$2:I537),$I$2:$I$1001,0),0), INDEX($P$1004:$S$1004,1,MATCH(COLUMNS($P$1006:R1006),$P$1006:$S$1006,0)))),"Fix")))</f>
        <v>0</v>
      </c>
      <c r="E537" s="3">
        <f>IF(OR(INDEX($J$2:$J$1001,MATCH(ROWS($I$2:I537),$I$2:$I$1001,0),1)&gt;=100000,INDEX($P$1005:$S$1005,1,MATCH(COLUMNS($P$1006:S1006),$P$1006:$S$1006,0))&gt;=100000), " ",IF(INDEX($P$2:$S$1001,MATCH(ROWS($I$2:I537),$I$2:$I$1001,0),MATCH(COLUMNS($P$1006:S1006),$P$1006:$S$1006,0)), HYPERLINK("#",""), HYPERLINK(CONCATENATE("#metadata!", ADDRESS(INDEX($K$2:$K$1001,MATCH(ROWS($I$2:I537),$I$2:$I$1001,0),0), INDEX($P$1004:$S$1004,1,MATCH(COLUMNS($P$1006:S1006),$P$1006:$S$1006,0)))),"Fix")))</f>
        <v>0</v>
      </c>
      <c r="I537">
        <v>0</v>
      </c>
      <c r="J537">
        <v>0</v>
      </c>
      <c r="K537">
        <v>0</v>
      </c>
      <c r="L537">
        <f>IF(M537,TRUE,AND(P537:S537))</f>
        <v>0</v>
      </c>
      <c r="M537">
        <f>COUNTBLANK(metadata!B537:E537)=COLUMNS(metadata!B537:E537)</f>
        <v>0</v>
      </c>
      <c r="N537">
        <v>0</v>
      </c>
      <c r="P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Q537">
        <f>AND(IF(metadata!C537="",FALSE,TRUE),exact(metadata!C537,"other"))</f>
        <v>0</v>
      </c>
      <c r="R537">
        <f>AND(IF(metadata!D537="",FALSE,TRUE),exact(metadata!D537,"metagenome"))</f>
        <v>0</v>
      </c>
      <c r="S537">
        <f>AND(IF(metadata!E537="",FALSE,TRUE),exact(metadata!E537,"256318"))</f>
        <v>0</v>
      </c>
    </row>
    <row r="538" spans="1:19">
      <c r="A538" s="4">
        <f>IF(B538=" "," ",HYPERLINK(CONCATENATE("#metadata!",ADDRESS(INDEX($K$2:$K$1001,MATCH(ROWS($I$2:I538),$I$2:$I$1001,0),0),1)),INDEX($N$2:$N$1001,MATCH(ROWS($I$2:I538),$I$2:$I$1001,0),0)))</f>
        <v>0</v>
      </c>
      <c r="B538" s="3">
        <f>IF(OR(INDEX($J$2:$J$1001,MATCH(ROWS($I$2:I538),$I$2:$I$1001,0),1)&gt;=100000,INDEX($P$1005:$S$1005,1,MATCH(COLUMNS($P$1006:P1006),$P$1006:$S$1006,0))&gt;=100000), " ",IF(INDEX($P$2:$S$1001,MATCH(ROWS($I$2:I538),$I$2:$I$1001,0),MATCH(COLUMNS($P$1006:P1006),$P$1006:$S$1006,0)), HYPERLINK("#",""), HYPERLINK(CONCATENATE("#metadata!", ADDRESS(INDEX($K$2:$K$1001,MATCH(ROWS($I$2:I538),$I$2:$I$1001,0),0), INDEX($P$1004:$S$1004,1,MATCH(COLUMNS($P$1006:P1006),$P$1006:$S$1006,0)))),"Fix")))</f>
        <v>0</v>
      </c>
      <c r="C538" s="3">
        <f>IF(OR(INDEX($J$2:$J$1001,MATCH(ROWS($I$2:I538),$I$2:$I$1001,0),1)&gt;=100000,INDEX($P$1005:$S$1005,1,MATCH(COLUMNS($P$1006:Q1006),$P$1006:$S$1006,0))&gt;=100000), " ",IF(INDEX($P$2:$S$1001,MATCH(ROWS($I$2:I538),$I$2:$I$1001,0),MATCH(COLUMNS($P$1006:Q1006),$P$1006:$S$1006,0)), HYPERLINK("#",""), HYPERLINK(CONCATENATE("#metadata!", ADDRESS(INDEX($K$2:$K$1001,MATCH(ROWS($I$2:I538),$I$2:$I$1001,0),0), INDEX($P$1004:$S$1004,1,MATCH(COLUMNS($P$1006:Q1006),$P$1006:$S$1006,0)))),"Fix")))</f>
        <v>0</v>
      </c>
      <c r="D538" s="3">
        <f>IF(OR(INDEX($J$2:$J$1001,MATCH(ROWS($I$2:I538),$I$2:$I$1001,0),1)&gt;=100000,INDEX($P$1005:$S$1005,1,MATCH(COLUMNS($P$1006:R1006),$P$1006:$S$1006,0))&gt;=100000), " ",IF(INDEX($P$2:$S$1001,MATCH(ROWS($I$2:I538),$I$2:$I$1001,0),MATCH(COLUMNS($P$1006:R1006),$P$1006:$S$1006,0)), HYPERLINK("#",""), HYPERLINK(CONCATENATE("#metadata!", ADDRESS(INDEX($K$2:$K$1001,MATCH(ROWS($I$2:I538),$I$2:$I$1001,0),0), INDEX($P$1004:$S$1004,1,MATCH(COLUMNS($P$1006:R1006),$P$1006:$S$1006,0)))),"Fix")))</f>
        <v>0</v>
      </c>
      <c r="E538" s="3">
        <f>IF(OR(INDEX($J$2:$J$1001,MATCH(ROWS($I$2:I538),$I$2:$I$1001,0),1)&gt;=100000,INDEX($P$1005:$S$1005,1,MATCH(COLUMNS($P$1006:S1006),$P$1006:$S$1006,0))&gt;=100000), " ",IF(INDEX($P$2:$S$1001,MATCH(ROWS($I$2:I538),$I$2:$I$1001,0),MATCH(COLUMNS($P$1006:S1006),$P$1006:$S$1006,0)), HYPERLINK("#",""), HYPERLINK(CONCATENATE("#metadata!", ADDRESS(INDEX($K$2:$K$1001,MATCH(ROWS($I$2:I538),$I$2:$I$1001,0),0), INDEX($P$1004:$S$1004,1,MATCH(COLUMNS($P$1006:S1006),$P$1006:$S$1006,0)))),"Fix")))</f>
        <v>0</v>
      </c>
      <c r="I538">
        <v>0</v>
      </c>
      <c r="J538">
        <v>0</v>
      </c>
      <c r="K538">
        <v>0</v>
      </c>
      <c r="L538">
        <f>IF(M538,TRUE,AND(P538:S538))</f>
        <v>0</v>
      </c>
      <c r="M538">
        <f>COUNTBLANK(metadata!B538:E538)=COLUMNS(metadata!B538:E538)</f>
        <v>0</v>
      </c>
      <c r="N538">
        <v>0</v>
      </c>
      <c r="P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Q538">
        <f>AND(IF(metadata!C538="",FALSE,TRUE),exact(metadata!C538,"other"))</f>
        <v>0</v>
      </c>
      <c r="R538">
        <f>AND(IF(metadata!D538="",FALSE,TRUE),exact(metadata!D538,"metagenome"))</f>
        <v>0</v>
      </c>
      <c r="S538">
        <f>AND(IF(metadata!E538="",FALSE,TRUE),exact(metadata!E538,"256318"))</f>
        <v>0</v>
      </c>
    </row>
    <row r="539" spans="1:19">
      <c r="A539" s="4">
        <f>IF(B539=" "," ",HYPERLINK(CONCATENATE("#metadata!",ADDRESS(INDEX($K$2:$K$1001,MATCH(ROWS($I$2:I539),$I$2:$I$1001,0),0),1)),INDEX($N$2:$N$1001,MATCH(ROWS($I$2:I539),$I$2:$I$1001,0),0)))</f>
        <v>0</v>
      </c>
      <c r="B539" s="3">
        <f>IF(OR(INDEX($J$2:$J$1001,MATCH(ROWS($I$2:I539),$I$2:$I$1001,0),1)&gt;=100000,INDEX($P$1005:$S$1005,1,MATCH(COLUMNS($P$1006:P1006),$P$1006:$S$1006,0))&gt;=100000), " ",IF(INDEX($P$2:$S$1001,MATCH(ROWS($I$2:I539),$I$2:$I$1001,0),MATCH(COLUMNS($P$1006:P1006),$P$1006:$S$1006,0)), HYPERLINK("#",""), HYPERLINK(CONCATENATE("#metadata!", ADDRESS(INDEX($K$2:$K$1001,MATCH(ROWS($I$2:I539),$I$2:$I$1001,0),0), INDEX($P$1004:$S$1004,1,MATCH(COLUMNS($P$1006:P1006),$P$1006:$S$1006,0)))),"Fix")))</f>
        <v>0</v>
      </c>
      <c r="C539" s="3">
        <f>IF(OR(INDEX($J$2:$J$1001,MATCH(ROWS($I$2:I539),$I$2:$I$1001,0),1)&gt;=100000,INDEX($P$1005:$S$1005,1,MATCH(COLUMNS($P$1006:Q1006),$P$1006:$S$1006,0))&gt;=100000), " ",IF(INDEX($P$2:$S$1001,MATCH(ROWS($I$2:I539),$I$2:$I$1001,0),MATCH(COLUMNS($P$1006:Q1006),$P$1006:$S$1006,0)), HYPERLINK("#",""), HYPERLINK(CONCATENATE("#metadata!", ADDRESS(INDEX($K$2:$K$1001,MATCH(ROWS($I$2:I539),$I$2:$I$1001,0),0), INDEX($P$1004:$S$1004,1,MATCH(COLUMNS($P$1006:Q1006),$P$1006:$S$1006,0)))),"Fix")))</f>
        <v>0</v>
      </c>
      <c r="D539" s="3">
        <f>IF(OR(INDEX($J$2:$J$1001,MATCH(ROWS($I$2:I539),$I$2:$I$1001,0),1)&gt;=100000,INDEX($P$1005:$S$1005,1,MATCH(COLUMNS($P$1006:R1006),$P$1006:$S$1006,0))&gt;=100000), " ",IF(INDEX($P$2:$S$1001,MATCH(ROWS($I$2:I539),$I$2:$I$1001,0),MATCH(COLUMNS($P$1006:R1006),$P$1006:$S$1006,0)), HYPERLINK("#",""), HYPERLINK(CONCATENATE("#metadata!", ADDRESS(INDEX($K$2:$K$1001,MATCH(ROWS($I$2:I539),$I$2:$I$1001,0),0), INDEX($P$1004:$S$1004,1,MATCH(COLUMNS($P$1006:R1006),$P$1006:$S$1006,0)))),"Fix")))</f>
        <v>0</v>
      </c>
      <c r="E539" s="3">
        <f>IF(OR(INDEX($J$2:$J$1001,MATCH(ROWS($I$2:I539),$I$2:$I$1001,0),1)&gt;=100000,INDEX($P$1005:$S$1005,1,MATCH(COLUMNS($P$1006:S1006),$P$1006:$S$1006,0))&gt;=100000), " ",IF(INDEX($P$2:$S$1001,MATCH(ROWS($I$2:I539),$I$2:$I$1001,0),MATCH(COLUMNS($P$1006:S1006),$P$1006:$S$1006,0)), HYPERLINK("#",""), HYPERLINK(CONCATENATE("#metadata!", ADDRESS(INDEX($K$2:$K$1001,MATCH(ROWS($I$2:I539),$I$2:$I$1001,0),0), INDEX($P$1004:$S$1004,1,MATCH(COLUMNS($P$1006:S1006),$P$1006:$S$1006,0)))),"Fix")))</f>
        <v>0</v>
      </c>
      <c r="I539">
        <v>0</v>
      </c>
      <c r="J539">
        <v>0</v>
      </c>
      <c r="K539">
        <v>0</v>
      </c>
      <c r="L539">
        <f>IF(M539,TRUE,AND(P539:S539))</f>
        <v>0</v>
      </c>
      <c r="M539">
        <f>COUNTBLANK(metadata!B539:E539)=COLUMNS(metadata!B539:E539)</f>
        <v>0</v>
      </c>
      <c r="N539">
        <v>0</v>
      </c>
      <c r="P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Q539">
        <f>AND(IF(metadata!C539="",FALSE,TRUE),exact(metadata!C539,"other"))</f>
        <v>0</v>
      </c>
      <c r="R539">
        <f>AND(IF(metadata!D539="",FALSE,TRUE),exact(metadata!D539,"metagenome"))</f>
        <v>0</v>
      </c>
      <c r="S539">
        <f>AND(IF(metadata!E539="",FALSE,TRUE),exact(metadata!E539,"256318"))</f>
        <v>0</v>
      </c>
    </row>
    <row r="540" spans="1:19">
      <c r="A540" s="4">
        <f>IF(B540=" "," ",HYPERLINK(CONCATENATE("#metadata!",ADDRESS(INDEX($K$2:$K$1001,MATCH(ROWS($I$2:I540),$I$2:$I$1001,0),0),1)),INDEX($N$2:$N$1001,MATCH(ROWS($I$2:I540),$I$2:$I$1001,0),0)))</f>
        <v>0</v>
      </c>
      <c r="B540" s="3">
        <f>IF(OR(INDEX($J$2:$J$1001,MATCH(ROWS($I$2:I540),$I$2:$I$1001,0),1)&gt;=100000,INDEX($P$1005:$S$1005,1,MATCH(COLUMNS($P$1006:P1006),$P$1006:$S$1006,0))&gt;=100000), " ",IF(INDEX($P$2:$S$1001,MATCH(ROWS($I$2:I540),$I$2:$I$1001,0),MATCH(COLUMNS($P$1006:P1006),$P$1006:$S$1006,0)), HYPERLINK("#",""), HYPERLINK(CONCATENATE("#metadata!", ADDRESS(INDEX($K$2:$K$1001,MATCH(ROWS($I$2:I540),$I$2:$I$1001,0),0), INDEX($P$1004:$S$1004,1,MATCH(COLUMNS($P$1006:P1006),$P$1006:$S$1006,0)))),"Fix")))</f>
        <v>0</v>
      </c>
      <c r="C540" s="3">
        <f>IF(OR(INDEX($J$2:$J$1001,MATCH(ROWS($I$2:I540),$I$2:$I$1001,0),1)&gt;=100000,INDEX($P$1005:$S$1005,1,MATCH(COLUMNS($P$1006:Q1006),$P$1006:$S$1006,0))&gt;=100000), " ",IF(INDEX($P$2:$S$1001,MATCH(ROWS($I$2:I540),$I$2:$I$1001,0),MATCH(COLUMNS($P$1006:Q1006),$P$1006:$S$1006,0)), HYPERLINK("#",""), HYPERLINK(CONCATENATE("#metadata!", ADDRESS(INDEX($K$2:$K$1001,MATCH(ROWS($I$2:I540),$I$2:$I$1001,0),0), INDEX($P$1004:$S$1004,1,MATCH(COLUMNS($P$1006:Q1006),$P$1006:$S$1006,0)))),"Fix")))</f>
        <v>0</v>
      </c>
      <c r="D540" s="3">
        <f>IF(OR(INDEX($J$2:$J$1001,MATCH(ROWS($I$2:I540),$I$2:$I$1001,0),1)&gt;=100000,INDEX($P$1005:$S$1005,1,MATCH(COLUMNS($P$1006:R1006),$P$1006:$S$1006,0))&gt;=100000), " ",IF(INDEX($P$2:$S$1001,MATCH(ROWS($I$2:I540),$I$2:$I$1001,0),MATCH(COLUMNS($P$1006:R1006),$P$1006:$S$1006,0)), HYPERLINK("#",""), HYPERLINK(CONCATENATE("#metadata!", ADDRESS(INDEX($K$2:$K$1001,MATCH(ROWS($I$2:I540),$I$2:$I$1001,0),0), INDEX($P$1004:$S$1004,1,MATCH(COLUMNS($P$1006:R1006),$P$1006:$S$1006,0)))),"Fix")))</f>
        <v>0</v>
      </c>
      <c r="E540" s="3">
        <f>IF(OR(INDEX($J$2:$J$1001,MATCH(ROWS($I$2:I540),$I$2:$I$1001,0),1)&gt;=100000,INDEX($P$1005:$S$1005,1,MATCH(COLUMNS($P$1006:S1006),$P$1006:$S$1006,0))&gt;=100000), " ",IF(INDEX($P$2:$S$1001,MATCH(ROWS($I$2:I540),$I$2:$I$1001,0),MATCH(COLUMNS($P$1006:S1006),$P$1006:$S$1006,0)), HYPERLINK("#",""), HYPERLINK(CONCATENATE("#metadata!", ADDRESS(INDEX($K$2:$K$1001,MATCH(ROWS($I$2:I540),$I$2:$I$1001,0),0), INDEX($P$1004:$S$1004,1,MATCH(COLUMNS($P$1006:S1006),$P$1006:$S$1006,0)))),"Fix")))</f>
        <v>0</v>
      </c>
      <c r="I540">
        <v>0</v>
      </c>
      <c r="J540">
        <v>0</v>
      </c>
      <c r="K540">
        <v>0</v>
      </c>
      <c r="L540">
        <f>IF(M540,TRUE,AND(P540:S540))</f>
        <v>0</v>
      </c>
      <c r="M540">
        <f>COUNTBLANK(metadata!B540:E540)=COLUMNS(metadata!B540:E540)</f>
        <v>0</v>
      </c>
      <c r="N540">
        <v>0</v>
      </c>
      <c r="P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Q540">
        <f>AND(IF(metadata!C540="",FALSE,TRUE),exact(metadata!C540,"other"))</f>
        <v>0</v>
      </c>
      <c r="R540">
        <f>AND(IF(metadata!D540="",FALSE,TRUE),exact(metadata!D540,"metagenome"))</f>
        <v>0</v>
      </c>
      <c r="S540">
        <f>AND(IF(metadata!E540="",FALSE,TRUE),exact(metadata!E540,"256318"))</f>
        <v>0</v>
      </c>
    </row>
    <row r="541" spans="1:19">
      <c r="A541" s="4">
        <f>IF(B541=" "," ",HYPERLINK(CONCATENATE("#metadata!",ADDRESS(INDEX($K$2:$K$1001,MATCH(ROWS($I$2:I541),$I$2:$I$1001,0),0),1)),INDEX($N$2:$N$1001,MATCH(ROWS($I$2:I541),$I$2:$I$1001,0),0)))</f>
        <v>0</v>
      </c>
      <c r="B541" s="3">
        <f>IF(OR(INDEX($J$2:$J$1001,MATCH(ROWS($I$2:I541),$I$2:$I$1001,0),1)&gt;=100000,INDEX($P$1005:$S$1005,1,MATCH(COLUMNS($P$1006:P1006),$P$1006:$S$1006,0))&gt;=100000), " ",IF(INDEX($P$2:$S$1001,MATCH(ROWS($I$2:I541),$I$2:$I$1001,0),MATCH(COLUMNS($P$1006:P1006),$P$1006:$S$1006,0)), HYPERLINK("#",""), HYPERLINK(CONCATENATE("#metadata!", ADDRESS(INDEX($K$2:$K$1001,MATCH(ROWS($I$2:I541),$I$2:$I$1001,0),0), INDEX($P$1004:$S$1004,1,MATCH(COLUMNS($P$1006:P1006),$P$1006:$S$1006,0)))),"Fix")))</f>
        <v>0</v>
      </c>
      <c r="C541" s="3">
        <f>IF(OR(INDEX($J$2:$J$1001,MATCH(ROWS($I$2:I541),$I$2:$I$1001,0),1)&gt;=100000,INDEX($P$1005:$S$1005,1,MATCH(COLUMNS($P$1006:Q1006),$P$1006:$S$1006,0))&gt;=100000), " ",IF(INDEX($P$2:$S$1001,MATCH(ROWS($I$2:I541),$I$2:$I$1001,0),MATCH(COLUMNS($P$1006:Q1006),$P$1006:$S$1006,0)), HYPERLINK("#",""), HYPERLINK(CONCATENATE("#metadata!", ADDRESS(INDEX($K$2:$K$1001,MATCH(ROWS($I$2:I541),$I$2:$I$1001,0),0), INDEX($P$1004:$S$1004,1,MATCH(COLUMNS($P$1006:Q1006),$P$1006:$S$1006,0)))),"Fix")))</f>
        <v>0</v>
      </c>
      <c r="D541" s="3">
        <f>IF(OR(INDEX($J$2:$J$1001,MATCH(ROWS($I$2:I541),$I$2:$I$1001,0),1)&gt;=100000,INDEX($P$1005:$S$1005,1,MATCH(COLUMNS($P$1006:R1006),$P$1006:$S$1006,0))&gt;=100000), " ",IF(INDEX($P$2:$S$1001,MATCH(ROWS($I$2:I541),$I$2:$I$1001,0),MATCH(COLUMNS($P$1006:R1006),$P$1006:$S$1006,0)), HYPERLINK("#",""), HYPERLINK(CONCATENATE("#metadata!", ADDRESS(INDEX($K$2:$K$1001,MATCH(ROWS($I$2:I541),$I$2:$I$1001,0),0), INDEX($P$1004:$S$1004,1,MATCH(COLUMNS($P$1006:R1006),$P$1006:$S$1006,0)))),"Fix")))</f>
        <v>0</v>
      </c>
      <c r="E541" s="3">
        <f>IF(OR(INDEX($J$2:$J$1001,MATCH(ROWS($I$2:I541),$I$2:$I$1001,0),1)&gt;=100000,INDEX($P$1005:$S$1005,1,MATCH(COLUMNS($P$1006:S1006),$P$1006:$S$1006,0))&gt;=100000), " ",IF(INDEX($P$2:$S$1001,MATCH(ROWS($I$2:I541),$I$2:$I$1001,0),MATCH(COLUMNS($P$1006:S1006),$P$1006:$S$1006,0)), HYPERLINK("#",""), HYPERLINK(CONCATENATE("#metadata!", ADDRESS(INDEX($K$2:$K$1001,MATCH(ROWS($I$2:I541),$I$2:$I$1001,0),0), INDEX($P$1004:$S$1004,1,MATCH(COLUMNS($P$1006:S1006),$P$1006:$S$1006,0)))),"Fix")))</f>
        <v>0</v>
      </c>
      <c r="I541">
        <v>0</v>
      </c>
      <c r="J541">
        <v>0</v>
      </c>
      <c r="K541">
        <v>0</v>
      </c>
      <c r="L541">
        <f>IF(M541,TRUE,AND(P541:S541))</f>
        <v>0</v>
      </c>
      <c r="M541">
        <f>COUNTBLANK(metadata!B541:E541)=COLUMNS(metadata!B541:E541)</f>
        <v>0</v>
      </c>
      <c r="N541">
        <v>0</v>
      </c>
      <c r="P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Q541">
        <f>AND(IF(metadata!C541="",FALSE,TRUE),exact(metadata!C541,"other"))</f>
        <v>0</v>
      </c>
      <c r="R541">
        <f>AND(IF(metadata!D541="",FALSE,TRUE),exact(metadata!D541,"metagenome"))</f>
        <v>0</v>
      </c>
      <c r="S541">
        <f>AND(IF(metadata!E541="",FALSE,TRUE),exact(metadata!E541,"256318"))</f>
        <v>0</v>
      </c>
    </row>
    <row r="542" spans="1:19">
      <c r="A542" s="4">
        <f>IF(B542=" "," ",HYPERLINK(CONCATENATE("#metadata!",ADDRESS(INDEX($K$2:$K$1001,MATCH(ROWS($I$2:I542),$I$2:$I$1001,0),0),1)),INDEX($N$2:$N$1001,MATCH(ROWS($I$2:I542),$I$2:$I$1001,0),0)))</f>
        <v>0</v>
      </c>
      <c r="B542" s="3">
        <f>IF(OR(INDEX($J$2:$J$1001,MATCH(ROWS($I$2:I542),$I$2:$I$1001,0),1)&gt;=100000,INDEX($P$1005:$S$1005,1,MATCH(COLUMNS($P$1006:P1006),$P$1006:$S$1006,0))&gt;=100000), " ",IF(INDEX($P$2:$S$1001,MATCH(ROWS($I$2:I542),$I$2:$I$1001,0),MATCH(COLUMNS($P$1006:P1006),$P$1006:$S$1006,0)), HYPERLINK("#",""), HYPERLINK(CONCATENATE("#metadata!", ADDRESS(INDEX($K$2:$K$1001,MATCH(ROWS($I$2:I542),$I$2:$I$1001,0),0), INDEX($P$1004:$S$1004,1,MATCH(COLUMNS($P$1006:P1006),$P$1006:$S$1006,0)))),"Fix")))</f>
        <v>0</v>
      </c>
      <c r="C542" s="3">
        <f>IF(OR(INDEX($J$2:$J$1001,MATCH(ROWS($I$2:I542),$I$2:$I$1001,0),1)&gt;=100000,INDEX($P$1005:$S$1005,1,MATCH(COLUMNS($P$1006:Q1006),$P$1006:$S$1006,0))&gt;=100000), " ",IF(INDEX($P$2:$S$1001,MATCH(ROWS($I$2:I542),$I$2:$I$1001,0),MATCH(COLUMNS($P$1006:Q1006),$P$1006:$S$1006,0)), HYPERLINK("#",""), HYPERLINK(CONCATENATE("#metadata!", ADDRESS(INDEX($K$2:$K$1001,MATCH(ROWS($I$2:I542),$I$2:$I$1001,0),0), INDEX($P$1004:$S$1004,1,MATCH(COLUMNS($P$1006:Q1006),$P$1006:$S$1006,0)))),"Fix")))</f>
        <v>0</v>
      </c>
      <c r="D542" s="3">
        <f>IF(OR(INDEX($J$2:$J$1001,MATCH(ROWS($I$2:I542),$I$2:$I$1001,0),1)&gt;=100000,INDEX($P$1005:$S$1005,1,MATCH(COLUMNS($P$1006:R1006),$P$1006:$S$1006,0))&gt;=100000), " ",IF(INDEX($P$2:$S$1001,MATCH(ROWS($I$2:I542),$I$2:$I$1001,0),MATCH(COLUMNS($P$1006:R1006),$P$1006:$S$1006,0)), HYPERLINK("#",""), HYPERLINK(CONCATENATE("#metadata!", ADDRESS(INDEX($K$2:$K$1001,MATCH(ROWS($I$2:I542),$I$2:$I$1001,0),0), INDEX($P$1004:$S$1004,1,MATCH(COLUMNS($P$1006:R1006),$P$1006:$S$1006,0)))),"Fix")))</f>
        <v>0</v>
      </c>
      <c r="E542" s="3">
        <f>IF(OR(INDEX($J$2:$J$1001,MATCH(ROWS($I$2:I542),$I$2:$I$1001,0),1)&gt;=100000,INDEX($P$1005:$S$1005,1,MATCH(COLUMNS($P$1006:S1006),$P$1006:$S$1006,0))&gt;=100000), " ",IF(INDEX($P$2:$S$1001,MATCH(ROWS($I$2:I542),$I$2:$I$1001,0),MATCH(COLUMNS($P$1006:S1006),$P$1006:$S$1006,0)), HYPERLINK("#",""), HYPERLINK(CONCATENATE("#metadata!", ADDRESS(INDEX($K$2:$K$1001,MATCH(ROWS($I$2:I542),$I$2:$I$1001,0),0), INDEX($P$1004:$S$1004,1,MATCH(COLUMNS($P$1006:S1006),$P$1006:$S$1006,0)))),"Fix")))</f>
        <v>0</v>
      </c>
      <c r="I542">
        <v>0</v>
      </c>
      <c r="J542">
        <v>0</v>
      </c>
      <c r="K542">
        <v>0</v>
      </c>
      <c r="L542">
        <f>IF(M542,TRUE,AND(P542:S542))</f>
        <v>0</v>
      </c>
      <c r="M542">
        <f>COUNTBLANK(metadata!B542:E542)=COLUMNS(metadata!B542:E542)</f>
        <v>0</v>
      </c>
      <c r="N542">
        <v>0</v>
      </c>
      <c r="P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Q542">
        <f>AND(IF(metadata!C542="",FALSE,TRUE),exact(metadata!C542,"other"))</f>
        <v>0</v>
      </c>
      <c r="R542">
        <f>AND(IF(metadata!D542="",FALSE,TRUE),exact(metadata!D542,"metagenome"))</f>
        <v>0</v>
      </c>
      <c r="S542">
        <f>AND(IF(metadata!E542="",FALSE,TRUE),exact(metadata!E542,"256318"))</f>
        <v>0</v>
      </c>
    </row>
    <row r="543" spans="1:19">
      <c r="A543" s="4">
        <f>IF(B543=" "," ",HYPERLINK(CONCATENATE("#metadata!",ADDRESS(INDEX($K$2:$K$1001,MATCH(ROWS($I$2:I543),$I$2:$I$1001,0),0),1)),INDEX($N$2:$N$1001,MATCH(ROWS($I$2:I543),$I$2:$I$1001,0),0)))</f>
        <v>0</v>
      </c>
      <c r="B543" s="3">
        <f>IF(OR(INDEX($J$2:$J$1001,MATCH(ROWS($I$2:I543),$I$2:$I$1001,0),1)&gt;=100000,INDEX($P$1005:$S$1005,1,MATCH(COLUMNS($P$1006:P1006),$P$1006:$S$1006,0))&gt;=100000), " ",IF(INDEX($P$2:$S$1001,MATCH(ROWS($I$2:I543),$I$2:$I$1001,0),MATCH(COLUMNS($P$1006:P1006),$P$1006:$S$1006,0)), HYPERLINK("#",""), HYPERLINK(CONCATENATE("#metadata!", ADDRESS(INDEX($K$2:$K$1001,MATCH(ROWS($I$2:I543),$I$2:$I$1001,0),0), INDEX($P$1004:$S$1004,1,MATCH(COLUMNS($P$1006:P1006),$P$1006:$S$1006,0)))),"Fix")))</f>
        <v>0</v>
      </c>
      <c r="C543" s="3">
        <f>IF(OR(INDEX($J$2:$J$1001,MATCH(ROWS($I$2:I543),$I$2:$I$1001,0),1)&gt;=100000,INDEX($P$1005:$S$1005,1,MATCH(COLUMNS($P$1006:Q1006),$P$1006:$S$1006,0))&gt;=100000), " ",IF(INDEX($P$2:$S$1001,MATCH(ROWS($I$2:I543),$I$2:$I$1001,0),MATCH(COLUMNS($P$1006:Q1006),$P$1006:$S$1006,0)), HYPERLINK("#",""), HYPERLINK(CONCATENATE("#metadata!", ADDRESS(INDEX($K$2:$K$1001,MATCH(ROWS($I$2:I543),$I$2:$I$1001,0),0), INDEX($P$1004:$S$1004,1,MATCH(COLUMNS($P$1006:Q1006),$P$1006:$S$1006,0)))),"Fix")))</f>
        <v>0</v>
      </c>
      <c r="D543" s="3">
        <f>IF(OR(INDEX($J$2:$J$1001,MATCH(ROWS($I$2:I543),$I$2:$I$1001,0),1)&gt;=100000,INDEX($P$1005:$S$1005,1,MATCH(COLUMNS($P$1006:R1006),$P$1006:$S$1006,0))&gt;=100000), " ",IF(INDEX($P$2:$S$1001,MATCH(ROWS($I$2:I543),$I$2:$I$1001,0),MATCH(COLUMNS($P$1006:R1006),$P$1006:$S$1006,0)), HYPERLINK("#",""), HYPERLINK(CONCATENATE("#metadata!", ADDRESS(INDEX($K$2:$K$1001,MATCH(ROWS($I$2:I543),$I$2:$I$1001,0),0), INDEX($P$1004:$S$1004,1,MATCH(COLUMNS($P$1006:R1006),$P$1006:$S$1006,0)))),"Fix")))</f>
        <v>0</v>
      </c>
      <c r="E543" s="3">
        <f>IF(OR(INDEX($J$2:$J$1001,MATCH(ROWS($I$2:I543),$I$2:$I$1001,0),1)&gt;=100000,INDEX($P$1005:$S$1005,1,MATCH(COLUMNS($P$1006:S1006),$P$1006:$S$1006,0))&gt;=100000), " ",IF(INDEX($P$2:$S$1001,MATCH(ROWS($I$2:I543),$I$2:$I$1001,0),MATCH(COLUMNS($P$1006:S1006),$P$1006:$S$1006,0)), HYPERLINK("#",""), HYPERLINK(CONCATENATE("#metadata!", ADDRESS(INDEX($K$2:$K$1001,MATCH(ROWS($I$2:I543),$I$2:$I$1001,0),0), INDEX($P$1004:$S$1004,1,MATCH(COLUMNS($P$1006:S1006),$P$1006:$S$1006,0)))),"Fix")))</f>
        <v>0</v>
      </c>
      <c r="I543">
        <v>0</v>
      </c>
      <c r="J543">
        <v>0</v>
      </c>
      <c r="K543">
        <v>0</v>
      </c>
      <c r="L543">
        <f>IF(M543,TRUE,AND(P543:S543))</f>
        <v>0</v>
      </c>
      <c r="M543">
        <f>COUNTBLANK(metadata!B543:E543)=COLUMNS(metadata!B543:E543)</f>
        <v>0</v>
      </c>
      <c r="N543">
        <v>0</v>
      </c>
      <c r="P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Q543">
        <f>AND(IF(metadata!C543="",FALSE,TRUE),exact(metadata!C543,"other"))</f>
        <v>0</v>
      </c>
      <c r="R543">
        <f>AND(IF(metadata!D543="",FALSE,TRUE),exact(metadata!D543,"metagenome"))</f>
        <v>0</v>
      </c>
      <c r="S543">
        <f>AND(IF(metadata!E543="",FALSE,TRUE),exact(metadata!E543,"256318"))</f>
        <v>0</v>
      </c>
    </row>
    <row r="544" spans="1:19">
      <c r="A544" s="4">
        <f>IF(B544=" "," ",HYPERLINK(CONCATENATE("#metadata!",ADDRESS(INDEX($K$2:$K$1001,MATCH(ROWS($I$2:I544),$I$2:$I$1001,0),0),1)),INDEX($N$2:$N$1001,MATCH(ROWS($I$2:I544),$I$2:$I$1001,0),0)))</f>
        <v>0</v>
      </c>
      <c r="B544" s="3">
        <f>IF(OR(INDEX($J$2:$J$1001,MATCH(ROWS($I$2:I544),$I$2:$I$1001,0),1)&gt;=100000,INDEX($P$1005:$S$1005,1,MATCH(COLUMNS($P$1006:P1006),$P$1006:$S$1006,0))&gt;=100000), " ",IF(INDEX($P$2:$S$1001,MATCH(ROWS($I$2:I544),$I$2:$I$1001,0),MATCH(COLUMNS($P$1006:P1006),$P$1006:$S$1006,0)), HYPERLINK("#",""), HYPERLINK(CONCATENATE("#metadata!", ADDRESS(INDEX($K$2:$K$1001,MATCH(ROWS($I$2:I544),$I$2:$I$1001,0),0), INDEX($P$1004:$S$1004,1,MATCH(COLUMNS($P$1006:P1006),$P$1006:$S$1006,0)))),"Fix")))</f>
        <v>0</v>
      </c>
      <c r="C544" s="3">
        <f>IF(OR(INDEX($J$2:$J$1001,MATCH(ROWS($I$2:I544),$I$2:$I$1001,0),1)&gt;=100000,INDEX($P$1005:$S$1005,1,MATCH(COLUMNS($P$1006:Q1006),$P$1006:$S$1006,0))&gt;=100000), " ",IF(INDEX($P$2:$S$1001,MATCH(ROWS($I$2:I544),$I$2:$I$1001,0),MATCH(COLUMNS($P$1006:Q1006),$P$1006:$S$1006,0)), HYPERLINK("#",""), HYPERLINK(CONCATENATE("#metadata!", ADDRESS(INDEX($K$2:$K$1001,MATCH(ROWS($I$2:I544),$I$2:$I$1001,0),0), INDEX($P$1004:$S$1004,1,MATCH(COLUMNS($P$1006:Q1006),$P$1006:$S$1006,0)))),"Fix")))</f>
        <v>0</v>
      </c>
      <c r="D544" s="3">
        <f>IF(OR(INDEX($J$2:$J$1001,MATCH(ROWS($I$2:I544),$I$2:$I$1001,0),1)&gt;=100000,INDEX($P$1005:$S$1005,1,MATCH(COLUMNS($P$1006:R1006),$P$1006:$S$1006,0))&gt;=100000), " ",IF(INDEX($P$2:$S$1001,MATCH(ROWS($I$2:I544),$I$2:$I$1001,0),MATCH(COLUMNS($P$1006:R1006),$P$1006:$S$1006,0)), HYPERLINK("#",""), HYPERLINK(CONCATENATE("#metadata!", ADDRESS(INDEX($K$2:$K$1001,MATCH(ROWS($I$2:I544),$I$2:$I$1001,0),0), INDEX($P$1004:$S$1004,1,MATCH(COLUMNS($P$1006:R1006),$P$1006:$S$1006,0)))),"Fix")))</f>
        <v>0</v>
      </c>
      <c r="E544" s="3">
        <f>IF(OR(INDEX($J$2:$J$1001,MATCH(ROWS($I$2:I544),$I$2:$I$1001,0),1)&gt;=100000,INDEX($P$1005:$S$1005,1,MATCH(COLUMNS($P$1006:S1006),$P$1006:$S$1006,0))&gt;=100000), " ",IF(INDEX($P$2:$S$1001,MATCH(ROWS($I$2:I544),$I$2:$I$1001,0),MATCH(COLUMNS($P$1006:S1006),$P$1006:$S$1006,0)), HYPERLINK("#",""), HYPERLINK(CONCATENATE("#metadata!", ADDRESS(INDEX($K$2:$K$1001,MATCH(ROWS($I$2:I544),$I$2:$I$1001,0),0), INDEX($P$1004:$S$1004,1,MATCH(COLUMNS($P$1006:S1006),$P$1006:$S$1006,0)))),"Fix")))</f>
        <v>0</v>
      </c>
      <c r="I544">
        <v>0</v>
      </c>
      <c r="J544">
        <v>0</v>
      </c>
      <c r="K544">
        <v>0</v>
      </c>
      <c r="L544">
        <f>IF(M544,TRUE,AND(P544:S544))</f>
        <v>0</v>
      </c>
      <c r="M544">
        <f>COUNTBLANK(metadata!B544:E544)=COLUMNS(metadata!B544:E544)</f>
        <v>0</v>
      </c>
      <c r="N544">
        <v>0</v>
      </c>
      <c r="P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Q544">
        <f>AND(IF(metadata!C544="",FALSE,TRUE),exact(metadata!C544,"other"))</f>
        <v>0</v>
      </c>
      <c r="R544">
        <f>AND(IF(metadata!D544="",FALSE,TRUE),exact(metadata!D544,"metagenome"))</f>
        <v>0</v>
      </c>
      <c r="S544">
        <f>AND(IF(metadata!E544="",FALSE,TRUE),exact(metadata!E544,"256318"))</f>
        <v>0</v>
      </c>
    </row>
    <row r="545" spans="1:19">
      <c r="A545" s="4">
        <f>IF(B545=" "," ",HYPERLINK(CONCATENATE("#metadata!",ADDRESS(INDEX($K$2:$K$1001,MATCH(ROWS($I$2:I545),$I$2:$I$1001,0),0),1)),INDEX($N$2:$N$1001,MATCH(ROWS($I$2:I545),$I$2:$I$1001,0),0)))</f>
        <v>0</v>
      </c>
      <c r="B545" s="3">
        <f>IF(OR(INDEX($J$2:$J$1001,MATCH(ROWS($I$2:I545),$I$2:$I$1001,0),1)&gt;=100000,INDEX($P$1005:$S$1005,1,MATCH(COLUMNS($P$1006:P1006),$P$1006:$S$1006,0))&gt;=100000), " ",IF(INDEX($P$2:$S$1001,MATCH(ROWS($I$2:I545),$I$2:$I$1001,0),MATCH(COLUMNS($P$1006:P1006),$P$1006:$S$1006,0)), HYPERLINK("#",""), HYPERLINK(CONCATENATE("#metadata!", ADDRESS(INDEX($K$2:$K$1001,MATCH(ROWS($I$2:I545),$I$2:$I$1001,0),0), INDEX($P$1004:$S$1004,1,MATCH(COLUMNS($P$1006:P1006),$P$1006:$S$1006,0)))),"Fix")))</f>
        <v>0</v>
      </c>
      <c r="C545" s="3">
        <f>IF(OR(INDEX($J$2:$J$1001,MATCH(ROWS($I$2:I545),$I$2:$I$1001,0),1)&gt;=100000,INDEX($P$1005:$S$1005,1,MATCH(COLUMNS($P$1006:Q1006),$P$1006:$S$1006,0))&gt;=100000), " ",IF(INDEX($P$2:$S$1001,MATCH(ROWS($I$2:I545),$I$2:$I$1001,0),MATCH(COLUMNS($P$1006:Q1006),$P$1006:$S$1006,0)), HYPERLINK("#",""), HYPERLINK(CONCATENATE("#metadata!", ADDRESS(INDEX($K$2:$K$1001,MATCH(ROWS($I$2:I545),$I$2:$I$1001,0),0), INDEX($P$1004:$S$1004,1,MATCH(COLUMNS($P$1006:Q1006),$P$1006:$S$1006,0)))),"Fix")))</f>
        <v>0</v>
      </c>
      <c r="D545" s="3">
        <f>IF(OR(INDEX($J$2:$J$1001,MATCH(ROWS($I$2:I545),$I$2:$I$1001,0),1)&gt;=100000,INDEX($P$1005:$S$1005,1,MATCH(COLUMNS($P$1006:R1006),$P$1006:$S$1006,0))&gt;=100000), " ",IF(INDEX($P$2:$S$1001,MATCH(ROWS($I$2:I545),$I$2:$I$1001,0),MATCH(COLUMNS($P$1006:R1006),$P$1006:$S$1006,0)), HYPERLINK("#",""), HYPERLINK(CONCATENATE("#metadata!", ADDRESS(INDEX($K$2:$K$1001,MATCH(ROWS($I$2:I545),$I$2:$I$1001,0),0), INDEX($P$1004:$S$1004,1,MATCH(COLUMNS($P$1006:R1006),$P$1006:$S$1006,0)))),"Fix")))</f>
        <v>0</v>
      </c>
      <c r="E545" s="3">
        <f>IF(OR(INDEX($J$2:$J$1001,MATCH(ROWS($I$2:I545),$I$2:$I$1001,0),1)&gt;=100000,INDEX($P$1005:$S$1005,1,MATCH(COLUMNS($P$1006:S1006),$P$1006:$S$1006,0))&gt;=100000), " ",IF(INDEX($P$2:$S$1001,MATCH(ROWS($I$2:I545),$I$2:$I$1001,0),MATCH(COLUMNS($P$1006:S1006),$P$1006:$S$1006,0)), HYPERLINK("#",""), HYPERLINK(CONCATENATE("#metadata!", ADDRESS(INDEX($K$2:$K$1001,MATCH(ROWS($I$2:I545),$I$2:$I$1001,0),0), INDEX($P$1004:$S$1004,1,MATCH(COLUMNS($P$1006:S1006),$P$1006:$S$1006,0)))),"Fix")))</f>
        <v>0</v>
      </c>
      <c r="I545">
        <v>0</v>
      </c>
      <c r="J545">
        <v>0</v>
      </c>
      <c r="K545">
        <v>0</v>
      </c>
      <c r="L545">
        <f>IF(M545,TRUE,AND(P545:S545))</f>
        <v>0</v>
      </c>
      <c r="M545">
        <f>COUNTBLANK(metadata!B545:E545)=COLUMNS(metadata!B545:E545)</f>
        <v>0</v>
      </c>
      <c r="N545">
        <v>0</v>
      </c>
      <c r="P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Q545">
        <f>AND(IF(metadata!C545="",FALSE,TRUE),exact(metadata!C545,"other"))</f>
        <v>0</v>
      </c>
      <c r="R545">
        <f>AND(IF(metadata!D545="",FALSE,TRUE),exact(metadata!D545,"metagenome"))</f>
        <v>0</v>
      </c>
      <c r="S545">
        <f>AND(IF(metadata!E545="",FALSE,TRUE),exact(metadata!E545,"256318"))</f>
        <v>0</v>
      </c>
    </row>
    <row r="546" spans="1:19">
      <c r="A546" s="4">
        <f>IF(B546=" "," ",HYPERLINK(CONCATENATE("#metadata!",ADDRESS(INDEX($K$2:$K$1001,MATCH(ROWS($I$2:I546),$I$2:$I$1001,0),0),1)),INDEX($N$2:$N$1001,MATCH(ROWS($I$2:I546),$I$2:$I$1001,0),0)))</f>
        <v>0</v>
      </c>
      <c r="B546" s="3">
        <f>IF(OR(INDEX($J$2:$J$1001,MATCH(ROWS($I$2:I546),$I$2:$I$1001,0),1)&gt;=100000,INDEX($P$1005:$S$1005,1,MATCH(COLUMNS($P$1006:P1006),$P$1006:$S$1006,0))&gt;=100000), " ",IF(INDEX($P$2:$S$1001,MATCH(ROWS($I$2:I546),$I$2:$I$1001,0),MATCH(COLUMNS($P$1006:P1006),$P$1006:$S$1006,0)), HYPERLINK("#",""), HYPERLINK(CONCATENATE("#metadata!", ADDRESS(INDEX($K$2:$K$1001,MATCH(ROWS($I$2:I546),$I$2:$I$1001,0),0), INDEX($P$1004:$S$1004,1,MATCH(COLUMNS($P$1006:P1006),$P$1006:$S$1006,0)))),"Fix")))</f>
        <v>0</v>
      </c>
      <c r="C546" s="3">
        <f>IF(OR(INDEX($J$2:$J$1001,MATCH(ROWS($I$2:I546),$I$2:$I$1001,0),1)&gt;=100000,INDEX($P$1005:$S$1005,1,MATCH(COLUMNS($P$1006:Q1006),$P$1006:$S$1006,0))&gt;=100000), " ",IF(INDEX($P$2:$S$1001,MATCH(ROWS($I$2:I546),$I$2:$I$1001,0),MATCH(COLUMNS($P$1006:Q1006),$P$1006:$S$1006,0)), HYPERLINK("#",""), HYPERLINK(CONCATENATE("#metadata!", ADDRESS(INDEX($K$2:$K$1001,MATCH(ROWS($I$2:I546),$I$2:$I$1001,0),0), INDEX($P$1004:$S$1004,1,MATCH(COLUMNS($P$1006:Q1006),$P$1006:$S$1006,0)))),"Fix")))</f>
        <v>0</v>
      </c>
      <c r="D546" s="3">
        <f>IF(OR(INDEX($J$2:$J$1001,MATCH(ROWS($I$2:I546),$I$2:$I$1001,0),1)&gt;=100000,INDEX($P$1005:$S$1005,1,MATCH(COLUMNS($P$1006:R1006),$P$1006:$S$1006,0))&gt;=100000), " ",IF(INDEX($P$2:$S$1001,MATCH(ROWS($I$2:I546),$I$2:$I$1001,0),MATCH(COLUMNS($P$1006:R1006),$P$1006:$S$1006,0)), HYPERLINK("#",""), HYPERLINK(CONCATENATE("#metadata!", ADDRESS(INDEX($K$2:$K$1001,MATCH(ROWS($I$2:I546),$I$2:$I$1001,0),0), INDEX($P$1004:$S$1004,1,MATCH(COLUMNS($P$1006:R1006),$P$1006:$S$1006,0)))),"Fix")))</f>
        <v>0</v>
      </c>
      <c r="E546" s="3">
        <f>IF(OR(INDEX($J$2:$J$1001,MATCH(ROWS($I$2:I546),$I$2:$I$1001,0),1)&gt;=100000,INDEX($P$1005:$S$1005,1,MATCH(COLUMNS($P$1006:S1006),$P$1006:$S$1006,0))&gt;=100000), " ",IF(INDEX($P$2:$S$1001,MATCH(ROWS($I$2:I546),$I$2:$I$1001,0),MATCH(COLUMNS($P$1006:S1006),$P$1006:$S$1006,0)), HYPERLINK("#",""), HYPERLINK(CONCATENATE("#metadata!", ADDRESS(INDEX($K$2:$K$1001,MATCH(ROWS($I$2:I546),$I$2:$I$1001,0),0), INDEX($P$1004:$S$1004,1,MATCH(COLUMNS($P$1006:S1006),$P$1006:$S$1006,0)))),"Fix")))</f>
        <v>0</v>
      </c>
      <c r="I546">
        <v>0</v>
      </c>
      <c r="J546">
        <v>0</v>
      </c>
      <c r="K546">
        <v>0</v>
      </c>
      <c r="L546">
        <f>IF(M546,TRUE,AND(P546:S546))</f>
        <v>0</v>
      </c>
      <c r="M546">
        <f>COUNTBLANK(metadata!B546:E546)=COLUMNS(metadata!B546:E546)</f>
        <v>0</v>
      </c>
      <c r="N546">
        <v>0</v>
      </c>
      <c r="P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Q546">
        <f>AND(IF(metadata!C546="",FALSE,TRUE),exact(metadata!C546,"other"))</f>
        <v>0</v>
      </c>
      <c r="R546">
        <f>AND(IF(metadata!D546="",FALSE,TRUE),exact(metadata!D546,"metagenome"))</f>
        <v>0</v>
      </c>
      <c r="S546">
        <f>AND(IF(metadata!E546="",FALSE,TRUE),exact(metadata!E546,"256318"))</f>
        <v>0</v>
      </c>
    </row>
    <row r="547" spans="1:19">
      <c r="A547" s="4">
        <f>IF(B547=" "," ",HYPERLINK(CONCATENATE("#metadata!",ADDRESS(INDEX($K$2:$K$1001,MATCH(ROWS($I$2:I547),$I$2:$I$1001,0),0),1)),INDEX($N$2:$N$1001,MATCH(ROWS($I$2:I547),$I$2:$I$1001,0),0)))</f>
        <v>0</v>
      </c>
      <c r="B547" s="3">
        <f>IF(OR(INDEX($J$2:$J$1001,MATCH(ROWS($I$2:I547),$I$2:$I$1001,0),1)&gt;=100000,INDEX($P$1005:$S$1005,1,MATCH(COLUMNS($P$1006:P1006),$P$1006:$S$1006,0))&gt;=100000), " ",IF(INDEX($P$2:$S$1001,MATCH(ROWS($I$2:I547),$I$2:$I$1001,0),MATCH(COLUMNS($P$1006:P1006),$P$1006:$S$1006,0)), HYPERLINK("#",""), HYPERLINK(CONCATENATE("#metadata!", ADDRESS(INDEX($K$2:$K$1001,MATCH(ROWS($I$2:I547),$I$2:$I$1001,0),0), INDEX($P$1004:$S$1004,1,MATCH(COLUMNS($P$1006:P1006),$P$1006:$S$1006,0)))),"Fix")))</f>
        <v>0</v>
      </c>
      <c r="C547" s="3">
        <f>IF(OR(INDEX($J$2:$J$1001,MATCH(ROWS($I$2:I547),$I$2:$I$1001,0),1)&gt;=100000,INDEX($P$1005:$S$1005,1,MATCH(COLUMNS($P$1006:Q1006),$P$1006:$S$1006,0))&gt;=100000), " ",IF(INDEX($P$2:$S$1001,MATCH(ROWS($I$2:I547),$I$2:$I$1001,0),MATCH(COLUMNS($P$1006:Q1006),$P$1006:$S$1006,0)), HYPERLINK("#",""), HYPERLINK(CONCATENATE("#metadata!", ADDRESS(INDEX($K$2:$K$1001,MATCH(ROWS($I$2:I547),$I$2:$I$1001,0),0), INDEX($P$1004:$S$1004,1,MATCH(COLUMNS($P$1006:Q1006),$P$1006:$S$1006,0)))),"Fix")))</f>
        <v>0</v>
      </c>
      <c r="D547" s="3">
        <f>IF(OR(INDEX($J$2:$J$1001,MATCH(ROWS($I$2:I547),$I$2:$I$1001,0),1)&gt;=100000,INDEX($P$1005:$S$1005,1,MATCH(COLUMNS($P$1006:R1006),$P$1006:$S$1006,0))&gt;=100000), " ",IF(INDEX($P$2:$S$1001,MATCH(ROWS($I$2:I547),$I$2:$I$1001,0),MATCH(COLUMNS($P$1006:R1006),$P$1006:$S$1006,0)), HYPERLINK("#",""), HYPERLINK(CONCATENATE("#metadata!", ADDRESS(INDEX($K$2:$K$1001,MATCH(ROWS($I$2:I547),$I$2:$I$1001,0),0), INDEX($P$1004:$S$1004,1,MATCH(COLUMNS($P$1006:R1006),$P$1006:$S$1006,0)))),"Fix")))</f>
        <v>0</v>
      </c>
      <c r="E547" s="3">
        <f>IF(OR(INDEX($J$2:$J$1001,MATCH(ROWS($I$2:I547),$I$2:$I$1001,0),1)&gt;=100000,INDEX($P$1005:$S$1005,1,MATCH(COLUMNS($P$1006:S1006),$P$1006:$S$1006,0))&gt;=100000), " ",IF(INDEX($P$2:$S$1001,MATCH(ROWS($I$2:I547),$I$2:$I$1001,0),MATCH(COLUMNS($P$1006:S1006),$P$1006:$S$1006,0)), HYPERLINK("#",""), HYPERLINK(CONCATENATE("#metadata!", ADDRESS(INDEX($K$2:$K$1001,MATCH(ROWS($I$2:I547),$I$2:$I$1001,0),0), INDEX($P$1004:$S$1004,1,MATCH(COLUMNS($P$1006:S1006),$P$1006:$S$1006,0)))),"Fix")))</f>
        <v>0</v>
      </c>
      <c r="I547">
        <v>0</v>
      </c>
      <c r="J547">
        <v>0</v>
      </c>
      <c r="K547">
        <v>0</v>
      </c>
      <c r="L547">
        <f>IF(M547,TRUE,AND(P547:S547))</f>
        <v>0</v>
      </c>
      <c r="M547">
        <f>COUNTBLANK(metadata!B547:E547)=COLUMNS(metadata!B547:E547)</f>
        <v>0</v>
      </c>
      <c r="N547">
        <v>0</v>
      </c>
      <c r="P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Q547">
        <f>AND(IF(metadata!C547="",FALSE,TRUE),exact(metadata!C547,"other"))</f>
        <v>0</v>
      </c>
      <c r="R547">
        <f>AND(IF(metadata!D547="",FALSE,TRUE),exact(metadata!D547,"metagenome"))</f>
        <v>0</v>
      </c>
      <c r="S547">
        <f>AND(IF(metadata!E547="",FALSE,TRUE),exact(metadata!E547,"256318"))</f>
        <v>0</v>
      </c>
    </row>
    <row r="548" spans="1:19">
      <c r="A548" s="4">
        <f>IF(B548=" "," ",HYPERLINK(CONCATENATE("#metadata!",ADDRESS(INDEX($K$2:$K$1001,MATCH(ROWS($I$2:I548),$I$2:$I$1001,0),0),1)),INDEX($N$2:$N$1001,MATCH(ROWS($I$2:I548),$I$2:$I$1001,0),0)))</f>
        <v>0</v>
      </c>
      <c r="B548" s="3">
        <f>IF(OR(INDEX($J$2:$J$1001,MATCH(ROWS($I$2:I548),$I$2:$I$1001,0),1)&gt;=100000,INDEX($P$1005:$S$1005,1,MATCH(COLUMNS($P$1006:P1006),$P$1006:$S$1006,0))&gt;=100000), " ",IF(INDEX($P$2:$S$1001,MATCH(ROWS($I$2:I548),$I$2:$I$1001,0),MATCH(COLUMNS($P$1006:P1006),$P$1006:$S$1006,0)), HYPERLINK("#",""), HYPERLINK(CONCATENATE("#metadata!", ADDRESS(INDEX($K$2:$K$1001,MATCH(ROWS($I$2:I548),$I$2:$I$1001,0),0), INDEX($P$1004:$S$1004,1,MATCH(COLUMNS($P$1006:P1006),$P$1006:$S$1006,0)))),"Fix")))</f>
        <v>0</v>
      </c>
      <c r="C548" s="3">
        <f>IF(OR(INDEX($J$2:$J$1001,MATCH(ROWS($I$2:I548),$I$2:$I$1001,0),1)&gt;=100000,INDEX($P$1005:$S$1005,1,MATCH(COLUMNS($P$1006:Q1006),$P$1006:$S$1006,0))&gt;=100000), " ",IF(INDEX($P$2:$S$1001,MATCH(ROWS($I$2:I548),$I$2:$I$1001,0),MATCH(COLUMNS($P$1006:Q1006),$P$1006:$S$1006,0)), HYPERLINK("#",""), HYPERLINK(CONCATENATE("#metadata!", ADDRESS(INDEX($K$2:$K$1001,MATCH(ROWS($I$2:I548),$I$2:$I$1001,0),0), INDEX($P$1004:$S$1004,1,MATCH(COLUMNS($P$1006:Q1006),$P$1006:$S$1006,0)))),"Fix")))</f>
        <v>0</v>
      </c>
      <c r="D548" s="3">
        <f>IF(OR(INDEX($J$2:$J$1001,MATCH(ROWS($I$2:I548),$I$2:$I$1001,0),1)&gt;=100000,INDEX($P$1005:$S$1005,1,MATCH(COLUMNS($P$1006:R1006),$P$1006:$S$1006,0))&gt;=100000), " ",IF(INDEX($P$2:$S$1001,MATCH(ROWS($I$2:I548),$I$2:$I$1001,0),MATCH(COLUMNS($P$1006:R1006),$P$1006:$S$1006,0)), HYPERLINK("#",""), HYPERLINK(CONCATENATE("#metadata!", ADDRESS(INDEX($K$2:$K$1001,MATCH(ROWS($I$2:I548),$I$2:$I$1001,0),0), INDEX($P$1004:$S$1004,1,MATCH(COLUMNS($P$1006:R1006),$P$1006:$S$1006,0)))),"Fix")))</f>
        <v>0</v>
      </c>
      <c r="E548" s="3">
        <f>IF(OR(INDEX($J$2:$J$1001,MATCH(ROWS($I$2:I548),$I$2:$I$1001,0),1)&gt;=100000,INDEX($P$1005:$S$1005,1,MATCH(COLUMNS($P$1006:S1006),$P$1006:$S$1006,0))&gt;=100000), " ",IF(INDEX($P$2:$S$1001,MATCH(ROWS($I$2:I548),$I$2:$I$1001,0),MATCH(COLUMNS($P$1006:S1006),$P$1006:$S$1006,0)), HYPERLINK("#",""), HYPERLINK(CONCATENATE("#metadata!", ADDRESS(INDEX($K$2:$K$1001,MATCH(ROWS($I$2:I548),$I$2:$I$1001,0),0), INDEX($P$1004:$S$1004,1,MATCH(COLUMNS($P$1006:S1006),$P$1006:$S$1006,0)))),"Fix")))</f>
        <v>0</v>
      </c>
      <c r="I548">
        <v>0</v>
      </c>
      <c r="J548">
        <v>0</v>
      </c>
      <c r="K548">
        <v>0</v>
      </c>
      <c r="L548">
        <f>IF(M548,TRUE,AND(P548:S548))</f>
        <v>0</v>
      </c>
      <c r="M548">
        <f>COUNTBLANK(metadata!B548:E548)=COLUMNS(metadata!B548:E548)</f>
        <v>0</v>
      </c>
      <c r="N548">
        <v>0</v>
      </c>
      <c r="P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Q548">
        <f>AND(IF(metadata!C548="",FALSE,TRUE),exact(metadata!C548,"other"))</f>
        <v>0</v>
      </c>
      <c r="R548">
        <f>AND(IF(metadata!D548="",FALSE,TRUE),exact(metadata!D548,"metagenome"))</f>
        <v>0</v>
      </c>
      <c r="S548">
        <f>AND(IF(metadata!E548="",FALSE,TRUE),exact(metadata!E548,"256318"))</f>
        <v>0</v>
      </c>
    </row>
    <row r="549" spans="1:19">
      <c r="A549" s="4">
        <f>IF(B549=" "," ",HYPERLINK(CONCATENATE("#metadata!",ADDRESS(INDEX($K$2:$K$1001,MATCH(ROWS($I$2:I549),$I$2:$I$1001,0),0),1)),INDEX($N$2:$N$1001,MATCH(ROWS($I$2:I549),$I$2:$I$1001,0),0)))</f>
        <v>0</v>
      </c>
      <c r="B549" s="3">
        <f>IF(OR(INDEX($J$2:$J$1001,MATCH(ROWS($I$2:I549),$I$2:$I$1001,0),1)&gt;=100000,INDEX($P$1005:$S$1005,1,MATCH(COLUMNS($P$1006:P1006),$P$1006:$S$1006,0))&gt;=100000), " ",IF(INDEX($P$2:$S$1001,MATCH(ROWS($I$2:I549),$I$2:$I$1001,0),MATCH(COLUMNS($P$1006:P1006),$P$1006:$S$1006,0)), HYPERLINK("#",""), HYPERLINK(CONCATENATE("#metadata!", ADDRESS(INDEX($K$2:$K$1001,MATCH(ROWS($I$2:I549),$I$2:$I$1001,0),0), INDEX($P$1004:$S$1004,1,MATCH(COLUMNS($P$1006:P1006),$P$1006:$S$1006,0)))),"Fix")))</f>
        <v>0</v>
      </c>
      <c r="C549" s="3">
        <f>IF(OR(INDEX($J$2:$J$1001,MATCH(ROWS($I$2:I549),$I$2:$I$1001,0),1)&gt;=100000,INDEX($P$1005:$S$1005,1,MATCH(COLUMNS($P$1006:Q1006),$P$1006:$S$1006,0))&gt;=100000), " ",IF(INDEX($P$2:$S$1001,MATCH(ROWS($I$2:I549),$I$2:$I$1001,0),MATCH(COLUMNS($P$1006:Q1006),$P$1006:$S$1006,0)), HYPERLINK("#",""), HYPERLINK(CONCATENATE("#metadata!", ADDRESS(INDEX($K$2:$K$1001,MATCH(ROWS($I$2:I549),$I$2:$I$1001,0),0), INDEX($P$1004:$S$1004,1,MATCH(COLUMNS($P$1006:Q1006),$P$1006:$S$1006,0)))),"Fix")))</f>
        <v>0</v>
      </c>
      <c r="D549" s="3">
        <f>IF(OR(INDEX($J$2:$J$1001,MATCH(ROWS($I$2:I549),$I$2:$I$1001,0),1)&gt;=100000,INDEX($P$1005:$S$1005,1,MATCH(COLUMNS($P$1006:R1006),$P$1006:$S$1006,0))&gt;=100000), " ",IF(INDEX($P$2:$S$1001,MATCH(ROWS($I$2:I549),$I$2:$I$1001,0),MATCH(COLUMNS($P$1006:R1006),$P$1006:$S$1006,0)), HYPERLINK("#",""), HYPERLINK(CONCATENATE("#metadata!", ADDRESS(INDEX($K$2:$K$1001,MATCH(ROWS($I$2:I549),$I$2:$I$1001,0),0), INDEX($P$1004:$S$1004,1,MATCH(COLUMNS($P$1006:R1006),$P$1006:$S$1006,0)))),"Fix")))</f>
        <v>0</v>
      </c>
      <c r="E549" s="3">
        <f>IF(OR(INDEX($J$2:$J$1001,MATCH(ROWS($I$2:I549),$I$2:$I$1001,0),1)&gt;=100000,INDEX($P$1005:$S$1005,1,MATCH(COLUMNS($P$1006:S1006),$P$1006:$S$1006,0))&gt;=100000), " ",IF(INDEX($P$2:$S$1001,MATCH(ROWS($I$2:I549),$I$2:$I$1001,0),MATCH(COLUMNS($P$1006:S1006),$P$1006:$S$1006,0)), HYPERLINK("#",""), HYPERLINK(CONCATENATE("#metadata!", ADDRESS(INDEX($K$2:$K$1001,MATCH(ROWS($I$2:I549),$I$2:$I$1001,0),0), INDEX($P$1004:$S$1004,1,MATCH(COLUMNS($P$1006:S1006),$P$1006:$S$1006,0)))),"Fix")))</f>
        <v>0</v>
      </c>
      <c r="I549">
        <v>0</v>
      </c>
      <c r="J549">
        <v>0</v>
      </c>
      <c r="K549">
        <v>0</v>
      </c>
      <c r="L549">
        <f>IF(M549,TRUE,AND(P549:S549))</f>
        <v>0</v>
      </c>
      <c r="M549">
        <f>COUNTBLANK(metadata!B549:E549)=COLUMNS(metadata!B549:E549)</f>
        <v>0</v>
      </c>
      <c r="N549">
        <v>0</v>
      </c>
      <c r="P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Q549">
        <f>AND(IF(metadata!C549="",FALSE,TRUE),exact(metadata!C549,"other"))</f>
        <v>0</v>
      </c>
      <c r="R549">
        <f>AND(IF(metadata!D549="",FALSE,TRUE),exact(metadata!D549,"metagenome"))</f>
        <v>0</v>
      </c>
      <c r="S549">
        <f>AND(IF(metadata!E549="",FALSE,TRUE),exact(metadata!E549,"256318"))</f>
        <v>0</v>
      </c>
    </row>
    <row r="550" spans="1:19">
      <c r="A550" s="4">
        <f>IF(B550=" "," ",HYPERLINK(CONCATENATE("#metadata!",ADDRESS(INDEX($K$2:$K$1001,MATCH(ROWS($I$2:I550),$I$2:$I$1001,0),0),1)),INDEX($N$2:$N$1001,MATCH(ROWS($I$2:I550),$I$2:$I$1001,0),0)))</f>
        <v>0</v>
      </c>
      <c r="B550" s="3">
        <f>IF(OR(INDEX($J$2:$J$1001,MATCH(ROWS($I$2:I550),$I$2:$I$1001,0),1)&gt;=100000,INDEX($P$1005:$S$1005,1,MATCH(COLUMNS($P$1006:P1006),$P$1006:$S$1006,0))&gt;=100000), " ",IF(INDEX($P$2:$S$1001,MATCH(ROWS($I$2:I550),$I$2:$I$1001,0),MATCH(COLUMNS($P$1006:P1006),$P$1006:$S$1006,0)), HYPERLINK("#",""), HYPERLINK(CONCATENATE("#metadata!", ADDRESS(INDEX($K$2:$K$1001,MATCH(ROWS($I$2:I550),$I$2:$I$1001,0),0), INDEX($P$1004:$S$1004,1,MATCH(COLUMNS($P$1006:P1006),$P$1006:$S$1006,0)))),"Fix")))</f>
        <v>0</v>
      </c>
      <c r="C550" s="3">
        <f>IF(OR(INDEX($J$2:$J$1001,MATCH(ROWS($I$2:I550),$I$2:$I$1001,0),1)&gt;=100000,INDEX($P$1005:$S$1005,1,MATCH(COLUMNS($P$1006:Q1006),$P$1006:$S$1006,0))&gt;=100000), " ",IF(INDEX($P$2:$S$1001,MATCH(ROWS($I$2:I550),$I$2:$I$1001,0),MATCH(COLUMNS($P$1006:Q1006),$P$1006:$S$1006,0)), HYPERLINK("#",""), HYPERLINK(CONCATENATE("#metadata!", ADDRESS(INDEX($K$2:$K$1001,MATCH(ROWS($I$2:I550),$I$2:$I$1001,0),0), INDEX($P$1004:$S$1004,1,MATCH(COLUMNS($P$1006:Q1006),$P$1006:$S$1006,0)))),"Fix")))</f>
        <v>0</v>
      </c>
      <c r="D550" s="3">
        <f>IF(OR(INDEX($J$2:$J$1001,MATCH(ROWS($I$2:I550),$I$2:$I$1001,0),1)&gt;=100000,INDEX($P$1005:$S$1005,1,MATCH(COLUMNS($P$1006:R1006),$P$1006:$S$1006,0))&gt;=100000), " ",IF(INDEX($P$2:$S$1001,MATCH(ROWS($I$2:I550),$I$2:$I$1001,0),MATCH(COLUMNS($P$1006:R1006),$P$1006:$S$1006,0)), HYPERLINK("#",""), HYPERLINK(CONCATENATE("#metadata!", ADDRESS(INDEX($K$2:$K$1001,MATCH(ROWS($I$2:I550),$I$2:$I$1001,0),0), INDEX($P$1004:$S$1004,1,MATCH(COLUMNS($P$1006:R1006),$P$1006:$S$1006,0)))),"Fix")))</f>
        <v>0</v>
      </c>
      <c r="E550" s="3">
        <f>IF(OR(INDEX($J$2:$J$1001,MATCH(ROWS($I$2:I550),$I$2:$I$1001,0),1)&gt;=100000,INDEX($P$1005:$S$1005,1,MATCH(COLUMNS($P$1006:S1006),$P$1006:$S$1006,0))&gt;=100000), " ",IF(INDEX($P$2:$S$1001,MATCH(ROWS($I$2:I550),$I$2:$I$1001,0),MATCH(COLUMNS($P$1006:S1006),$P$1006:$S$1006,0)), HYPERLINK("#",""), HYPERLINK(CONCATENATE("#metadata!", ADDRESS(INDEX($K$2:$K$1001,MATCH(ROWS($I$2:I550),$I$2:$I$1001,0),0), INDEX($P$1004:$S$1004,1,MATCH(COLUMNS($P$1006:S1006),$P$1006:$S$1006,0)))),"Fix")))</f>
        <v>0</v>
      </c>
      <c r="I550">
        <v>0</v>
      </c>
      <c r="J550">
        <v>0</v>
      </c>
      <c r="K550">
        <v>0</v>
      </c>
      <c r="L550">
        <f>IF(M550,TRUE,AND(P550:S550))</f>
        <v>0</v>
      </c>
      <c r="M550">
        <f>COUNTBLANK(metadata!B550:E550)=COLUMNS(metadata!B550:E550)</f>
        <v>0</v>
      </c>
      <c r="N550">
        <v>0</v>
      </c>
      <c r="P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Q550">
        <f>AND(IF(metadata!C550="",FALSE,TRUE),exact(metadata!C550,"other"))</f>
        <v>0</v>
      </c>
      <c r="R550">
        <f>AND(IF(metadata!D550="",FALSE,TRUE),exact(metadata!D550,"metagenome"))</f>
        <v>0</v>
      </c>
      <c r="S550">
        <f>AND(IF(metadata!E550="",FALSE,TRUE),exact(metadata!E550,"256318"))</f>
        <v>0</v>
      </c>
    </row>
    <row r="551" spans="1:19">
      <c r="A551" s="4">
        <f>IF(B551=" "," ",HYPERLINK(CONCATENATE("#metadata!",ADDRESS(INDEX($K$2:$K$1001,MATCH(ROWS($I$2:I551),$I$2:$I$1001,0),0),1)),INDEX($N$2:$N$1001,MATCH(ROWS($I$2:I551),$I$2:$I$1001,0),0)))</f>
        <v>0</v>
      </c>
      <c r="B551" s="3">
        <f>IF(OR(INDEX($J$2:$J$1001,MATCH(ROWS($I$2:I551),$I$2:$I$1001,0),1)&gt;=100000,INDEX($P$1005:$S$1005,1,MATCH(COLUMNS($P$1006:P1006),$P$1006:$S$1006,0))&gt;=100000), " ",IF(INDEX($P$2:$S$1001,MATCH(ROWS($I$2:I551),$I$2:$I$1001,0),MATCH(COLUMNS($P$1006:P1006),$P$1006:$S$1006,0)), HYPERLINK("#",""), HYPERLINK(CONCATENATE("#metadata!", ADDRESS(INDEX($K$2:$K$1001,MATCH(ROWS($I$2:I551),$I$2:$I$1001,0),0), INDEX($P$1004:$S$1004,1,MATCH(COLUMNS($P$1006:P1006),$P$1006:$S$1006,0)))),"Fix")))</f>
        <v>0</v>
      </c>
      <c r="C551" s="3">
        <f>IF(OR(INDEX($J$2:$J$1001,MATCH(ROWS($I$2:I551),$I$2:$I$1001,0),1)&gt;=100000,INDEX($P$1005:$S$1005,1,MATCH(COLUMNS($P$1006:Q1006),$P$1006:$S$1006,0))&gt;=100000), " ",IF(INDEX($P$2:$S$1001,MATCH(ROWS($I$2:I551),$I$2:$I$1001,0),MATCH(COLUMNS($P$1006:Q1006),$P$1006:$S$1006,0)), HYPERLINK("#",""), HYPERLINK(CONCATENATE("#metadata!", ADDRESS(INDEX($K$2:$K$1001,MATCH(ROWS($I$2:I551),$I$2:$I$1001,0),0), INDEX($P$1004:$S$1004,1,MATCH(COLUMNS($P$1006:Q1006),$P$1006:$S$1006,0)))),"Fix")))</f>
        <v>0</v>
      </c>
      <c r="D551" s="3">
        <f>IF(OR(INDEX($J$2:$J$1001,MATCH(ROWS($I$2:I551),$I$2:$I$1001,0),1)&gt;=100000,INDEX($P$1005:$S$1005,1,MATCH(COLUMNS($P$1006:R1006),$P$1006:$S$1006,0))&gt;=100000), " ",IF(INDEX($P$2:$S$1001,MATCH(ROWS($I$2:I551),$I$2:$I$1001,0),MATCH(COLUMNS($P$1006:R1006),$P$1006:$S$1006,0)), HYPERLINK("#",""), HYPERLINK(CONCATENATE("#metadata!", ADDRESS(INDEX($K$2:$K$1001,MATCH(ROWS($I$2:I551),$I$2:$I$1001,0),0), INDEX($P$1004:$S$1004,1,MATCH(COLUMNS($P$1006:R1006),$P$1006:$S$1006,0)))),"Fix")))</f>
        <v>0</v>
      </c>
      <c r="E551" s="3">
        <f>IF(OR(INDEX($J$2:$J$1001,MATCH(ROWS($I$2:I551),$I$2:$I$1001,0),1)&gt;=100000,INDEX($P$1005:$S$1005,1,MATCH(COLUMNS($P$1006:S1006),$P$1006:$S$1006,0))&gt;=100000), " ",IF(INDEX($P$2:$S$1001,MATCH(ROWS($I$2:I551),$I$2:$I$1001,0),MATCH(COLUMNS($P$1006:S1006),$P$1006:$S$1006,0)), HYPERLINK("#",""), HYPERLINK(CONCATENATE("#metadata!", ADDRESS(INDEX($K$2:$K$1001,MATCH(ROWS($I$2:I551),$I$2:$I$1001,0),0), INDEX($P$1004:$S$1004,1,MATCH(COLUMNS($P$1006:S1006),$P$1006:$S$1006,0)))),"Fix")))</f>
        <v>0</v>
      </c>
      <c r="I551">
        <v>0</v>
      </c>
      <c r="J551">
        <v>0</v>
      </c>
      <c r="K551">
        <v>0</v>
      </c>
      <c r="L551">
        <f>IF(M551,TRUE,AND(P551:S551))</f>
        <v>0</v>
      </c>
      <c r="M551">
        <f>COUNTBLANK(metadata!B551:E551)=COLUMNS(metadata!B551:E551)</f>
        <v>0</v>
      </c>
      <c r="N551">
        <v>0</v>
      </c>
      <c r="P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Q551">
        <f>AND(IF(metadata!C551="",FALSE,TRUE),exact(metadata!C551,"other"))</f>
        <v>0</v>
      </c>
      <c r="R551">
        <f>AND(IF(metadata!D551="",FALSE,TRUE),exact(metadata!D551,"metagenome"))</f>
        <v>0</v>
      </c>
      <c r="S551">
        <f>AND(IF(metadata!E551="",FALSE,TRUE),exact(metadata!E551,"256318"))</f>
        <v>0</v>
      </c>
    </row>
    <row r="552" spans="1:19">
      <c r="A552" s="4">
        <f>IF(B552=" "," ",HYPERLINK(CONCATENATE("#metadata!",ADDRESS(INDEX($K$2:$K$1001,MATCH(ROWS($I$2:I552),$I$2:$I$1001,0),0),1)),INDEX($N$2:$N$1001,MATCH(ROWS($I$2:I552),$I$2:$I$1001,0),0)))</f>
        <v>0</v>
      </c>
      <c r="B552" s="3">
        <f>IF(OR(INDEX($J$2:$J$1001,MATCH(ROWS($I$2:I552),$I$2:$I$1001,0),1)&gt;=100000,INDEX($P$1005:$S$1005,1,MATCH(COLUMNS($P$1006:P1006),$P$1006:$S$1006,0))&gt;=100000), " ",IF(INDEX($P$2:$S$1001,MATCH(ROWS($I$2:I552),$I$2:$I$1001,0),MATCH(COLUMNS($P$1006:P1006),$P$1006:$S$1006,0)), HYPERLINK("#",""), HYPERLINK(CONCATENATE("#metadata!", ADDRESS(INDEX($K$2:$K$1001,MATCH(ROWS($I$2:I552),$I$2:$I$1001,0),0), INDEX($P$1004:$S$1004,1,MATCH(COLUMNS($P$1006:P1006),$P$1006:$S$1006,0)))),"Fix")))</f>
        <v>0</v>
      </c>
      <c r="C552" s="3">
        <f>IF(OR(INDEX($J$2:$J$1001,MATCH(ROWS($I$2:I552),$I$2:$I$1001,0),1)&gt;=100000,INDEX($P$1005:$S$1005,1,MATCH(COLUMNS($P$1006:Q1006),$P$1006:$S$1006,0))&gt;=100000), " ",IF(INDEX($P$2:$S$1001,MATCH(ROWS($I$2:I552),$I$2:$I$1001,0),MATCH(COLUMNS($P$1006:Q1006),$P$1006:$S$1006,0)), HYPERLINK("#",""), HYPERLINK(CONCATENATE("#metadata!", ADDRESS(INDEX($K$2:$K$1001,MATCH(ROWS($I$2:I552),$I$2:$I$1001,0),0), INDEX($P$1004:$S$1004,1,MATCH(COLUMNS($P$1006:Q1006),$P$1006:$S$1006,0)))),"Fix")))</f>
        <v>0</v>
      </c>
      <c r="D552" s="3">
        <f>IF(OR(INDEX($J$2:$J$1001,MATCH(ROWS($I$2:I552),$I$2:$I$1001,0),1)&gt;=100000,INDEX($P$1005:$S$1005,1,MATCH(COLUMNS($P$1006:R1006),$P$1006:$S$1006,0))&gt;=100000), " ",IF(INDEX($P$2:$S$1001,MATCH(ROWS($I$2:I552),$I$2:$I$1001,0),MATCH(COLUMNS($P$1006:R1006),$P$1006:$S$1006,0)), HYPERLINK("#",""), HYPERLINK(CONCATENATE("#metadata!", ADDRESS(INDEX($K$2:$K$1001,MATCH(ROWS($I$2:I552),$I$2:$I$1001,0),0), INDEX($P$1004:$S$1004,1,MATCH(COLUMNS($P$1006:R1006),$P$1006:$S$1006,0)))),"Fix")))</f>
        <v>0</v>
      </c>
      <c r="E552" s="3">
        <f>IF(OR(INDEX($J$2:$J$1001,MATCH(ROWS($I$2:I552),$I$2:$I$1001,0),1)&gt;=100000,INDEX($P$1005:$S$1005,1,MATCH(COLUMNS($P$1006:S1006),$P$1006:$S$1006,0))&gt;=100000), " ",IF(INDEX($P$2:$S$1001,MATCH(ROWS($I$2:I552),$I$2:$I$1001,0),MATCH(COLUMNS($P$1006:S1006),$P$1006:$S$1006,0)), HYPERLINK("#",""), HYPERLINK(CONCATENATE("#metadata!", ADDRESS(INDEX($K$2:$K$1001,MATCH(ROWS($I$2:I552),$I$2:$I$1001,0),0), INDEX($P$1004:$S$1004,1,MATCH(COLUMNS($P$1006:S1006),$P$1006:$S$1006,0)))),"Fix")))</f>
        <v>0</v>
      </c>
      <c r="I552">
        <v>0</v>
      </c>
      <c r="J552">
        <v>0</v>
      </c>
      <c r="K552">
        <v>0</v>
      </c>
      <c r="L552">
        <f>IF(M552,TRUE,AND(P552:S552))</f>
        <v>0</v>
      </c>
      <c r="M552">
        <f>COUNTBLANK(metadata!B552:E552)=COLUMNS(metadata!B552:E552)</f>
        <v>0</v>
      </c>
      <c r="N552">
        <v>0</v>
      </c>
      <c r="P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Q552">
        <f>AND(IF(metadata!C552="",FALSE,TRUE),exact(metadata!C552,"other"))</f>
        <v>0</v>
      </c>
      <c r="R552">
        <f>AND(IF(metadata!D552="",FALSE,TRUE),exact(metadata!D552,"metagenome"))</f>
        <v>0</v>
      </c>
      <c r="S552">
        <f>AND(IF(metadata!E552="",FALSE,TRUE),exact(metadata!E552,"256318"))</f>
        <v>0</v>
      </c>
    </row>
    <row r="553" spans="1:19">
      <c r="A553" s="4">
        <f>IF(B553=" "," ",HYPERLINK(CONCATENATE("#metadata!",ADDRESS(INDEX($K$2:$K$1001,MATCH(ROWS($I$2:I553),$I$2:$I$1001,0),0),1)),INDEX($N$2:$N$1001,MATCH(ROWS($I$2:I553),$I$2:$I$1001,0),0)))</f>
        <v>0</v>
      </c>
      <c r="B553" s="3">
        <f>IF(OR(INDEX($J$2:$J$1001,MATCH(ROWS($I$2:I553),$I$2:$I$1001,0),1)&gt;=100000,INDEX($P$1005:$S$1005,1,MATCH(COLUMNS($P$1006:P1006),$P$1006:$S$1006,0))&gt;=100000), " ",IF(INDEX($P$2:$S$1001,MATCH(ROWS($I$2:I553),$I$2:$I$1001,0),MATCH(COLUMNS($P$1006:P1006),$P$1006:$S$1006,0)), HYPERLINK("#",""), HYPERLINK(CONCATENATE("#metadata!", ADDRESS(INDEX($K$2:$K$1001,MATCH(ROWS($I$2:I553),$I$2:$I$1001,0),0), INDEX($P$1004:$S$1004,1,MATCH(COLUMNS($P$1006:P1006),$P$1006:$S$1006,0)))),"Fix")))</f>
        <v>0</v>
      </c>
      <c r="C553" s="3">
        <f>IF(OR(INDEX($J$2:$J$1001,MATCH(ROWS($I$2:I553),$I$2:$I$1001,0),1)&gt;=100000,INDEX($P$1005:$S$1005,1,MATCH(COLUMNS($P$1006:Q1006),$P$1006:$S$1006,0))&gt;=100000), " ",IF(INDEX($P$2:$S$1001,MATCH(ROWS($I$2:I553),$I$2:$I$1001,0),MATCH(COLUMNS($P$1006:Q1006),$P$1006:$S$1006,0)), HYPERLINK("#",""), HYPERLINK(CONCATENATE("#metadata!", ADDRESS(INDEX($K$2:$K$1001,MATCH(ROWS($I$2:I553),$I$2:$I$1001,0),0), INDEX($P$1004:$S$1004,1,MATCH(COLUMNS($P$1006:Q1006),$P$1006:$S$1006,0)))),"Fix")))</f>
        <v>0</v>
      </c>
      <c r="D553" s="3">
        <f>IF(OR(INDEX($J$2:$J$1001,MATCH(ROWS($I$2:I553),$I$2:$I$1001,0),1)&gt;=100000,INDEX($P$1005:$S$1005,1,MATCH(COLUMNS($P$1006:R1006),$P$1006:$S$1006,0))&gt;=100000), " ",IF(INDEX($P$2:$S$1001,MATCH(ROWS($I$2:I553),$I$2:$I$1001,0),MATCH(COLUMNS($P$1006:R1006),$P$1006:$S$1006,0)), HYPERLINK("#",""), HYPERLINK(CONCATENATE("#metadata!", ADDRESS(INDEX($K$2:$K$1001,MATCH(ROWS($I$2:I553),$I$2:$I$1001,0),0), INDEX($P$1004:$S$1004,1,MATCH(COLUMNS($P$1006:R1006),$P$1006:$S$1006,0)))),"Fix")))</f>
        <v>0</v>
      </c>
      <c r="E553" s="3">
        <f>IF(OR(INDEX($J$2:$J$1001,MATCH(ROWS($I$2:I553),$I$2:$I$1001,0),1)&gt;=100000,INDEX($P$1005:$S$1005,1,MATCH(COLUMNS($P$1006:S1006),$P$1006:$S$1006,0))&gt;=100000), " ",IF(INDEX($P$2:$S$1001,MATCH(ROWS($I$2:I553),$I$2:$I$1001,0),MATCH(COLUMNS($P$1006:S1006),$P$1006:$S$1006,0)), HYPERLINK("#",""), HYPERLINK(CONCATENATE("#metadata!", ADDRESS(INDEX($K$2:$K$1001,MATCH(ROWS($I$2:I553),$I$2:$I$1001,0),0), INDEX($P$1004:$S$1004,1,MATCH(COLUMNS($P$1006:S1006),$P$1006:$S$1006,0)))),"Fix")))</f>
        <v>0</v>
      </c>
      <c r="I553">
        <v>0</v>
      </c>
      <c r="J553">
        <v>0</v>
      </c>
      <c r="K553">
        <v>0</v>
      </c>
      <c r="L553">
        <f>IF(M553,TRUE,AND(P553:S553))</f>
        <v>0</v>
      </c>
      <c r="M553">
        <f>COUNTBLANK(metadata!B553:E553)=COLUMNS(metadata!B553:E553)</f>
        <v>0</v>
      </c>
      <c r="N553">
        <v>0</v>
      </c>
      <c r="P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Q553">
        <f>AND(IF(metadata!C553="",FALSE,TRUE),exact(metadata!C553,"other"))</f>
        <v>0</v>
      </c>
      <c r="R553">
        <f>AND(IF(metadata!D553="",FALSE,TRUE),exact(metadata!D553,"metagenome"))</f>
        <v>0</v>
      </c>
      <c r="S553">
        <f>AND(IF(metadata!E553="",FALSE,TRUE),exact(metadata!E553,"256318"))</f>
        <v>0</v>
      </c>
    </row>
    <row r="554" spans="1:19">
      <c r="A554" s="4">
        <f>IF(B554=" "," ",HYPERLINK(CONCATENATE("#metadata!",ADDRESS(INDEX($K$2:$K$1001,MATCH(ROWS($I$2:I554),$I$2:$I$1001,0),0),1)),INDEX($N$2:$N$1001,MATCH(ROWS($I$2:I554),$I$2:$I$1001,0),0)))</f>
        <v>0</v>
      </c>
      <c r="B554" s="3">
        <f>IF(OR(INDEX($J$2:$J$1001,MATCH(ROWS($I$2:I554),$I$2:$I$1001,0),1)&gt;=100000,INDEX($P$1005:$S$1005,1,MATCH(COLUMNS($P$1006:P1006),$P$1006:$S$1006,0))&gt;=100000), " ",IF(INDEX($P$2:$S$1001,MATCH(ROWS($I$2:I554),$I$2:$I$1001,0),MATCH(COLUMNS($P$1006:P1006),$P$1006:$S$1006,0)), HYPERLINK("#",""), HYPERLINK(CONCATENATE("#metadata!", ADDRESS(INDEX($K$2:$K$1001,MATCH(ROWS($I$2:I554),$I$2:$I$1001,0),0), INDEX($P$1004:$S$1004,1,MATCH(COLUMNS($P$1006:P1006),$P$1006:$S$1006,0)))),"Fix")))</f>
        <v>0</v>
      </c>
      <c r="C554" s="3">
        <f>IF(OR(INDEX($J$2:$J$1001,MATCH(ROWS($I$2:I554),$I$2:$I$1001,0),1)&gt;=100000,INDEX($P$1005:$S$1005,1,MATCH(COLUMNS($P$1006:Q1006),$P$1006:$S$1006,0))&gt;=100000), " ",IF(INDEX($P$2:$S$1001,MATCH(ROWS($I$2:I554),$I$2:$I$1001,0),MATCH(COLUMNS($P$1006:Q1006),$P$1006:$S$1006,0)), HYPERLINK("#",""), HYPERLINK(CONCATENATE("#metadata!", ADDRESS(INDEX($K$2:$K$1001,MATCH(ROWS($I$2:I554),$I$2:$I$1001,0),0), INDEX($P$1004:$S$1004,1,MATCH(COLUMNS($P$1006:Q1006),$P$1006:$S$1006,0)))),"Fix")))</f>
        <v>0</v>
      </c>
      <c r="D554" s="3">
        <f>IF(OR(INDEX($J$2:$J$1001,MATCH(ROWS($I$2:I554),$I$2:$I$1001,0),1)&gt;=100000,INDEX($P$1005:$S$1005,1,MATCH(COLUMNS($P$1006:R1006),$P$1006:$S$1006,0))&gt;=100000), " ",IF(INDEX($P$2:$S$1001,MATCH(ROWS($I$2:I554),$I$2:$I$1001,0),MATCH(COLUMNS($P$1006:R1006),$P$1006:$S$1006,0)), HYPERLINK("#",""), HYPERLINK(CONCATENATE("#metadata!", ADDRESS(INDEX($K$2:$K$1001,MATCH(ROWS($I$2:I554),$I$2:$I$1001,0),0), INDEX($P$1004:$S$1004,1,MATCH(COLUMNS($P$1006:R1006),$P$1006:$S$1006,0)))),"Fix")))</f>
        <v>0</v>
      </c>
      <c r="E554" s="3">
        <f>IF(OR(INDEX($J$2:$J$1001,MATCH(ROWS($I$2:I554),$I$2:$I$1001,0),1)&gt;=100000,INDEX($P$1005:$S$1005,1,MATCH(COLUMNS($P$1006:S1006),$P$1006:$S$1006,0))&gt;=100000), " ",IF(INDEX($P$2:$S$1001,MATCH(ROWS($I$2:I554),$I$2:$I$1001,0),MATCH(COLUMNS($P$1006:S1006),$P$1006:$S$1006,0)), HYPERLINK("#",""), HYPERLINK(CONCATENATE("#metadata!", ADDRESS(INDEX($K$2:$K$1001,MATCH(ROWS($I$2:I554),$I$2:$I$1001,0),0), INDEX($P$1004:$S$1004,1,MATCH(COLUMNS($P$1006:S1006),$P$1006:$S$1006,0)))),"Fix")))</f>
        <v>0</v>
      </c>
      <c r="I554">
        <v>0</v>
      </c>
      <c r="J554">
        <v>0</v>
      </c>
      <c r="K554">
        <v>0</v>
      </c>
      <c r="L554">
        <f>IF(M554,TRUE,AND(P554:S554))</f>
        <v>0</v>
      </c>
      <c r="M554">
        <f>COUNTBLANK(metadata!B554:E554)=COLUMNS(metadata!B554:E554)</f>
        <v>0</v>
      </c>
      <c r="N554">
        <v>0</v>
      </c>
      <c r="P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Q554">
        <f>AND(IF(metadata!C554="",FALSE,TRUE),exact(metadata!C554,"other"))</f>
        <v>0</v>
      </c>
      <c r="R554">
        <f>AND(IF(metadata!D554="",FALSE,TRUE),exact(metadata!D554,"metagenome"))</f>
        <v>0</v>
      </c>
      <c r="S554">
        <f>AND(IF(metadata!E554="",FALSE,TRUE),exact(metadata!E554,"256318"))</f>
        <v>0</v>
      </c>
    </row>
    <row r="555" spans="1:19">
      <c r="A555" s="4">
        <f>IF(B555=" "," ",HYPERLINK(CONCATENATE("#metadata!",ADDRESS(INDEX($K$2:$K$1001,MATCH(ROWS($I$2:I555),$I$2:$I$1001,0),0),1)),INDEX($N$2:$N$1001,MATCH(ROWS($I$2:I555),$I$2:$I$1001,0),0)))</f>
        <v>0</v>
      </c>
      <c r="B555" s="3">
        <f>IF(OR(INDEX($J$2:$J$1001,MATCH(ROWS($I$2:I555),$I$2:$I$1001,0),1)&gt;=100000,INDEX($P$1005:$S$1005,1,MATCH(COLUMNS($P$1006:P1006),$P$1006:$S$1006,0))&gt;=100000), " ",IF(INDEX($P$2:$S$1001,MATCH(ROWS($I$2:I555),$I$2:$I$1001,0),MATCH(COLUMNS($P$1006:P1006),$P$1006:$S$1006,0)), HYPERLINK("#",""), HYPERLINK(CONCATENATE("#metadata!", ADDRESS(INDEX($K$2:$K$1001,MATCH(ROWS($I$2:I555),$I$2:$I$1001,0),0), INDEX($P$1004:$S$1004,1,MATCH(COLUMNS($P$1006:P1006),$P$1006:$S$1006,0)))),"Fix")))</f>
        <v>0</v>
      </c>
      <c r="C555" s="3">
        <f>IF(OR(INDEX($J$2:$J$1001,MATCH(ROWS($I$2:I555),$I$2:$I$1001,0),1)&gt;=100000,INDEX($P$1005:$S$1005,1,MATCH(COLUMNS($P$1006:Q1006),$P$1006:$S$1006,0))&gt;=100000), " ",IF(INDEX($P$2:$S$1001,MATCH(ROWS($I$2:I555),$I$2:$I$1001,0),MATCH(COLUMNS($P$1006:Q1006),$P$1006:$S$1006,0)), HYPERLINK("#",""), HYPERLINK(CONCATENATE("#metadata!", ADDRESS(INDEX($K$2:$K$1001,MATCH(ROWS($I$2:I555),$I$2:$I$1001,0),0), INDEX($P$1004:$S$1004,1,MATCH(COLUMNS($P$1006:Q1006),$P$1006:$S$1006,0)))),"Fix")))</f>
        <v>0</v>
      </c>
      <c r="D555" s="3">
        <f>IF(OR(INDEX($J$2:$J$1001,MATCH(ROWS($I$2:I555),$I$2:$I$1001,0),1)&gt;=100000,INDEX($P$1005:$S$1005,1,MATCH(COLUMNS($P$1006:R1006),$P$1006:$S$1006,0))&gt;=100000), " ",IF(INDEX($P$2:$S$1001,MATCH(ROWS($I$2:I555),$I$2:$I$1001,0),MATCH(COLUMNS($P$1006:R1006),$P$1006:$S$1006,0)), HYPERLINK("#",""), HYPERLINK(CONCATENATE("#metadata!", ADDRESS(INDEX($K$2:$K$1001,MATCH(ROWS($I$2:I555),$I$2:$I$1001,0),0), INDEX($P$1004:$S$1004,1,MATCH(COLUMNS($P$1006:R1006),$P$1006:$S$1006,0)))),"Fix")))</f>
        <v>0</v>
      </c>
      <c r="E555" s="3">
        <f>IF(OR(INDEX($J$2:$J$1001,MATCH(ROWS($I$2:I555),$I$2:$I$1001,0),1)&gt;=100000,INDEX($P$1005:$S$1005,1,MATCH(COLUMNS($P$1006:S1006),$P$1006:$S$1006,0))&gt;=100000), " ",IF(INDEX($P$2:$S$1001,MATCH(ROWS($I$2:I555),$I$2:$I$1001,0),MATCH(COLUMNS($P$1006:S1006),$P$1006:$S$1006,0)), HYPERLINK("#",""), HYPERLINK(CONCATENATE("#metadata!", ADDRESS(INDEX($K$2:$K$1001,MATCH(ROWS($I$2:I555),$I$2:$I$1001,0),0), INDEX($P$1004:$S$1004,1,MATCH(COLUMNS($P$1006:S1006),$P$1006:$S$1006,0)))),"Fix")))</f>
        <v>0</v>
      </c>
      <c r="I555">
        <v>0</v>
      </c>
      <c r="J555">
        <v>0</v>
      </c>
      <c r="K555">
        <v>0</v>
      </c>
      <c r="L555">
        <f>IF(M555,TRUE,AND(P555:S555))</f>
        <v>0</v>
      </c>
      <c r="M555">
        <f>COUNTBLANK(metadata!B555:E555)=COLUMNS(metadata!B555:E555)</f>
        <v>0</v>
      </c>
      <c r="N555">
        <v>0</v>
      </c>
      <c r="P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Q555">
        <f>AND(IF(metadata!C555="",FALSE,TRUE),exact(metadata!C555,"other"))</f>
        <v>0</v>
      </c>
      <c r="R555">
        <f>AND(IF(metadata!D555="",FALSE,TRUE),exact(metadata!D555,"metagenome"))</f>
        <v>0</v>
      </c>
      <c r="S555">
        <f>AND(IF(metadata!E555="",FALSE,TRUE),exact(metadata!E555,"256318"))</f>
        <v>0</v>
      </c>
    </row>
    <row r="556" spans="1:19">
      <c r="A556" s="4">
        <f>IF(B556=" "," ",HYPERLINK(CONCATENATE("#metadata!",ADDRESS(INDEX($K$2:$K$1001,MATCH(ROWS($I$2:I556),$I$2:$I$1001,0),0),1)),INDEX($N$2:$N$1001,MATCH(ROWS($I$2:I556),$I$2:$I$1001,0),0)))</f>
        <v>0</v>
      </c>
      <c r="B556" s="3">
        <f>IF(OR(INDEX($J$2:$J$1001,MATCH(ROWS($I$2:I556),$I$2:$I$1001,0),1)&gt;=100000,INDEX($P$1005:$S$1005,1,MATCH(COLUMNS($P$1006:P1006),$P$1006:$S$1006,0))&gt;=100000), " ",IF(INDEX($P$2:$S$1001,MATCH(ROWS($I$2:I556),$I$2:$I$1001,0),MATCH(COLUMNS($P$1006:P1006),$P$1006:$S$1006,0)), HYPERLINK("#",""), HYPERLINK(CONCATENATE("#metadata!", ADDRESS(INDEX($K$2:$K$1001,MATCH(ROWS($I$2:I556),$I$2:$I$1001,0),0), INDEX($P$1004:$S$1004,1,MATCH(COLUMNS($P$1006:P1006),$P$1006:$S$1006,0)))),"Fix")))</f>
        <v>0</v>
      </c>
      <c r="C556" s="3">
        <f>IF(OR(INDEX($J$2:$J$1001,MATCH(ROWS($I$2:I556),$I$2:$I$1001,0),1)&gt;=100000,INDEX($P$1005:$S$1005,1,MATCH(COLUMNS($P$1006:Q1006),$P$1006:$S$1006,0))&gt;=100000), " ",IF(INDEX($P$2:$S$1001,MATCH(ROWS($I$2:I556),$I$2:$I$1001,0),MATCH(COLUMNS($P$1006:Q1006),$P$1006:$S$1006,0)), HYPERLINK("#",""), HYPERLINK(CONCATENATE("#metadata!", ADDRESS(INDEX($K$2:$K$1001,MATCH(ROWS($I$2:I556),$I$2:$I$1001,0),0), INDEX($P$1004:$S$1004,1,MATCH(COLUMNS($P$1006:Q1006),$P$1006:$S$1006,0)))),"Fix")))</f>
        <v>0</v>
      </c>
      <c r="D556" s="3">
        <f>IF(OR(INDEX($J$2:$J$1001,MATCH(ROWS($I$2:I556),$I$2:$I$1001,0),1)&gt;=100000,INDEX($P$1005:$S$1005,1,MATCH(COLUMNS($P$1006:R1006),$P$1006:$S$1006,0))&gt;=100000), " ",IF(INDEX($P$2:$S$1001,MATCH(ROWS($I$2:I556),$I$2:$I$1001,0),MATCH(COLUMNS($P$1006:R1006),$P$1006:$S$1006,0)), HYPERLINK("#",""), HYPERLINK(CONCATENATE("#metadata!", ADDRESS(INDEX($K$2:$K$1001,MATCH(ROWS($I$2:I556),$I$2:$I$1001,0),0), INDEX($P$1004:$S$1004,1,MATCH(COLUMNS($P$1006:R1006),$P$1006:$S$1006,0)))),"Fix")))</f>
        <v>0</v>
      </c>
      <c r="E556" s="3">
        <f>IF(OR(INDEX($J$2:$J$1001,MATCH(ROWS($I$2:I556),$I$2:$I$1001,0),1)&gt;=100000,INDEX($P$1005:$S$1005,1,MATCH(COLUMNS($P$1006:S1006),$P$1006:$S$1006,0))&gt;=100000), " ",IF(INDEX($P$2:$S$1001,MATCH(ROWS($I$2:I556),$I$2:$I$1001,0),MATCH(COLUMNS($P$1006:S1006),$P$1006:$S$1006,0)), HYPERLINK("#",""), HYPERLINK(CONCATENATE("#metadata!", ADDRESS(INDEX($K$2:$K$1001,MATCH(ROWS($I$2:I556),$I$2:$I$1001,0),0), INDEX($P$1004:$S$1004,1,MATCH(COLUMNS($P$1006:S1006),$P$1006:$S$1006,0)))),"Fix")))</f>
        <v>0</v>
      </c>
      <c r="I556">
        <v>0</v>
      </c>
      <c r="J556">
        <v>0</v>
      </c>
      <c r="K556">
        <v>0</v>
      </c>
      <c r="L556">
        <f>IF(M556,TRUE,AND(P556:S556))</f>
        <v>0</v>
      </c>
      <c r="M556">
        <f>COUNTBLANK(metadata!B556:E556)=COLUMNS(metadata!B556:E556)</f>
        <v>0</v>
      </c>
      <c r="N556">
        <v>0</v>
      </c>
      <c r="P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Q556">
        <f>AND(IF(metadata!C556="",FALSE,TRUE),exact(metadata!C556,"other"))</f>
        <v>0</v>
      </c>
      <c r="R556">
        <f>AND(IF(metadata!D556="",FALSE,TRUE),exact(metadata!D556,"metagenome"))</f>
        <v>0</v>
      </c>
      <c r="S556">
        <f>AND(IF(metadata!E556="",FALSE,TRUE),exact(metadata!E556,"256318"))</f>
        <v>0</v>
      </c>
    </row>
    <row r="557" spans="1:19">
      <c r="A557" s="4">
        <f>IF(B557=" "," ",HYPERLINK(CONCATENATE("#metadata!",ADDRESS(INDEX($K$2:$K$1001,MATCH(ROWS($I$2:I557),$I$2:$I$1001,0),0),1)),INDEX($N$2:$N$1001,MATCH(ROWS($I$2:I557),$I$2:$I$1001,0),0)))</f>
        <v>0</v>
      </c>
      <c r="B557" s="3">
        <f>IF(OR(INDEX($J$2:$J$1001,MATCH(ROWS($I$2:I557),$I$2:$I$1001,0),1)&gt;=100000,INDEX($P$1005:$S$1005,1,MATCH(COLUMNS($P$1006:P1006),$P$1006:$S$1006,0))&gt;=100000), " ",IF(INDEX($P$2:$S$1001,MATCH(ROWS($I$2:I557),$I$2:$I$1001,0),MATCH(COLUMNS($P$1006:P1006),$P$1006:$S$1006,0)), HYPERLINK("#",""), HYPERLINK(CONCATENATE("#metadata!", ADDRESS(INDEX($K$2:$K$1001,MATCH(ROWS($I$2:I557),$I$2:$I$1001,0),0), INDEX($P$1004:$S$1004,1,MATCH(COLUMNS($P$1006:P1006),$P$1006:$S$1006,0)))),"Fix")))</f>
        <v>0</v>
      </c>
      <c r="C557" s="3">
        <f>IF(OR(INDEX($J$2:$J$1001,MATCH(ROWS($I$2:I557),$I$2:$I$1001,0),1)&gt;=100000,INDEX($P$1005:$S$1005,1,MATCH(COLUMNS($P$1006:Q1006),$P$1006:$S$1006,0))&gt;=100000), " ",IF(INDEX($P$2:$S$1001,MATCH(ROWS($I$2:I557),$I$2:$I$1001,0),MATCH(COLUMNS($P$1006:Q1006),$P$1006:$S$1006,0)), HYPERLINK("#",""), HYPERLINK(CONCATENATE("#metadata!", ADDRESS(INDEX($K$2:$K$1001,MATCH(ROWS($I$2:I557),$I$2:$I$1001,0),0), INDEX($P$1004:$S$1004,1,MATCH(COLUMNS($P$1006:Q1006),$P$1006:$S$1006,0)))),"Fix")))</f>
        <v>0</v>
      </c>
      <c r="D557" s="3">
        <f>IF(OR(INDEX($J$2:$J$1001,MATCH(ROWS($I$2:I557),$I$2:$I$1001,0),1)&gt;=100000,INDEX($P$1005:$S$1005,1,MATCH(COLUMNS($P$1006:R1006),$P$1006:$S$1006,0))&gt;=100000), " ",IF(INDEX($P$2:$S$1001,MATCH(ROWS($I$2:I557),$I$2:$I$1001,0),MATCH(COLUMNS($P$1006:R1006),$P$1006:$S$1006,0)), HYPERLINK("#",""), HYPERLINK(CONCATENATE("#metadata!", ADDRESS(INDEX($K$2:$K$1001,MATCH(ROWS($I$2:I557),$I$2:$I$1001,0),0), INDEX($P$1004:$S$1004,1,MATCH(COLUMNS($P$1006:R1006),$P$1006:$S$1006,0)))),"Fix")))</f>
        <v>0</v>
      </c>
      <c r="E557" s="3">
        <f>IF(OR(INDEX($J$2:$J$1001,MATCH(ROWS($I$2:I557),$I$2:$I$1001,0),1)&gt;=100000,INDEX($P$1005:$S$1005,1,MATCH(COLUMNS($P$1006:S1006),$P$1006:$S$1006,0))&gt;=100000), " ",IF(INDEX($P$2:$S$1001,MATCH(ROWS($I$2:I557),$I$2:$I$1001,0),MATCH(COLUMNS($P$1006:S1006),$P$1006:$S$1006,0)), HYPERLINK("#",""), HYPERLINK(CONCATENATE("#metadata!", ADDRESS(INDEX($K$2:$K$1001,MATCH(ROWS($I$2:I557),$I$2:$I$1001,0),0), INDEX($P$1004:$S$1004,1,MATCH(COLUMNS($P$1006:S1006),$P$1006:$S$1006,0)))),"Fix")))</f>
        <v>0</v>
      </c>
      <c r="I557">
        <v>0</v>
      </c>
      <c r="J557">
        <v>0</v>
      </c>
      <c r="K557">
        <v>0</v>
      </c>
      <c r="L557">
        <f>IF(M557,TRUE,AND(P557:S557))</f>
        <v>0</v>
      </c>
      <c r="M557">
        <f>COUNTBLANK(metadata!B557:E557)=COLUMNS(metadata!B557:E557)</f>
        <v>0</v>
      </c>
      <c r="N557">
        <v>0</v>
      </c>
      <c r="P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Q557">
        <f>AND(IF(metadata!C557="",FALSE,TRUE),exact(metadata!C557,"other"))</f>
        <v>0</v>
      </c>
      <c r="R557">
        <f>AND(IF(metadata!D557="",FALSE,TRUE),exact(metadata!D557,"metagenome"))</f>
        <v>0</v>
      </c>
      <c r="S557">
        <f>AND(IF(metadata!E557="",FALSE,TRUE),exact(metadata!E557,"256318"))</f>
        <v>0</v>
      </c>
    </row>
    <row r="558" spans="1:19">
      <c r="A558" s="4">
        <f>IF(B558=" "," ",HYPERLINK(CONCATENATE("#metadata!",ADDRESS(INDEX($K$2:$K$1001,MATCH(ROWS($I$2:I558),$I$2:$I$1001,0),0),1)),INDEX($N$2:$N$1001,MATCH(ROWS($I$2:I558),$I$2:$I$1001,0),0)))</f>
        <v>0</v>
      </c>
      <c r="B558" s="3">
        <f>IF(OR(INDEX($J$2:$J$1001,MATCH(ROWS($I$2:I558),$I$2:$I$1001,0),1)&gt;=100000,INDEX($P$1005:$S$1005,1,MATCH(COLUMNS($P$1006:P1006),$P$1006:$S$1006,0))&gt;=100000), " ",IF(INDEX($P$2:$S$1001,MATCH(ROWS($I$2:I558),$I$2:$I$1001,0),MATCH(COLUMNS($P$1006:P1006),$P$1006:$S$1006,0)), HYPERLINK("#",""), HYPERLINK(CONCATENATE("#metadata!", ADDRESS(INDEX($K$2:$K$1001,MATCH(ROWS($I$2:I558),$I$2:$I$1001,0),0), INDEX($P$1004:$S$1004,1,MATCH(COLUMNS($P$1006:P1006),$P$1006:$S$1006,0)))),"Fix")))</f>
        <v>0</v>
      </c>
      <c r="C558" s="3">
        <f>IF(OR(INDEX($J$2:$J$1001,MATCH(ROWS($I$2:I558),$I$2:$I$1001,0),1)&gt;=100000,INDEX($P$1005:$S$1005,1,MATCH(COLUMNS($P$1006:Q1006),$P$1006:$S$1006,0))&gt;=100000), " ",IF(INDEX($P$2:$S$1001,MATCH(ROWS($I$2:I558),$I$2:$I$1001,0),MATCH(COLUMNS($P$1006:Q1006),$P$1006:$S$1006,0)), HYPERLINK("#",""), HYPERLINK(CONCATENATE("#metadata!", ADDRESS(INDEX($K$2:$K$1001,MATCH(ROWS($I$2:I558),$I$2:$I$1001,0),0), INDEX($P$1004:$S$1004,1,MATCH(COLUMNS($P$1006:Q1006),$P$1006:$S$1006,0)))),"Fix")))</f>
        <v>0</v>
      </c>
      <c r="D558" s="3">
        <f>IF(OR(INDEX($J$2:$J$1001,MATCH(ROWS($I$2:I558),$I$2:$I$1001,0),1)&gt;=100000,INDEX($P$1005:$S$1005,1,MATCH(COLUMNS($P$1006:R1006),$P$1006:$S$1006,0))&gt;=100000), " ",IF(INDEX($P$2:$S$1001,MATCH(ROWS($I$2:I558),$I$2:$I$1001,0),MATCH(COLUMNS($P$1006:R1006),$P$1006:$S$1006,0)), HYPERLINK("#",""), HYPERLINK(CONCATENATE("#metadata!", ADDRESS(INDEX($K$2:$K$1001,MATCH(ROWS($I$2:I558),$I$2:$I$1001,0),0), INDEX($P$1004:$S$1004,1,MATCH(COLUMNS($P$1006:R1006),$P$1006:$S$1006,0)))),"Fix")))</f>
        <v>0</v>
      </c>
      <c r="E558" s="3">
        <f>IF(OR(INDEX($J$2:$J$1001,MATCH(ROWS($I$2:I558),$I$2:$I$1001,0),1)&gt;=100000,INDEX($P$1005:$S$1005,1,MATCH(COLUMNS($P$1006:S1006),$P$1006:$S$1006,0))&gt;=100000), " ",IF(INDEX($P$2:$S$1001,MATCH(ROWS($I$2:I558),$I$2:$I$1001,0),MATCH(COLUMNS($P$1006:S1006),$P$1006:$S$1006,0)), HYPERLINK("#",""), HYPERLINK(CONCATENATE("#metadata!", ADDRESS(INDEX($K$2:$K$1001,MATCH(ROWS($I$2:I558),$I$2:$I$1001,0),0), INDEX($P$1004:$S$1004,1,MATCH(COLUMNS($P$1006:S1006),$P$1006:$S$1006,0)))),"Fix")))</f>
        <v>0</v>
      </c>
      <c r="I558">
        <v>0</v>
      </c>
      <c r="J558">
        <v>0</v>
      </c>
      <c r="K558">
        <v>0</v>
      </c>
      <c r="L558">
        <f>IF(M558,TRUE,AND(P558:S558))</f>
        <v>0</v>
      </c>
      <c r="M558">
        <f>COUNTBLANK(metadata!B558:E558)=COLUMNS(metadata!B558:E558)</f>
        <v>0</v>
      </c>
      <c r="N558">
        <v>0</v>
      </c>
      <c r="P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Q558">
        <f>AND(IF(metadata!C558="",FALSE,TRUE),exact(metadata!C558,"other"))</f>
        <v>0</v>
      </c>
      <c r="R558">
        <f>AND(IF(metadata!D558="",FALSE,TRUE),exact(metadata!D558,"metagenome"))</f>
        <v>0</v>
      </c>
      <c r="S558">
        <f>AND(IF(metadata!E558="",FALSE,TRUE),exact(metadata!E558,"256318"))</f>
        <v>0</v>
      </c>
    </row>
    <row r="559" spans="1:19">
      <c r="A559" s="4">
        <f>IF(B559=" "," ",HYPERLINK(CONCATENATE("#metadata!",ADDRESS(INDEX($K$2:$K$1001,MATCH(ROWS($I$2:I559),$I$2:$I$1001,0),0),1)),INDEX($N$2:$N$1001,MATCH(ROWS($I$2:I559),$I$2:$I$1001,0),0)))</f>
        <v>0</v>
      </c>
      <c r="B559" s="3">
        <f>IF(OR(INDEX($J$2:$J$1001,MATCH(ROWS($I$2:I559),$I$2:$I$1001,0),1)&gt;=100000,INDEX($P$1005:$S$1005,1,MATCH(COLUMNS($P$1006:P1006),$P$1006:$S$1006,0))&gt;=100000), " ",IF(INDEX($P$2:$S$1001,MATCH(ROWS($I$2:I559),$I$2:$I$1001,0),MATCH(COLUMNS($P$1006:P1006),$P$1006:$S$1006,0)), HYPERLINK("#",""), HYPERLINK(CONCATENATE("#metadata!", ADDRESS(INDEX($K$2:$K$1001,MATCH(ROWS($I$2:I559),$I$2:$I$1001,0),0), INDEX($P$1004:$S$1004,1,MATCH(COLUMNS($P$1006:P1006),$P$1006:$S$1006,0)))),"Fix")))</f>
        <v>0</v>
      </c>
      <c r="C559" s="3">
        <f>IF(OR(INDEX($J$2:$J$1001,MATCH(ROWS($I$2:I559),$I$2:$I$1001,0),1)&gt;=100000,INDEX($P$1005:$S$1005,1,MATCH(COLUMNS($P$1006:Q1006),$P$1006:$S$1006,0))&gt;=100000), " ",IF(INDEX($P$2:$S$1001,MATCH(ROWS($I$2:I559),$I$2:$I$1001,0),MATCH(COLUMNS($P$1006:Q1006),$P$1006:$S$1006,0)), HYPERLINK("#",""), HYPERLINK(CONCATENATE("#metadata!", ADDRESS(INDEX($K$2:$K$1001,MATCH(ROWS($I$2:I559),$I$2:$I$1001,0),0), INDEX($P$1004:$S$1004,1,MATCH(COLUMNS($P$1006:Q1006),$P$1006:$S$1006,0)))),"Fix")))</f>
        <v>0</v>
      </c>
      <c r="D559" s="3">
        <f>IF(OR(INDEX($J$2:$J$1001,MATCH(ROWS($I$2:I559),$I$2:$I$1001,0),1)&gt;=100000,INDEX($P$1005:$S$1005,1,MATCH(COLUMNS($P$1006:R1006),$P$1006:$S$1006,0))&gt;=100000), " ",IF(INDEX($P$2:$S$1001,MATCH(ROWS($I$2:I559),$I$2:$I$1001,0),MATCH(COLUMNS($P$1006:R1006),$P$1006:$S$1006,0)), HYPERLINK("#",""), HYPERLINK(CONCATENATE("#metadata!", ADDRESS(INDEX($K$2:$K$1001,MATCH(ROWS($I$2:I559),$I$2:$I$1001,0),0), INDEX($P$1004:$S$1004,1,MATCH(COLUMNS($P$1006:R1006),$P$1006:$S$1006,0)))),"Fix")))</f>
        <v>0</v>
      </c>
      <c r="E559" s="3">
        <f>IF(OR(INDEX($J$2:$J$1001,MATCH(ROWS($I$2:I559),$I$2:$I$1001,0),1)&gt;=100000,INDEX($P$1005:$S$1005,1,MATCH(COLUMNS($P$1006:S1006),$P$1006:$S$1006,0))&gt;=100000), " ",IF(INDEX($P$2:$S$1001,MATCH(ROWS($I$2:I559),$I$2:$I$1001,0),MATCH(COLUMNS($P$1006:S1006),$P$1006:$S$1006,0)), HYPERLINK("#",""), HYPERLINK(CONCATENATE("#metadata!", ADDRESS(INDEX($K$2:$K$1001,MATCH(ROWS($I$2:I559),$I$2:$I$1001,0),0), INDEX($P$1004:$S$1004,1,MATCH(COLUMNS($P$1006:S1006),$P$1006:$S$1006,0)))),"Fix")))</f>
        <v>0</v>
      </c>
      <c r="I559">
        <v>0</v>
      </c>
      <c r="J559">
        <v>0</v>
      </c>
      <c r="K559">
        <v>0</v>
      </c>
      <c r="L559">
        <f>IF(M559,TRUE,AND(P559:S559))</f>
        <v>0</v>
      </c>
      <c r="M559">
        <f>COUNTBLANK(metadata!B559:E559)=COLUMNS(metadata!B559:E559)</f>
        <v>0</v>
      </c>
      <c r="N559">
        <v>0</v>
      </c>
      <c r="P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Q559">
        <f>AND(IF(metadata!C559="",FALSE,TRUE),exact(metadata!C559,"other"))</f>
        <v>0</v>
      </c>
      <c r="R559">
        <f>AND(IF(metadata!D559="",FALSE,TRUE),exact(metadata!D559,"metagenome"))</f>
        <v>0</v>
      </c>
      <c r="S559">
        <f>AND(IF(metadata!E559="",FALSE,TRUE),exact(metadata!E559,"256318"))</f>
        <v>0</v>
      </c>
    </row>
    <row r="560" spans="1:19">
      <c r="A560" s="4">
        <f>IF(B560=" "," ",HYPERLINK(CONCATENATE("#metadata!",ADDRESS(INDEX($K$2:$K$1001,MATCH(ROWS($I$2:I560),$I$2:$I$1001,0),0),1)),INDEX($N$2:$N$1001,MATCH(ROWS($I$2:I560),$I$2:$I$1001,0),0)))</f>
        <v>0</v>
      </c>
      <c r="B560" s="3">
        <f>IF(OR(INDEX($J$2:$J$1001,MATCH(ROWS($I$2:I560),$I$2:$I$1001,0),1)&gt;=100000,INDEX($P$1005:$S$1005,1,MATCH(COLUMNS($P$1006:P1006),$P$1006:$S$1006,0))&gt;=100000), " ",IF(INDEX($P$2:$S$1001,MATCH(ROWS($I$2:I560),$I$2:$I$1001,0),MATCH(COLUMNS($P$1006:P1006),$P$1006:$S$1006,0)), HYPERLINK("#",""), HYPERLINK(CONCATENATE("#metadata!", ADDRESS(INDEX($K$2:$K$1001,MATCH(ROWS($I$2:I560),$I$2:$I$1001,0),0), INDEX($P$1004:$S$1004,1,MATCH(COLUMNS($P$1006:P1006),$P$1006:$S$1006,0)))),"Fix")))</f>
        <v>0</v>
      </c>
      <c r="C560" s="3">
        <f>IF(OR(INDEX($J$2:$J$1001,MATCH(ROWS($I$2:I560),$I$2:$I$1001,0),1)&gt;=100000,INDEX($P$1005:$S$1005,1,MATCH(COLUMNS($P$1006:Q1006),$P$1006:$S$1006,0))&gt;=100000), " ",IF(INDEX($P$2:$S$1001,MATCH(ROWS($I$2:I560),$I$2:$I$1001,0),MATCH(COLUMNS($P$1006:Q1006),$P$1006:$S$1006,0)), HYPERLINK("#",""), HYPERLINK(CONCATENATE("#metadata!", ADDRESS(INDEX($K$2:$K$1001,MATCH(ROWS($I$2:I560),$I$2:$I$1001,0),0), INDEX($P$1004:$S$1004,1,MATCH(COLUMNS($P$1006:Q1006),$P$1006:$S$1006,0)))),"Fix")))</f>
        <v>0</v>
      </c>
      <c r="D560" s="3">
        <f>IF(OR(INDEX($J$2:$J$1001,MATCH(ROWS($I$2:I560),$I$2:$I$1001,0),1)&gt;=100000,INDEX($P$1005:$S$1005,1,MATCH(COLUMNS($P$1006:R1006),$P$1006:$S$1006,0))&gt;=100000), " ",IF(INDEX($P$2:$S$1001,MATCH(ROWS($I$2:I560),$I$2:$I$1001,0),MATCH(COLUMNS($P$1006:R1006),$P$1006:$S$1006,0)), HYPERLINK("#",""), HYPERLINK(CONCATENATE("#metadata!", ADDRESS(INDEX($K$2:$K$1001,MATCH(ROWS($I$2:I560),$I$2:$I$1001,0),0), INDEX($P$1004:$S$1004,1,MATCH(COLUMNS($P$1006:R1006),$P$1006:$S$1006,0)))),"Fix")))</f>
        <v>0</v>
      </c>
      <c r="E560" s="3">
        <f>IF(OR(INDEX($J$2:$J$1001,MATCH(ROWS($I$2:I560),$I$2:$I$1001,0),1)&gt;=100000,INDEX($P$1005:$S$1005,1,MATCH(COLUMNS($P$1006:S1006),$P$1006:$S$1006,0))&gt;=100000), " ",IF(INDEX($P$2:$S$1001,MATCH(ROWS($I$2:I560),$I$2:$I$1001,0),MATCH(COLUMNS($P$1006:S1006),$P$1006:$S$1006,0)), HYPERLINK("#",""), HYPERLINK(CONCATENATE("#metadata!", ADDRESS(INDEX($K$2:$K$1001,MATCH(ROWS($I$2:I560),$I$2:$I$1001,0),0), INDEX($P$1004:$S$1004,1,MATCH(COLUMNS($P$1006:S1006),$P$1006:$S$1006,0)))),"Fix")))</f>
        <v>0</v>
      </c>
      <c r="I560">
        <v>0</v>
      </c>
      <c r="J560">
        <v>0</v>
      </c>
      <c r="K560">
        <v>0</v>
      </c>
      <c r="L560">
        <f>IF(M560,TRUE,AND(P560:S560))</f>
        <v>0</v>
      </c>
      <c r="M560">
        <f>COUNTBLANK(metadata!B560:E560)=COLUMNS(metadata!B560:E560)</f>
        <v>0</v>
      </c>
      <c r="N560">
        <v>0</v>
      </c>
      <c r="P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Q560">
        <f>AND(IF(metadata!C560="",FALSE,TRUE),exact(metadata!C560,"other"))</f>
        <v>0</v>
      </c>
      <c r="R560">
        <f>AND(IF(metadata!D560="",FALSE,TRUE),exact(metadata!D560,"metagenome"))</f>
        <v>0</v>
      </c>
      <c r="S560">
        <f>AND(IF(metadata!E560="",FALSE,TRUE),exact(metadata!E560,"256318"))</f>
        <v>0</v>
      </c>
    </row>
    <row r="561" spans="1:19">
      <c r="A561" s="4">
        <f>IF(B561=" "," ",HYPERLINK(CONCATENATE("#metadata!",ADDRESS(INDEX($K$2:$K$1001,MATCH(ROWS($I$2:I561),$I$2:$I$1001,0),0),1)),INDEX($N$2:$N$1001,MATCH(ROWS($I$2:I561),$I$2:$I$1001,0),0)))</f>
        <v>0</v>
      </c>
      <c r="B561" s="3">
        <f>IF(OR(INDEX($J$2:$J$1001,MATCH(ROWS($I$2:I561),$I$2:$I$1001,0),1)&gt;=100000,INDEX($P$1005:$S$1005,1,MATCH(COLUMNS($P$1006:P1006),$P$1006:$S$1006,0))&gt;=100000), " ",IF(INDEX($P$2:$S$1001,MATCH(ROWS($I$2:I561),$I$2:$I$1001,0),MATCH(COLUMNS($P$1006:P1006),$P$1006:$S$1006,0)), HYPERLINK("#",""), HYPERLINK(CONCATENATE("#metadata!", ADDRESS(INDEX($K$2:$K$1001,MATCH(ROWS($I$2:I561),$I$2:$I$1001,0),0), INDEX($P$1004:$S$1004,1,MATCH(COLUMNS($P$1006:P1006),$P$1006:$S$1006,0)))),"Fix")))</f>
        <v>0</v>
      </c>
      <c r="C561" s="3">
        <f>IF(OR(INDEX($J$2:$J$1001,MATCH(ROWS($I$2:I561),$I$2:$I$1001,0),1)&gt;=100000,INDEX($P$1005:$S$1005,1,MATCH(COLUMNS($P$1006:Q1006),$P$1006:$S$1006,0))&gt;=100000), " ",IF(INDEX($P$2:$S$1001,MATCH(ROWS($I$2:I561),$I$2:$I$1001,0),MATCH(COLUMNS($P$1006:Q1006),$P$1006:$S$1006,0)), HYPERLINK("#",""), HYPERLINK(CONCATENATE("#metadata!", ADDRESS(INDEX($K$2:$K$1001,MATCH(ROWS($I$2:I561),$I$2:$I$1001,0),0), INDEX($P$1004:$S$1004,1,MATCH(COLUMNS($P$1006:Q1006),$P$1006:$S$1006,0)))),"Fix")))</f>
        <v>0</v>
      </c>
      <c r="D561" s="3">
        <f>IF(OR(INDEX($J$2:$J$1001,MATCH(ROWS($I$2:I561),$I$2:$I$1001,0),1)&gt;=100000,INDEX($P$1005:$S$1005,1,MATCH(COLUMNS($P$1006:R1006),$P$1006:$S$1006,0))&gt;=100000), " ",IF(INDEX($P$2:$S$1001,MATCH(ROWS($I$2:I561),$I$2:$I$1001,0),MATCH(COLUMNS($P$1006:R1006),$P$1006:$S$1006,0)), HYPERLINK("#",""), HYPERLINK(CONCATENATE("#metadata!", ADDRESS(INDEX($K$2:$K$1001,MATCH(ROWS($I$2:I561),$I$2:$I$1001,0),0), INDEX($P$1004:$S$1004,1,MATCH(COLUMNS($P$1006:R1006),$P$1006:$S$1006,0)))),"Fix")))</f>
        <v>0</v>
      </c>
      <c r="E561" s="3">
        <f>IF(OR(INDEX($J$2:$J$1001,MATCH(ROWS($I$2:I561),$I$2:$I$1001,0),1)&gt;=100000,INDEX($P$1005:$S$1005,1,MATCH(COLUMNS($P$1006:S1006),$P$1006:$S$1006,0))&gt;=100000), " ",IF(INDEX($P$2:$S$1001,MATCH(ROWS($I$2:I561),$I$2:$I$1001,0),MATCH(COLUMNS($P$1006:S1006),$P$1006:$S$1006,0)), HYPERLINK("#",""), HYPERLINK(CONCATENATE("#metadata!", ADDRESS(INDEX($K$2:$K$1001,MATCH(ROWS($I$2:I561),$I$2:$I$1001,0),0), INDEX($P$1004:$S$1004,1,MATCH(COLUMNS($P$1006:S1006),$P$1006:$S$1006,0)))),"Fix")))</f>
        <v>0</v>
      </c>
      <c r="I561">
        <v>0</v>
      </c>
      <c r="J561">
        <v>0</v>
      </c>
      <c r="K561">
        <v>0</v>
      </c>
      <c r="L561">
        <f>IF(M561,TRUE,AND(P561:S561))</f>
        <v>0</v>
      </c>
      <c r="M561">
        <f>COUNTBLANK(metadata!B561:E561)=COLUMNS(metadata!B561:E561)</f>
        <v>0</v>
      </c>
      <c r="N561">
        <v>0</v>
      </c>
      <c r="P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Q561">
        <f>AND(IF(metadata!C561="",FALSE,TRUE),exact(metadata!C561,"other"))</f>
        <v>0</v>
      </c>
      <c r="R561">
        <f>AND(IF(metadata!D561="",FALSE,TRUE),exact(metadata!D561,"metagenome"))</f>
        <v>0</v>
      </c>
      <c r="S561">
        <f>AND(IF(metadata!E561="",FALSE,TRUE),exact(metadata!E561,"256318"))</f>
        <v>0</v>
      </c>
    </row>
    <row r="562" spans="1:19">
      <c r="A562" s="4">
        <f>IF(B562=" "," ",HYPERLINK(CONCATENATE("#metadata!",ADDRESS(INDEX($K$2:$K$1001,MATCH(ROWS($I$2:I562),$I$2:$I$1001,0),0),1)),INDEX($N$2:$N$1001,MATCH(ROWS($I$2:I562),$I$2:$I$1001,0),0)))</f>
        <v>0</v>
      </c>
      <c r="B562" s="3">
        <f>IF(OR(INDEX($J$2:$J$1001,MATCH(ROWS($I$2:I562),$I$2:$I$1001,0),1)&gt;=100000,INDEX($P$1005:$S$1005,1,MATCH(COLUMNS($P$1006:P1006),$P$1006:$S$1006,0))&gt;=100000), " ",IF(INDEX($P$2:$S$1001,MATCH(ROWS($I$2:I562),$I$2:$I$1001,0),MATCH(COLUMNS($P$1006:P1006),$P$1006:$S$1006,0)), HYPERLINK("#",""), HYPERLINK(CONCATENATE("#metadata!", ADDRESS(INDEX($K$2:$K$1001,MATCH(ROWS($I$2:I562),$I$2:$I$1001,0),0), INDEX($P$1004:$S$1004,1,MATCH(COLUMNS($P$1006:P1006),$P$1006:$S$1006,0)))),"Fix")))</f>
        <v>0</v>
      </c>
      <c r="C562" s="3">
        <f>IF(OR(INDEX($J$2:$J$1001,MATCH(ROWS($I$2:I562),$I$2:$I$1001,0),1)&gt;=100000,INDEX($P$1005:$S$1005,1,MATCH(COLUMNS($P$1006:Q1006),$P$1006:$S$1006,0))&gt;=100000), " ",IF(INDEX($P$2:$S$1001,MATCH(ROWS($I$2:I562),$I$2:$I$1001,0),MATCH(COLUMNS($P$1006:Q1006),$P$1006:$S$1006,0)), HYPERLINK("#",""), HYPERLINK(CONCATENATE("#metadata!", ADDRESS(INDEX($K$2:$K$1001,MATCH(ROWS($I$2:I562),$I$2:$I$1001,0),0), INDEX($P$1004:$S$1004,1,MATCH(COLUMNS($P$1006:Q1006),$P$1006:$S$1006,0)))),"Fix")))</f>
        <v>0</v>
      </c>
      <c r="D562" s="3">
        <f>IF(OR(INDEX($J$2:$J$1001,MATCH(ROWS($I$2:I562),$I$2:$I$1001,0),1)&gt;=100000,INDEX($P$1005:$S$1005,1,MATCH(COLUMNS($P$1006:R1006),$P$1006:$S$1006,0))&gt;=100000), " ",IF(INDEX($P$2:$S$1001,MATCH(ROWS($I$2:I562),$I$2:$I$1001,0),MATCH(COLUMNS($P$1006:R1006),$P$1006:$S$1006,0)), HYPERLINK("#",""), HYPERLINK(CONCATENATE("#metadata!", ADDRESS(INDEX($K$2:$K$1001,MATCH(ROWS($I$2:I562),$I$2:$I$1001,0),0), INDEX($P$1004:$S$1004,1,MATCH(COLUMNS($P$1006:R1006),$P$1006:$S$1006,0)))),"Fix")))</f>
        <v>0</v>
      </c>
      <c r="E562" s="3">
        <f>IF(OR(INDEX($J$2:$J$1001,MATCH(ROWS($I$2:I562),$I$2:$I$1001,0),1)&gt;=100000,INDEX($P$1005:$S$1005,1,MATCH(COLUMNS($P$1006:S1006),$P$1006:$S$1006,0))&gt;=100000), " ",IF(INDEX($P$2:$S$1001,MATCH(ROWS($I$2:I562),$I$2:$I$1001,0),MATCH(COLUMNS($P$1006:S1006),$P$1006:$S$1006,0)), HYPERLINK("#",""), HYPERLINK(CONCATENATE("#metadata!", ADDRESS(INDEX($K$2:$K$1001,MATCH(ROWS($I$2:I562),$I$2:$I$1001,0),0), INDEX($P$1004:$S$1004,1,MATCH(COLUMNS($P$1006:S1006),$P$1006:$S$1006,0)))),"Fix")))</f>
        <v>0</v>
      </c>
      <c r="I562">
        <v>0</v>
      </c>
      <c r="J562">
        <v>0</v>
      </c>
      <c r="K562">
        <v>0</v>
      </c>
      <c r="L562">
        <f>IF(M562,TRUE,AND(P562:S562))</f>
        <v>0</v>
      </c>
      <c r="M562">
        <f>COUNTBLANK(metadata!B562:E562)=COLUMNS(metadata!B562:E562)</f>
        <v>0</v>
      </c>
      <c r="N562">
        <v>0</v>
      </c>
      <c r="P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Q562">
        <f>AND(IF(metadata!C562="",FALSE,TRUE),exact(metadata!C562,"other"))</f>
        <v>0</v>
      </c>
      <c r="R562">
        <f>AND(IF(metadata!D562="",FALSE,TRUE),exact(metadata!D562,"metagenome"))</f>
        <v>0</v>
      </c>
      <c r="S562">
        <f>AND(IF(metadata!E562="",FALSE,TRUE),exact(metadata!E562,"256318"))</f>
        <v>0</v>
      </c>
    </row>
    <row r="563" spans="1:19">
      <c r="A563" s="4">
        <f>IF(B563=" "," ",HYPERLINK(CONCATENATE("#metadata!",ADDRESS(INDEX($K$2:$K$1001,MATCH(ROWS($I$2:I563),$I$2:$I$1001,0),0),1)),INDEX($N$2:$N$1001,MATCH(ROWS($I$2:I563),$I$2:$I$1001,0),0)))</f>
        <v>0</v>
      </c>
      <c r="B563" s="3">
        <f>IF(OR(INDEX($J$2:$J$1001,MATCH(ROWS($I$2:I563),$I$2:$I$1001,0),1)&gt;=100000,INDEX($P$1005:$S$1005,1,MATCH(COLUMNS($P$1006:P1006),$P$1006:$S$1006,0))&gt;=100000), " ",IF(INDEX($P$2:$S$1001,MATCH(ROWS($I$2:I563),$I$2:$I$1001,0),MATCH(COLUMNS($P$1006:P1006),$P$1006:$S$1006,0)), HYPERLINK("#",""), HYPERLINK(CONCATENATE("#metadata!", ADDRESS(INDEX($K$2:$K$1001,MATCH(ROWS($I$2:I563),$I$2:$I$1001,0),0), INDEX($P$1004:$S$1004,1,MATCH(COLUMNS($P$1006:P1006),$P$1006:$S$1006,0)))),"Fix")))</f>
        <v>0</v>
      </c>
      <c r="C563" s="3">
        <f>IF(OR(INDEX($J$2:$J$1001,MATCH(ROWS($I$2:I563),$I$2:$I$1001,0),1)&gt;=100000,INDEX($P$1005:$S$1005,1,MATCH(COLUMNS($P$1006:Q1006),$P$1006:$S$1006,0))&gt;=100000), " ",IF(INDEX($P$2:$S$1001,MATCH(ROWS($I$2:I563),$I$2:$I$1001,0),MATCH(COLUMNS($P$1006:Q1006),$P$1006:$S$1006,0)), HYPERLINK("#",""), HYPERLINK(CONCATENATE("#metadata!", ADDRESS(INDEX($K$2:$K$1001,MATCH(ROWS($I$2:I563),$I$2:$I$1001,0),0), INDEX($P$1004:$S$1004,1,MATCH(COLUMNS($P$1006:Q1006),$P$1006:$S$1006,0)))),"Fix")))</f>
        <v>0</v>
      </c>
      <c r="D563" s="3">
        <f>IF(OR(INDEX($J$2:$J$1001,MATCH(ROWS($I$2:I563),$I$2:$I$1001,0),1)&gt;=100000,INDEX($P$1005:$S$1005,1,MATCH(COLUMNS($P$1006:R1006),$P$1006:$S$1006,0))&gt;=100000), " ",IF(INDEX($P$2:$S$1001,MATCH(ROWS($I$2:I563),$I$2:$I$1001,0),MATCH(COLUMNS($P$1006:R1006),$P$1006:$S$1006,0)), HYPERLINK("#",""), HYPERLINK(CONCATENATE("#metadata!", ADDRESS(INDEX($K$2:$K$1001,MATCH(ROWS($I$2:I563),$I$2:$I$1001,0),0), INDEX($P$1004:$S$1004,1,MATCH(COLUMNS($P$1006:R1006),$P$1006:$S$1006,0)))),"Fix")))</f>
        <v>0</v>
      </c>
      <c r="E563" s="3">
        <f>IF(OR(INDEX($J$2:$J$1001,MATCH(ROWS($I$2:I563),$I$2:$I$1001,0),1)&gt;=100000,INDEX($P$1005:$S$1005,1,MATCH(COLUMNS($P$1006:S1006),$P$1006:$S$1006,0))&gt;=100000), " ",IF(INDEX($P$2:$S$1001,MATCH(ROWS($I$2:I563),$I$2:$I$1001,0),MATCH(COLUMNS($P$1006:S1006),$P$1006:$S$1006,0)), HYPERLINK("#",""), HYPERLINK(CONCATENATE("#metadata!", ADDRESS(INDEX($K$2:$K$1001,MATCH(ROWS($I$2:I563),$I$2:$I$1001,0),0), INDEX($P$1004:$S$1004,1,MATCH(COLUMNS($P$1006:S1006),$P$1006:$S$1006,0)))),"Fix")))</f>
        <v>0</v>
      </c>
      <c r="I563">
        <v>0</v>
      </c>
      <c r="J563">
        <v>0</v>
      </c>
      <c r="K563">
        <v>0</v>
      </c>
      <c r="L563">
        <f>IF(M563,TRUE,AND(P563:S563))</f>
        <v>0</v>
      </c>
      <c r="M563">
        <f>COUNTBLANK(metadata!B563:E563)=COLUMNS(metadata!B563:E563)</f>
        <v>0</v>
      </c>
      <c r="N563">
        <v>0</v>
      </c>
      <c r="P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Q563">
        <f>AND(IF(metadata!C563="",FALSE,TRUE),exact(metadata!C563,"other"))</f>
        <v>0</v>
      </c>
      <c r="R563">
        <f>AND(IF(metadata!D563="",FALSE,TRUE),exact(metadata!D563,"metagenome"))</f>
        <v>0</v>
      </c>
      <c r="S563">
        <f>AND(IF(metadata!E563="",FALSE,TRUE),exact(metadata!E563,"256318"))</f>
        <v>0</v>
      </c>
    </row>
    <row r="564" spans="1:19">
      <c r="A564" s="4">
        <f>IF(B564=" "," ",HYPERLINK(CONCATENATE("#metadata!",ADDRESS(INDEX($K$2:$K$1001,MATCH(ROWS($I$2:I564),$I$2:$I$1001,0),0),1)),INDEX($N$2:$N$1001,MATCH(ROWS($I$2:I564),$I$2:$I$1001,0),0)))</f>
        <v>0</v>
      </c>
      <c r="B564" s="3">
        <f>IF(OR(INDEX($J$2:$J$1001,MATCH(ROWS($I$2:I564),$I$2:$I$1001,0),1)&gt;=100000,INDEX($P$1005:$S$1005,1,MATCH(COLUMNS($P$1006:P1006),$P$1006:$S$1006,0))&gt;=100000), " ",IF(INDEX($P$2:$S$1001,MATCH(ROWS($I$2:I564),$I$2:$I$1001,0),MATCH(COLUMNS($P$1006:P1006),$P$1006:$S$1006,0)), HYPERLINK("#",""), HYPERLINK(CONCATENATE("#metadata!", ADDRESS(INDEX($K$2:$K$1001,MATCH(ROWS($I$2:I564),$I$2:$I$1001,0),0), INDEX($P$1004:$S$1004,1,MATCH(COLUMNS($P$1006:P1006),$P$1006:$S$1006,0)))),"Fix")))</f>
        <v>0</v>
      </c>
      <c r="C564" s="3">
        <f>IF(OR(INDEX($J$2:$J$1001,MATCH(ROWS($I$2:I564),$I$2:$I$1001,0),1)&gt;=100000,INDEX($P$1005:$S$1005,1,MATCH(COLUMNS($P$1006:Q1006),$P$1006:$S$1006,0))&gt;=100000), " ",IF(INDEX($P$2:$S$1001,MATCH(ROWS($I$2:I564),$I$2:$I$1001,0),MATCH(COLUMNS($P$1006:Q1006),$P$1006:$S$1006,0)), HYPERLINK("#",""), HYPERLINK(CONCATENATE("#metadata!", ADDRESS(INDEX($K$2:$K$1001,MATCH(ROWS($I$2:I564),$I$2:$I$1001,0),0), INDEX($P$1004:$S$1004,1,MATCH(COLUMNS($P$1006:Q1006),$P$1006:$S$1006,0)))),"Fix")))</f>
        <v>0</v>
      </c>
      <c r="D564" s="3">
        <f>IF(OR(INDEX($J$2:$J$1001,MATCH(ROWS($I$2:I564),$I$2:$I$1001,0),1)&gt;=100000,INDEX($P$1005:$S$1005,1,MATCH(COLUMNS($P$1006:R1006),$P$1006:$S$1006,0))&gt;=100000), " ",IF(INDEX($P$2:$S$1001,MATCH(ROWS($I$2:I564),$I$2:$I$1001,0),MATCH(COLUMNS($P$1006:R1006),$P$1006:$S$1006,0)), HYPERLINK("#",""), HYPERLINK(CONCATENATE("#metadata!", ADDRESS(INDEX($K$2:$K$1001,MATCH(ROWS($I$2:I564),$I$2:$I$1001,0),0), INDEX($P$1004:$S$1004,1,MATCH(COLUMNS($P$1006:R1006),$P$1006:$S$1006,0)))),"Fix")))</f>
        <v>0</v>
      </c>
      <c r="E564" s="3">
        <f>IF(OR(INDEX($J$2:$J$1001,MATCH(ROWS($I$2:I564),$I$2:$I$1001,0),1)&gt;=100000,INDEX($P$1005:$S$1005,1,MATCH(COLUMNS($P$1006:S1006),$P$1006:$S$1006,0))&gt;=100000), " ",IF(INDEX($P$2:$S$1001,MATCH(ROWS($I$2:I564),$I$2:$I$1001,0),MATCH(COLUMNS($P$1006:S1006),$P$1006:$S$1006,0)), HYPERLINK("#",""), HYPERLINK(CONCATENATE("#metadata!", ADDRESS(INDEX($K$2:$K$1001,MATCH(ROWS($I$2:I564),$I$2:$I$1001,0),0), INDEX($P$1004:$S$1004,1,MATCH(COLUMNS($P$1006:S1006),$P$1006:$S$1006,0)))),"Fix")))</f>
        <v>0</v>
      </c>
      <c r="I564">
        <v>0</v>
      </c>
      <c r="J564">
        <v>0</v>
      </c>
      <c r="K564">
        <v>0</v>
      </c>
      <c r="L564">
        <f>IF(M564,TRUE,AND(P564:S564))</f>
        <v>0</v>
      </c>
      <c r="M564">
        <f>COUNTBLANK(metadata!B564:E564)=COLUMNS(metadata!B564:E564)</f>
        <v>0</v>
      </c>
      <c r="N564">
        <v>0</v>
      </c>
      <c r="P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Q564">
        <f>AND(IF(metadata!C564="",FALSE,TRUE),exact(metadata!C564,"other"))</f>
        <v>0</v>
      </c>
      <c r="R564">
        <f>AND(IF(metadata!D564="",FALSE,TRUE),exact(metadata!D564,"metagenome"))</f>
        <v>0</v>
      </c>
      <c r="S564">
        <f>AND(IF(metadata!E564="",FALSE,TRUE),exact(metadata!E564,"256318"))</f>
        <v>0</v>
      </c>
    </row>
    <row r="565" spans="1:19">
      <c r="A565" s="4">
        <f>IF(B565=" "," ",HYPERLINK(CONCATENATE("#metadata!",ADDRESS(INDEX($K$2:$K$1001,MATCH(ROWS($I$2:I565),$I$2:$I$1001,0),0),1)),INDEX($N$2:$N$1001,MATCH(ROWS($I$2:I565),$I$2:$I$1001,0),0)))</f>
        <v>0</v>
      </c>
      <c r="B565" s="3">
        <f>IF(OR(INDEX($J$2:$J$1001,MATCH(ROWS($I$2:I565),$I$2:$I$1001,0),1)&gt;=100000,INDEX($P$1005:$S$1005,1,MATCH(COLUMNS($P$1006:P1006),$P$1006:$S$1006,0))&gt;=100000), " ",IF(INDEX($P$2:$S$1001,MATCH(ROWS($I$2:I565),$I$2:$I$1001,0),MATCH(COLUMNS($P$1006:P1006),$P$1006:$S$1006,0)), HYPERLINK("#",""), HYPERLINK(CONCATENATE("#metadata!", ADDRESS(INDEX($K$2:$K$1001,MATCH(ROWS($I$2:I565),$I$2:$I$1001,0),0), INDEX($P$1004:$S$1004,1,MATCH(COLUMNS($P$1006:P1006),$P$1006:$S$1006,0)))),"Fix")))</f>
        <v>0</v>
      </c>
      <c r="C565" s="3">
        <f>IF(OR(INDEX($J$2:$J$1001,MATCH(ROWS($I$2:I565),$I$2:$I$1001,0),1)&gt;=100000,INDEX($P$1005:$S$1005,1,MATCH(COLUMNS($P$1006:Q1006),$P$1006:$S$1006,0))&gt;=100000), " ",IF(INDEX($P$2:$S$1001,MATCH(ROWS($I$2:I565),$I$2:$I$1001,0),MATCH(COLUMNS($P$1006:Q1006),$P$1006:$S$1006,0)), HYPERLINK("#",""), HYPERLINK(CONCATENATE("#metadata!", ADDRESS(INDEX($K$2:$K$1001,MATCH(ROWS($I$2:I565),$I$2:$I$1001,0),0), INDEX($P$1004:$S$1004,1,MATCH(COLUMNS($P$1006:Q1006),$P$1006:$S$1006,0)))),"Fix")))</f>
        <v>0</v>
      </c>
      <c r="D565" s="3">
        <f>IF(OR(INDEX($J$2:$J$1001,MATCH(ROWS($I$2:I565),$I$2:$I$1001,0),1)&gt;=100000,INDEX($P$1005:$S$1005,1,MATCH(COLUMNS($P$1006:R1006),$P$1006:$S$1006,0))&gt;=100000), " ",IF(INDEX($P$2:$S$1001,MATCH(ROWS($I$2:I565),$I$2:$I$1001,0),MATCH(COLUMNS($P$1006:R1006),$P$1006:$S$1006,0)), HYPERLINK("#",""), HYPERLINK(CONCATENATE("#metadata!", ADDRESS(INDEX($K$2:$K$1001,MATCH(ROWS($I$2:I565),$I$2:$I$1001,0),0), INDEX($P$1004:$S$1004,1,MATCH(COLUMNS($P$1006:R1006),$P$1006:$S$1006,0)))),"Fix")))</f>
        <v>0</v>
      </c>
      <c r="E565" s="3">
        <f>IF(OR(INDEX($J$2:$J$1001,MATCH(ROWS($I$2:I565),$I$2:$I$1001,0),1)&gt;=100000,INDEX($P$1005:$S$1005,1,MATCH(COLUMNS($P$1006:S1006),$P$1006:$S$1006,0))&gt;=100000), " ",IF(INDEX($P$2:$S$1001,MATCH(ROWS($I$2:I565),$I$2:$I$1001,0),MATCH(COLUMNS($P$1006:S1006),$P$1006:$S$1006,0)), HYPERLINK("#",""), HYPERLINK(CONCATENATE("#metadata!", ADDRESS(INDEX($K$2:$K$1001,MATCH(ROWS($I$2:I565),$I$2:$I$1001,0),0), INDEX($P$1004:$S$1004,1,MATCH(COLUMNS($P$1006:S1006),$P$1006:$S$1006,0)))),"Fix")))</f>
        <v>0</v>
      </c>
      <c r="I565">
        <v>0</v>
      </c>
      <c r="J565">
        <v>0</v>
      </c>
      <c r="K565">
        <v>0</v>
      </c>
      <c r="L565">
        <f>IF(M565,TRUE,AND(P565:S565))</f>
        <v>0</v>
      </c>
      <c r="M565">
        <f>COUNTBLANK(metadata!B565:E565)=COLUMNS(metadata!B565:E565)</f>
        <v>0</v>
      </c>
      <c r="N565">
        <v>0</v>
      </c>
      <c r="P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Q565">
        <f>AND(IF(metadata!C565="",FALSE,TRUE),exact(metadata!C565,"other"))</f>
        <v>0</v>
      </c>
      <c r="R565">
        <f>AND(IF(metadata!D565="",FALSE,TRUE),exact(metadata!D565,"metagenome"))</f>
        <v>0</v>
      </c>
      <c r="S565">
        <f>AND(IF(metadata!E565="",FALSE,TRUE),exact(metadata!E565,"256318"))</f>
        <v>0</v>
      </c>
    </row>
    <row r="566" spans="1:19">
      <c r="A566" s="4">
        <f>IF(B566=" "," ",HYPERLINK(CONCATENATE("#metadata!",ADDRESS(INDEX($K$2:$K$1001,MATCH(ROWS($I$2:I566),$I$2:$I$1001,0),0),1)),INDEX($N$2:$N$1001,MATCH(ROWS($I$2:I566),$I$2:$I$1001,0),0)))</f>
        <v>0</v>
      </c>
      <c r="B566" s="3">
        <f>IF(OR(INDEX($J$2:$J$1001,MATCH(ROWS($I$2:I566),$I$2:$I$1001,0),1)&gt;=100000,INDEX($P$1005:$S$1005,1,MATCH(COLUMNS($P$1006:P1006),$P$1006:$S$1006,0))&gt;=100000), " ",IF(INDEX($P$2:$S$1001,MATCH(ROWS($I$2:I566),$I$2:$I$1001,0),MATCH(COLUMNS($P$1006:P1006),$P$1006:$S$1006,0)), HYPERLINK("#",""), HYPERLINK(CONCATENATE("#metadata!", ADDRESS(INDEX($K$2:$K$1001,MATCH(ROWS($I$2:I566),$I$2:$I$1001,0),0), INDEX($P$1004:$S$1004,1,MATCH(COLUMNS($P$1006:P1006),$P$1006:$S$1006,0)))),"Fix")))</f>
        <v>0</v>
      </c>
      <c r="C566" s="3">
        <f>IF(OR(INDEX($J$2:$J$1001,MATCH(ROWS($I$2:I566),$I$2:$I$1001,0),1)&gt;=100000,INDEX($P$1005:$S$1005,1,MATCH(COLUMNS($P$1006:Q1006),$P$1006:$S$1006,0))&gt;=100000), " ",IF(INDEX($P$2:$S$1001,MATCH(ROWS($I$2:I566),$I$2:$I$1001,0),MATCH(COLUMNS($P$1006:Q1006),$P$1006:$S$1006,0)), HYPERLINK("#",""), HYPERLINK(CONCATENATE("#metadata!", ADDRESS(INDEX($K$2:$K$1001,MATCH(ROWS($I$2:I566),$I$2:$I$1001,0),0), INDEX($P$1004:$S$1004,1,MATCH(COLUMNS($P$1006:Q1006),$P$1006:$S$1006,0)))),"Fix")))</f>
        <v>0</v>
      </c>
      <c r="D566" s="3">
        <f>IF(OR(INDEX($J$2:$J$1001,MATCH(ROWS($I$2:I566),$I$2:$I$1001,0),1)&gt;=100000,INDEX($P$1005:$S$1005,1,MATCH(COLUMNS($P$1006:R1006),$P$1006:$S$1006,0))&gt;=100000), " ",IF(INDEX($P$2:$S$1001,MATCH(ROWS($I$2:I566),$I$2:$I$1001,0),MATCH(COLUMNS($P$1006:R1006),$P$1006:$S$1006,0)), HYPERLINK("#",""), HYPERLINK(CONCATENATE("#metadata!", ADDRESS(INDEX($K$2:$K$1001,MATCH(ROWS($I$2:I566),$I$2:$I$1001,0),0), INDEX($P$1004:$S$1004,1,MATCH(COLUMNS($P$1006:R1006),$P$1006:$S$1006,0)))),"Fix")))</f>
        <v>0</v>
      </c>
      <c r="E566" s="3">
        <f>IF(OR(INDEX($J$2:$J$1001,MATCH(ROWS($I$2:I566),$I$2:$I$1001,0),1)&gt;=100000,INDEX($P$1005:$S$1005,1,MATCH(COLUMNS($P$1006:S1006),$P$1006:$S$1006,0))&gt;=100000), " ",IF(INDEX($P$2:$S$1001,MATCH(ROWS($I$2:I566),$I$2:$I$1001,0),MATCH(COLUMNS($P$1006:S1006),$P$1006:$S$1006,0)), HYPERLINK("#",""), HYPERLINK(CONCATENATE("#metadata!", ADDRESS(INDEX($K$2:$K$1001,MATCH(ROWS($I$2:I566),$I$2:$I$1001,0),0), INDEX($P$1004:$S$1004,1,MATCH(COLUMNS($P$1006:S1006),$P$1006:$S$1006,0)))),"Fix")))</f>
        <v>0</v>
      </c>
      <c r="I566">
        <v>0</v>
      </c>
      <c r="J566">
        <v>0</v>
      </c>
      <c r="K566">
        <v>0</v>
      </c>
      <c r="L566">
        <f>IF(M566,TRUE,AND(P566:S566))</f>
        <v>0</v>
      </c>
      <c r="M566">
        <f>COUNTBLANK(metadata!B566:E566)=COLUMNS(metadata!B566:E566)</f>
        <v>0</v>
      </c>
      <c r="N566">
        <v>0</v>
      </c>
      <c r="P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Q566">
        <f>AND(IF(metadata!C566="",FALSE,TRUE),exact(metadata!C566,"other"))</f>
        <v>0</v>
      </c>
      <c r="R566">
        <f>AND(IF(metadata!D566="",FALSE,TRUE),exact(metadata!D566,"metagenome"))</f>
        <v>0</v>
      </c>
      <c r="S566">
        <f>AND(IF(metadata!E566="",FALSE,TRUE),exact(metadata!E566,"256318"))</f>
        <v>0</v>
      </c>
    </row>
    <row r="567" spans="1:19">
      <c r="A567" s="4">
        <f>IF(B567=" "," ",HYPERLINK(CONCATENATE("#metadata!",ADDRESS(INDEX($K$2:$K$1001,MATCH(ROWS($I$2:I567),$I$2:$I$1001,0),0),1)),INDEX($N$2:$N$1001,MATCH(ROWS($I$2:I567),$I$2:$I$1001,0),0)))</f>
        <v>0</v>
      </c>
      <c r="B567" s="3">
        <f>IF(OR(INDEX($J$2:$J$1001,MATCH(ROWS($I$2:I567),$I$2:$I$1001,0),1)&gt;=100000,INDEX($P$1005:$S$1005,1,MATCH(COLUMNS($P$1006:P1006),$P$1006:$S$1006,0))&gt;=100000), " ",IF(INDEX($P$2:$S$1001,MATCH(ROWS($I$2:I567),$I$2:$I$1001,0),MATCH(COLUMNS($P$1006:P1006),$P$1006:$S$1006,0)), HYPERLINK("#",""), HYPERLINK(CONCATENATE("#metadata!", ADDRESS(INDEX($K$2:$K$1001,MATCH(ROWS($I$2:I567),$I$2:$I$1001,0),0), INDEX($P$1004:$S$1004,1,MATCH(COLUMNS($P$1006:P1006),$P$1006:$S$1006,0)))),"Fix")))</f>
        <v>0</v>
      </c>
      <c r="C567" s="3">
        <f>IF(OR(INDEX($J$2:$J$1001,MATCH(ROWS($I$2:I567),$I$2:$I$1001,0),1)&gt;=100000,INDEX($P$1005:$S$1005,1,MATCH(COLUMNS($P$1006:Q1006),$P$1006:$S$1006,0))&gt;=100000), " ",IF(INDEX($P$2:$S$1001,MATCH(ROWS($I$2:I567),$I$2:$I$1001,0),MATCH(COLUMNS($P$1006:Q1006),$P$1006:$S$1006,0)), HYPERLINK("#",""), HYPERLINK(CONCATENATE("#metadata!", ADDRESS(INDEX($K$2:$K$1001,MATCH(ROWS($I$2:I567),$I$2:$I$1001,0),0), INDEX($P$1004:$S$1004,1,MATCH(COLUMNS($P$1006:Q1006),$P$1006:$S$1006,0)))),"Fix")))</f>
        <v>0</v>
      </c>
      <c r="D567" s="3">
        <f>IF(OR(INDEX($J$2:$J$1001,MATCH(ROWS($I$2:I567),$I$2:$I$1001,0),1)&gt;=100000,INDEX($P$1005:$S$1005,1,MATCH(COLUMNS($P$1006:R1006),$P$1006:$S$1006,0))&gt;=100000), " ",IF(INDEX($P$2:$S$1001,MATCH(ROWS($I$2:I567),$I$2:$I$1001,0),MATCH(COLUMNS($P$1006:R1006),$P$1006:$S$1006,0)), HYPERLINK("#",""), HYPERLINK(CONCATENATE("#metadata!", ADDRESS(INDEX($K$2:$K$1001,MATCH(ROWS($I$2:I567),$I$2:$I$1001,0),0), INDEX($P$1004:$S$1004,1,MATCH(COLUMNS($P$1006:R1006),$P$1006:$S$1006,0)))),"Fix")))</f>
        <v>0</v>
      </c>
      <c r="E567" s="3">
        <f>IF(OR(INDEX($J$2:$J$1001,MATCH(ROWS($I$2:I567),$I$2:$I$1001,0),1)&gt;=100000,INDEX($P$1005:$S$1005,1,MATCH(COLUMNS($P$1006:S1006),$P$1006:$S$1006,0))&gt;=100000), " ",IF(INDEX($P$2:$S$1001,MATCH(ROWS($I$2:I567),$I$2:$I$1001,0),MATCH(COLUMNS($P$1006:S1006),$P$1006:$S$1006,0)), HYPERLINK("#",""), HYPERLINK(CONCATENATE("#metadata!", ADDRESS(INDEX($K$2:$K$1001,MATCH(ROWS($I$2:I567),$I$2:$I$1001,0),0), INDEX($P$1004:$S$1004,1,MATCH(COLUMNS($P$1006:S1006),$P$1006:$S$1006,0)))),"Fix")))</f>
        <v>0</v>
      </c>
      <c r="I567">
        <v>0</v>
      </c>
      <c r="J567">
        <v>0</v>
      </c>
      <c r="K567">
        <v>0</v>
      </c>
      <c r="L567">
        <f>IF(M567,TRUE,AND(P567:S567))</f>
        <v>0</v>
      </c>
      <c r="M567">
        <f>COUNTBLANK(metadata!B567:E567)=COLUMNS(metadata!B567:E567)</f>
        <v>0</v>
      </c>
      <c r="N567">
        <v>0</v>
      </c>
      <c r="P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Q567">
        <f>AND(IF(metadata!C567="",FALSE,TRUE),exact(metadata!C567,"other"))</f>
        <v>0</v>
      </c>
      <c r="R567">
        <f>AND(IF(metadata!D567="",FALSE,TRUE),exact(metadata!D567,"metagenome"))</f>
        <v>0</v>
      </c>
      <c r="S567">
        <f>AND(IF(metadata!E567="",FALSE,TRUE),exact(metadata!E567,"256318"))</f>
        <v>0</v>
      </c>
    </row>
    <row r="568" spans="1:19">
      <c r="A568" s="4">
        <f>IF(B568=" "," ",HYPERLINK(CONCATENATE("#metadata!",ADDRESS(INDEX($K$2:$K$1001,MATCH(ROWS($I$2:I568),$I$2:$I$1001,0),0),1)),INDEX($N$2:$N$1001,MATCH(ROWS($I$2:I568),$I$2:$I$1001,0),0)))</f>
        <v>0</v>
      </c>
      <c r="B568" s="3">
        <f>IF(OR(INDEX($J$2:$J$1001,MATCH(ROWS($I$2:I568),$I$2:$I$1001,0),1)&gt;=100000,INDEX($P$1005:$S$1005,1,MATCH(COLUMNS($P$1006:P1006),$P$1006:$S$1006,0))&gt;=100000), " ",IF(INDEX($P$2:$S$1001,MATCH(ROWS($I$2:I568),$I$2:$I$1001,0),MATCH(COLUMNS($P$1006:P1006),$P$1006:$S$1006,0)), HYPERLINK("#",""), HYPERLINK(CONCATENATE("#metadata!", ADDRESS(INDEX($K$2:$K$1001,MATCH(ROWS($I$2:I568),$I$2:$I$1001,0),0), INDEX($P$1004:$S$1004,1,MATCH(COLUMNS($P$1006:P1006),$P$1006:$S$1006,0)))),"Fix")))</f>
        <v>0</v>
      </c>
      <c r="C568" s="3">
        <f>IF(OR(INDEX($J$2:$J$1001,MATCH(ROWS($I$2:I568),$I$2:$I$1001,0),1)&gt;=100000,INDEX($P$1005:$S$1005,1,MATCH(COLUMNS($P$1006:Q1006),$P$1006:$S$1006,0))&gt;=100000), " ",IF(INDEX($P$2:$S$1001,MATCH(ROWS($I$2:I568),$I$2:$I$1001,0),MATCH(COLUMNS($P$1006:Q1006),$P$1006:$S$1006,0)), HYPERLINK("#",""), HYPERLINK(CONCATENATE("#metadata!", ADDRESS(INDEX($K$2:$K$1001,MATCH(ROWS($I$2:I568),$I$2:$I$1001,0),0), INDEX($P$1004:$S$1004,1,MATCH(COLUMNS($P$1006:Q1006),$P$1006:$S$1006,0)))),"Fix")))</f>
        <v>0</v>
      </c>
      <c r="D568" s="3">
        <f>IF(OR(INDEX($J$2:$J$1001,MATCH(ROWS($I$2:I568),$I$2:$I$1001,0),1)&gt;=100000,INDEX($P$1005:$S$1005,1,MATCH(COLUMNS($P$1006:R1006),$P$1006:$S$1006,0))&gt;=100000), " ",IF(INDEX($P$2:$S$1001,MATCH(ROWS($I$2:I568),$I$2:$I$1001,0),MATCH(COLUMNS($P$1006:R1006),$P$1006:$S$1006,0)), HYPERLINK("#",""), HYPERLINK(CONCATENATE("#metadata!", ADDRESS(INDEX($K$2:$K$1001,MATCH(ROWS($I$2:I568),$I$2:$I$1001,0),0), INDEX($P$1004:$S$1004,1,MATCH(COLUMNS($P$1006:R1006),$P$1006:$S$1006,0)))),"Fix")))</f>
        <v>0</v>
      </c>
      <c r="E568" s="3">
        <f>IF(OR(INDEX($J$2:$J$1001,MATCH(ROWS($I$2:I568),$I$2:$I$1001,0),1)&gt;=100000,INDEX($P$1005:$S$1005,1,MATCH(COLUMNS($P$1006:S1006),$P$1006:$S$1006,0))&gt;=100000), " ",IF(INDEX($P$2:$S$1001,MATCH(ROWS($I$2:I568),$I$2:$I$1001,0),MATCH(COLUMNS($P$1006:S1006),$P$1006:$S$1006,0)), HYPERLINK("#",""), HYPERLINK(CONCATENATE("#metadata!", ADDRESS(INDEX($K$2:$K$1001,MATCH(ROWS($I$2:I568),$I$2:$I$1001,0),0), INDEX($P$1004:$S$1004,1,MATCH(COLUMNS($P$1006:S1006),$P$1006:$S$1006,0)))),"Fix")))</f>
        <v>0</v>
      </c>
      <c r="I568">
        <v>0</v>
      </c>
      <c r="J568">
        <v>0</v>
      </c>
      <c r="K568">
        <v>0</v>
      </c>
      <c r="L568">
        <f>IF(M568,TRUE,AND(P568:S568))</f>
        <v>0</v>
      </c>
      <c r="M568">
        <f>COUNTBLANK(metadata!B568:E568)=COLUMNS(metadata!B568:E568)</f>
        <v>0</v>
      </c>
      <c r="N568">
        <v>0</v>
      </c>
      <c r="P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Q568">
        <f>AND(IF(metadata!C568="",FALSE,TRUE),exact(metadata!C568,"other"))</f>
        <v>0</v>
      </c>
      <c r="R568">
        <f>AND(IF(metadata!D568="",FALSE,TRUE),exact(metadata!D568,"metagenome"))</f>
        <v>0</v>
      </c>
      <c r="S568">
        <f>AND(IF(metadata!E568="",FALSE,TRUE),exact(metadata!E568,"256318"))</f>
        <v>0</v>
      </c>
    </row>
    <row r="569" spans="1:19">
      <c r="A569" s="4">
        <f>IF(B569=" "," ",HYPERLINK(CONCATENATE("#metadata!",ADDRESS(INDEX($K$2:$K$1001,MATCH(ROWS($I$2:I569),$I$2:$I$1001,0),0),1)),INDEX($N$2:$N$1001,MATCH(ROWS($I$2:I569),$I$2:$I$1001,0),0)))</f>
        <v>0</v>
      </c>
      <c r="B569" s="3">
        <f>IF(OR(INDEX($J$2:$J$1001,MATCH(ROWS($I$2:I569),$I$2:$I$1001,0),1)&gt;=100000,INDEX($P$1005:$S$1005,1,MATCH(COLUMNS($P$1006:P1006),$P$1006:$S$1006,0))&gt;=100000), " ",IF(INDEX($P$2:$S$1001,MATCH(ROWS($I$2:I569),$I$2:$I$1001,0),MATCH(COLUMNS($P$1006:P1006),$P$1006:$S$1006,0)), HYPERLINK("#",""), HYPERLINK(CONCATENATE("#metadata!", ADDRESS(INDEX($K$2:$K$1001,MATCH(ROWS($I$2:I569),$I$2:$I$1001,0),0), INDEX($P$1004:$S$1004,1,MATCH(COLUMNS($P$1006:P1006),$P$1006:$S$1006,0)))),"Fix")))</f>
        <v>0</v>
      </c>
      <c r="C569" s="3">
        <f>IF(OR(INDEX($J$2:$J$1001,MATCH(ROWS($I$2:I569),$I$2:$I$1001,0),1)&gt;=100000,INDEX($P$1005:$S$1005,1,MATCH(COLUMNS($P$1006:Q1006),$P$1006:$S$1006,0))&gt;=100000), " ",IF(INDEX($P$2:$S$1001,MATCH(ROWS($I$2:I569),$I$2:$I$1001,0),MATCH(COLUMNS($P$1006:Q1006),$P$1006:$S$1006,0)), HYPERLINK("#",""), HYPERLINK(CONCATENATE("#metadata!", ADDRESS(INDEX($K$2:$K$1001,MATCH(ROWS($I$2:I569),$I$2:$I$1001,0),0), INDEX($P$1004:$S$1004,1,MATCH(COLUMNS($P$1006:Q1006),$P$1006:$S$1006,0)))),"Fix")))</f>
        <v>0</v>
      </c>
      <c r="D569" s="3">
        <f>IF(OR(INDEX($J$2:$J$1001,MATCH(ROWS($I$2:I569),$I$2:$I$1001,0),1)&gt;=100000,INDEX($P$1005:$S$1005,1,MATCH(COLUMNS($P$1006:R1006),$P$1006:$S$1006,0))&gt;=100000), " ",IF(INDEX($P$2:$S$1001,MATCH(ROWS($I$2:I569),$I$2:$I$1001,0),MATCH(COLUMNS($P$1006:R1006),$P$1006:$S$1006,0)), HYPERLINK("#",""), HYPERLINK(CONCATENATE("#metadata!", ADDRESS(INDEX($K$2:$K$1001,MATCH(ROWS($I$2:I569),$I$2:$I$1001,0),0), INDEX($P$1004:$S$1004,1,MATCH(COLUMNS($P$1006:R1006),$P$1006:$S$1006,0)))),"Fix")))</f>
        <v>0</v>
      </c>
      <c r="E569" s="3">
        <f>IF(OR(INDEX($J$2:$J$1001,MATCH(ROWS($I$2:I569),$I$2:$I$1001,0),1)&gt;=100000,INDEX($P$1005:$S$1005,1,MATCH(COLUMNS($P$1006:S1006),$P$1006:$S$1006,0))&gt;=100000), " ",IF(INDEX($P$2:$S$1001,MATCH(ROWS($I$2:I569),$I$2:$I$1001,0),MATCH(COLUMNS($P$1006:S1006),$P$1006:$S$1006,0)), HYPERLINK("#",""), HYPERLINK(CONCATENATE("#metadata!", ADDRESS(INDEX($K$2:$K$1001,MATCH(ROWS($I$2:I569),$I$2:$I$1001,0),0), INDEX($P$1004:$S$1004,1,MATCH(COLUMNS($P$1006:S1006),$P$1006:$S$1006,0)))),"Fix")))</f>
        <v>0</v>
      </c>
      <c r="I569">
        <v>0</v>
      </c>
      <c r="J569">
        <v>0</v>
      </c>
      <c r="K569">
        <v>0</v>
      </c>
      <c r="L569">
        <f>IF(M569,TRUE,AND(P569:S569))</f>
        <v>0</v>
      </c>
      <c r="M569">
        <f>COUNTBLANK(metadata!B569:E569)=COLUMNS(metadata!B569:E569)</f>
        <v>0</v>
      </c>
      <c r="N569">
        <v>0</v>
      </c>
      <c r="P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Q569">
        <f>AND(IF(metadata!C569="",FALSE,TRUE),exact(metadata!C569,"other"))</f>
        <v>0</v>
      </c>
      <c r="R569">
        <f>AND(IF(metadata!D569="",FALSE,TRUE),exact(metadata!D569,"metagenome"))</f>
        <v>0</v>
      </c>
      <c r="S569">
        <f>AND(IF(metadata!E569="",FALSE,TRUE),exact(metadata!E569,"256318"))</f>
        <v>0</v>
      </c>
    </row>
    <row r="570" spans="1:19">
      <c r="A570" s="4">
        <f>IF(B570=" "," ",HYPERLINK(CONCATENATE("#metadata!",ADDRESS(INDEX($K$2:$K$1001,MATCH(ROWS($I$2:I570),$I$2:$I$1001,0),0),1)),INDEX($N$2:$N$1001,MATCH(ROWS($I$2:I570),$I$2:$I$1001,0),0)))</f>
        <v>0</v>
      </c>
      <c r="B570" s="3">
        <f>IF(OR(INDEX($J$2:$J$1001,MATCH(ROWS($I$2:I570),$I$2:$I$1001,0),1)&gt;=100000,INDEX($P$1005:$S$1005,1,MATCH(COLUMNS($P$1006:P1006),$P$1006:$S$1006,0))&gt;=100000), " ",IF(INDEX($P$2:$S$1001,MATCH(ROWS($I$2:I570),$I$2:$I$1001,0),MATCH(COLUMNS($P$1006:P1006),$P$1006:$S$1006,0)), HYPERLINK("#",""), HYPERLINK(CONCATENATE("#metadata!", ADDRESS(INDEX($K$2:$K$1001,MATCH(ROWS($I$2:I570),$I$2:$I$1001,0),0), INDEX($P$1004:$S$1004,1,MATCH(COLUMNS($P$1006:P1006),$P$1006:$S$1006,0)))),"Fix")))</f>
        <v>0</v>
      </c>
      <c r="C570" s="3">
        <f>IF(OR(INDEX($J$2:$J$1001,MATCH(ROWS($I$2:I570),$I$2:$I$1001,0),1)&gt;=100000,INDEX($P$1005:$S$1005,1,MATCH(COLUMNS($P$1006:Q1006),$P$1006:$S$1006,0))&gt;=100000), " ",IF(INDEX($P$2:$S$1001,MATCH(ROWS($I$2:I570),$I$2:$I$1001,0),MATCH(COLUMNS($P$1006:Q1006),$P$1006:$S$1006,0)), HYPERLINK("#",""), HYPERLINK(CONCATENATE("#metadata!", ADDRESS(INDEX($K$2:$K$1001,MATCH(ROWS($I$2:I570),$I$2:$I$1001,0),0), INDEX($P$1004:$S$1004,1,MATCH(COLUMNS($P$1006:Q1006),$P$1006:$S$1006,0)))),"Fix")))</f>
        <v>0</v>
      </c>
      <c r="D570" s="3">
        <f>IF(OR(INDEX($J$2:$J$1001,MATCH(ROWS($I$2:I570),$I$2:$I$1001,0),1)&gt;=100000,INDEX($P$1005:$S$1005,1,MATCH(COLUMNS($P$1006:R1006),$P$1006:$S$1006,0))&gt;=100000), " ",IF(INDEX($P$2:$S$1001,MATCH(ROWS($I$2:I570),$I$2:$I$1001,0),MATCH(COLUMNS($P$1006:R1006),$P$1006:$S$1006,0)), HYPERLINK("#",""), HYPERLINK(CONCATENATE("#metadata!", ADDRESS(INDEX($K$2:$K$1001,MATCH(ROWS($I$2:I570),$I$2:$I$1001,0),0), INDEX($P$1004:$S$1004,1,MATCH(COLUMNS($P$1006:R1006),$P$1006:$S$1006,0)))),"Fix")))</f>
        <v>0</v>
      </c>
      <c r="E570" s="3">
        <f>IF(OR(INDEX($J$2:$J$1001,MATCH(ROWS($I$2:I570),$I$2:$I$1001,0),1)&gt;=100000,INDEX($P$1005:$S$1005,1,MATCH(COLUMNS($P$1006:S1006),$P$1006:$S$1006,0))&gt;=100000), " ",IF(INDEX($P$2:$S$1001,MATCH(ROWS($I$2:I570),$I$2:$I$1001,0),MATCH(COLUMNS($P$1006:S1006),$P$1006:$S$1006,0)), HYPERLINK("#",""), HYPERLINK(CONCATENATE("#metadata!", ADDRESS(INDEX($K$2:$K$1001,MATCH(ROWS($I$2:I570),$I$2:$I$1001,0),0), INDEX($P$1004:$S$1004,1,MATCH(COLUMNS($P$1006:S1006),$P$1006:$S$1006,0)))),"Fix")))</f>
        <v>0</v>
      </c>
      <c r="I570">
        <v>0</v>
      </c>
      <c r="J570">
        <v>0</v>
      </c>
      <c r="K570">
        <v>0</v>
      </c>
      <c r="L570">
        <f>IF(M570,TRUE,AND(P570:S570))</f>
        <v>0</v>
      </c>
      <c r="M570">
        <f>COUNTBLANK(metadata!B570:E570)=COLUMNS(metadata!B570:E570)</f>
        <v>0</v>
      </c>
      <c r="N570">
        <v>0</v>
      </c>
      <c r="P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Q570">
        <f>AND(IF(metadata!C570="",FALSE,TRUE),exact(metadata!C570,"other"))</f>
        <v>0</v>
      </c>
      <c r="R570">
        <f>AND(IF(metadata!D570="",FALSE,TRUE),exact(metadata!D570,"metagenome"))</f>
        <v>0</v>
      </c>
      <c r="S570">
        <f>AND(IF(metadata!E570="",FALSE,TRUE),exact(metadata!E570,"256318"))</f>
        <v>0</v>
      </c>
    </row>
    <row r="571" spans="1:19">
      <c r="A571" s="4">
        <f>IF(B571=" "," ",HYPERLINK(CONCATENATE("#metadata!",ADDRESS(INDEX($K$2:$K$1001,MATCH(ROWS($I$2:I571),$I$2:$I$1001,0),0),1)),INDEX($N$2:$N$1001,MATCH(ROWS($I$2:I571),$I$2:$I$1001,0),0)))</f>
        <v>0</v>
      </c>
      <c r="B571" s="3">
        <f>IF(OR(INDEX($J$2:$J$1001,MATCH(ROWS($I$2:I571),$I$2:$I$1001,0),1)&gt;=100000,INDEX($P$1005:$S$1005,1,MATCH(COLUMNS($P$1006:P1006),$P$1006:$S$1006,0))&gt;=100000), " ",IF(INDEX($P$2:$S$1001,MATCH(ROWS($I$2:I571),$I$2:$I$1001,0),MATCH(COLUMNS($P$1006:P1006),$P$1006:$S$1006,0)), HYPERLINK("#",""), HYPERLINK(CONCATENATE("#metadata!", ADDRESS(INDEX($K$2:$K$1001,MATCH(ROWS($I$2:I571),$I$2:$I$1001,0),0), INDEX($P$1004:$S$1004,1,MATCH(COLUMNS($P$1006:P1006),$P$1006:$S$1006,0)))),"Fix")))</f>
        <v>0</v>
      </c>
      <c r="C571" s="3">
        <f>IF(OR(INDEX($J$2:$J$1001,MATCH(ROWS($I$2:I571),$I$2:$I$1001,0),1)&gt;=100000,INDEX($P$1005:$S$1005,1,MATCH(COLUMNS($P$1006:Q1006),$P$1006:$S$1006,0))&gt;=100000), " ",IF(INDEX($P$2:$S$1001,MATCH(ROWS($I$2:I571),$I$2:$I$1001,0),MATCH(COLUMNS($P$1006:Q1006),$P$1006:$S$1006,0)), HYPERLINK("#",""), HYPERLINK(CONCATENATE("#metadata!", ADDRESS(INDEX($K$2:$K$1001,MATCH(ROWS($I$2:I571),$I$2:$I$1001,0),0), INDEX($P$1004:$S$1004,1,MATCH(COLUMNS($P$1006:Q1006),$P$1006:$S$1006,0)))),"Fix")))</f>
        <v>0</v>
      </c>
      <c r="D571" s="3">
        <f>IF(OR(INDEX($J$2:$J$1001,MATCH(ROWS($I$2:I571),$I$2:$I$1001,0),1)&gt;=100000,INDEX($P$1005:$S$1005,1,MATCH(COLUMNS($P$1006:R1006),$P$1006:$S$1006,0))&gt;=100000), " ",IF(INDEX($P$2:$S$1001,MATCH(ROWS($I$2:I571),$I$2:$I$1001,0),MATCH(COLUMNS($P$1006:R1006),$P$1006:$S$1006,0)), HYPERLINK("#",""), HYPERLINK(CONCATENATE("#metadata!", ADDRESS(INDEX($K$2:$K$1001,MATCH(ROWS($I$2:I571),$I$2:$I$1001,0),0), INDEX($P$1004:$S$1004,1,MATCH(COLUMNS($P$1006:R1006),$P$1006:$S$1006,0)))),"Fix")))</f>
        <v>0</v>
      </c>
      <c r="E571" s="3">
        <f>IF(OR(INDEX($J$2:$J$1001,MATCH(ROWS($I$2:I571),$I$2:$I$1001,0),1)&gt;=100000,INDEX($P$1005:$S$1005,1,MATCH(COLUMNS($P$1006:S1006),$P$1006:$S$1006,0))&gt;=100000), " ",IF(INDEX($P$2:$S$1001,MATCH(ROWS($I$2:I571),$I$2:$I$1001,0),MATCH(COLUMNS($P$1006:S1006),$P$1006:$S$1006,0)), HYPERLINK("#",""), HYPERLINK(CONCATENATE("#metadata!", ADDRESS(INDEX($K$2:$K$1001,MATCH(ROWS($I$2:I571),$I$2:$I$1001,0),0), INDEX($P$1004:$S$1004,1,MATCH(COLUMNS($P$1006:S1006),$P$1006:$S$1006,0)))),"Fix")))</f>
        <v>0</v>
      </c>
      <c r="I571">
        <v>0</v>
      </c>
      <c r="J571">
        <v>0</v>
      </c>
      <c r="K571">
        <v>0</v>
      </c>
      <c r="L571">
        <f>IF(M571,TRUE,AND(P571:S571))</f>
        <v>0</v>
      </c>
      <c r="M571">
        <f>COUNTBLANK(metadata!B571:E571)=COLUMNS(metadata!B571:E571)</f>
        <v>0</v>
      </c>
      <c r="N571">
        <v>0</v>
      </c>
      <c r="P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Q571">
        <f>AND(IF(metadata!C571="",FALSE,TRUE),exact(metadata!C571,"other"))</f>
        <v>0</v>
      </c>
      <c r="R571">
        <f>AND(IF(metadata!D571="",FALSE,TRUE),exact(metadata!D571,"metagenome"))</f>
        <v>0</v>
      </c>
      <c r="S571">
        <f>AND(IF(metadata!E571="",FALSE,TRUE),exact(metadata!E571,"256318"))</f>
        <v>0</v>
      </c>
    </row>
    <row r="572" spans="1:19">
      <c r="A572" s="4">
        <f>IF(B572=" "," ",HYPERLINK(CONCATENATE("#metadata!",ADDRESS(INDEX($K$2:$K$1001,MATCH(ROWS($I$2:I572),$I$2:$I$1001,0),0),1)),INDEX($N$2:$N$1001,MATCH(ROWS($I$2:I572),$I$2:$I$1001,0),0)))</f>
        <v>0</v>
      </c>
      <c r="B572" s="3">
        <f>IF(OR(INDEX($J$2:$J$1001,MATCH(ROWS($I$2:I572),$I$2:$I$1001,0),1)&gt;=100000,INDEX($P$1005:$S$1005,1,MATCH(COLUMNS($P$1006:P1006),$P$1006:$S$1006,0))&gt;=100000), " ",IF(INDEX($P$2:$S$1001,MATCH(ROWS($I$2:I572),$I$2:$I$1001,0),MATCH(COLUMNS($P$1006:P1006),$P$1006:$S$1006,0)), HYPERLINK("#",""), HYPERLINK(CONCATENATE("#metadata!", ADDRESS(INDEX($K$2:$K$1001,MATCH(ROWS($I$2:I572),$I$2:$I$1001,0),0), INDEX($P$1004:$S$1004,1,MATCH(COLUMNS($P$1006:P1006),$P$1006:$S$1006,0)))),"Fix")))</f>
        <v>0</v>
      </c>
      <c r="C572" s="3">
        <f>IF(OR(INDEX($J$2:$J$1001,MATCH(ROWS($I$2:I572),$I$2:$I$1001,0),1)&gt;=100000,INDEX($P$1005:$S$1005,1,MATCH(COLUMNS($P$1006:Q1006),$P$1006:$S$1006,0))&gt;=100000), " ",IF(INDEX($P$2:$S$1001,MATCH(ROWS($I$2:I572),$I$2:$I$1001,0),MATCH(COLUMNS($P$1006:Q1006),$P$1006:$S$1006,0)), HYPERLINK("#",""), HYPERLINK(CONCATENATE("#metadata!", ADDRESS(INDEX($K$2:$K$1001,MATCH(ROWS($I$2:I572),$I$2:$I$1001,0),0), INDEX($P$1004:$S$1004,1,MATCH(COLUMNS($P$1006:Q1006),$P$1006:$S$1006,0)))),"Fix")))</f>
        <v>0</v>
      </c>
      <c r="D572" s="3">
        <f>IF(OR(INDEX($J$2:$J$1001,MATCH(ROWS($I$2:I572),$I$2:$I$1001,0),1)&gt;=100000,INDEX($P$1005:$S$1005,1,MATCH(COLUMNS($P$1006:R1006),$P$1006:$S$1006,0))&gt;=100000), " ",IF(INDEX($P$2:$S$1001,MATCH(ROWS($I$2:I572),$I$2:$I$1001,0),MATCH(COLUMNS($P$1006:R1006),$P$1006:$S$1006,0)), HYPERLINK("#",""), HYPERLINK(CONCATENATE("#metadata!", ADDRESS(INDEX($K$2:$K$1001,MATCH(ROWS($I$2:I572),$I$2:$I$1001,0),0), INDEX($P$1004:$S$1004,1,MATCH(COLUMNS($P$1006:R1006),$P$1006:$S$1006,0)))),"Fix")))</f>
        <v>0</v>
      </c>
      <c r="E572" s="3">
        <f>IF(OR(INDEX($J$2:$J$1001,MATCH(ROWS($I$2:I572),$I$2:$I$1001,0),1)&gt;=100000,INDEX($P$1005:$S$1005,1,MATCH(COLUMNS($P$1006:S1006),$P$1006:$S$1006,0))&gt;=100000), " ",IF(INDEX($P$2:$S$1001,MATCH(ROWS($I$2:I572),$I$2:$I$1001,0),MATCH(COLUMNS($P$1006:S1006),$P$1006:$S$1006,0)), HYPERLINK("#",""), HYPERLINK(CONCATENATE("#metadata!", ADDRESS(INDEX($K$2:$K$1001,MATCH(ROWS($I$2:I572),$I$2:$I$1001,0),0), INDEX($P$1004:$S$1004,1,MATCH(COLUMNS($P$1006:S1006),$P$1006:$S$1006,0)))),"Fix")))</f>
        <v>0</v>
      </c>
      <c r="I572">
        <v>0</v>
      </c>
      <c r="J572">
        <v>0</v>
      </c>
      <c r="K572">
        <v>0</v>
      </c>
      <c r="L572">
        <f>IF(M572,TRUE,AND(P572:S572))</f>
        <v>0</v>
      </c>
      <c r="M572">
        <f>COUNTBLANK(metadata!B572:E572)=COLUMNS(metadata!B572:E572)</f>
        <v>0</v>
      </c>
      <c r="N572">
        <v>0</v>
      </c>
      <c r="P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Q572">
        <f>AND(IF(metadata!C572="",FALSE,TRUE),exact(metadata!C572,"other"))</f>
        <v>0</v>
      </c>
      <c r="R572">
        <f>AND(IF(metadata!D572="",FALSE,TRUE),exact(metadata!D572,"metagenome"))</f>
        <v>0</v>
      </c>
      <c r="S572">
        <f>AND(IF(metadata!E572="",FALSE,TRUE),exact(metadata!E572,"256318"))</f>
        <v>0</v>
      </c>
    </row>
    <row r="573" spans="1:19">
      <c r="A573" s="4">
        <f>IF(B573=" "," ",HYPERLINK(CONCATENATE("#metadata!",ADDRESS(INDEX($K$2:$K$1001,MATCH(ROWS($I$2:I573),$I$2:$I$1001,0),0),1)),INDEX($N$2:$N$1001,MATCH(ROWS($I$2:I573),$I$2:$I$1001,0),0)))</f>
        <v>0</v>
      </c>
      <c r="B573" s="3">
        <f>IF(OR(INDEX($J$2:$J$1001,MATCH(ROWS($I$2:I573),$I$2:$I$1001,0),1)&gt;=100000,INDEX($P$1005:$S$1005,1,MATCH(COLUMNS($P$1006:P1006),$P$1006:$S$1006,0))&gt;=100000), " ",IF(INDEX($P$2:$S$1001,MATCH(ROWS($I$2:I573),$I$2:$I$1001,0),MATCH(COLUMNS($P$1006:P1006),$P$1006:$S$1006,0)), HYPERLINK("#",""), HYPERLINK(CONCATENATE("#metadata!", ADDRESS(INDEX($K$2:$K$1001,MATCH(ROWS($I$2:I573),$I$2:$I$1001,0),0), INDEX($P$1004:$S$1004,1,MATCH(COLUMNS($P$1006:P1006),$P$1006:$S$1006,0)))),"Fix")))</f>
        <v>0</v>
      </c>
      <c r="C573" s="3">
        <f>IF(OR(INDEX($J$2:$J$1001,MATCH(ROWS($I$2:I573),$I$2:$I$1001,0),1)&gt;=100000,INDEX($P$1005:$S$1005,1,MATCH(COLUMNS($P$1006:Q1006),$P$1006:$S$1006,0))&gt;=100000), " ",IF(INDEX($P$2:$S$1001,MATCH(ROWS($I$2:I573),$I$2:$I$1001,0),MATCH(COLUMNS($P$1006:Q1006),$P$1006:$S$1006,0)), HYPERLINK("#",""), HYPERLINK(CONCATENATE("#metadata!", ADDRESS(INDEX($K$2:$K$1001,MATCH(ROWS($I$2:I573),$I$2:$I$1001,0),0), INDEX($P$1004:$S$1004,1,MATCH(COLUMNS($P$1006:Q1006),$P$1006:$S$1006,0)))),"Fix")))</f>
        <v>0</v>
      </c>
      <c r="D573" s="3">
        <f>IF(OR(INDEX($J$2:$J$1001,MATCH(ROWS($I$2:I573),$I$2:$I$1001,0),1)&gt;=100000,INDEX($P$1005:$S$1005,1,MATCH(COLUMNS($P$1006:R1006),$P$1006:$S$1006,0))&gt;=100000), " ",IF(INDEX($P$2:$S$1001,MATCH(ROWS($I$2:I573),$I$2:$I$1001,0),MATCH(COLUMNS($P$1006:R1006),$P$1006:$S$1006,0)), HYPERLINK("#",""), HYPERLINK(CONCATENATE("#metadata!", ADDRESS(INDEX($K$2:$K$1001,MATCH(ROWS($I$2:I573),$I$2:$I$1001,0),0), INDEX($P$1004:$S$1004,1,MATCH(COLUMNS($P$1006:R1006),$P$1006:$S$1006,0)))),"Fix")))</f>
        <v>0</v>
      </c>
      <c r="E573" s="3">
        <f>IF(OR(INDEX($J$2:$J$1001,MATCH(ROWS($I$2:I573),$I$2:$I$1001,0),1)&gt;=100000,INDEX($P$1005:$S$1005,1,MATCH(COLUMNS($P$1006:S1006),$P$1006:$S$1006,0))&gt;=100000), " ",IF(INDEX($P$2:$S$1001,MATCH(ROWS($I$2:I573),$I$2:$I$1001,0),MATCH(COLUMNS($P$1006:S1006),$P$1006:$S$1006,0)), HYPERLINK("#",""), HYPERLINK(CONCATENATE("#metadata!", ADDRESS(INDEX($K$2:$K$1001,MATCH(ROWS($I$2:I573),$I$2:$I$1001,0),0), INDEX($P$1004:$S$1004,1,MATCH(COLUMNS($P$1006:S1006),$P$1006:$S$1006,0)))),"Fix")))</f>
        <v>0</v>
      </c>
      <c r="I573">
        <v>0</v>
      </c>
      <c r="J573">
        <v>0</v>
      </c>
      <c r="K573">
        <v>0</v>
      </c>
      <c r="L573">
        <f>IF(M573,TRUE,AND(P573:S573))</f>
        <v>0</v>
      </c>
      <c r="M573">
        <f>COUNTBLANK(metadata!B573:E573)=COLUMNS(metadata!B573:E573)</f>
        <v>0</v>
      </c>
      <c r="N573">
        <v>0</v>
      </c>
      <c r="P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Q573">
        <f>AND(IF(metadata!C573="",FALSE,TRUE),exact(metadata!C573,"other"))</f>
        <v>0</v>
      </c>
      <c r="R573">
        <f>AND(IF(metadata!D573="",FALSE,TRUE),exact(metadata!D573,"metagenome"))</f>
        <v>0</v>
      </c>
      <c r="S573">
        <f>AND(IF(metadata!E573="",FALSE,TRUE),exact(metadata!E573,"256318"))</f>
        <v>0</v>
      </c>
    </row>
    <row r="574" spans="1:19">
      <c r="A574" s="4">
        <f>IF(B574=" "," ",HYPERLINK(CONCATENATE("#metadata!",ADDRESS(INDEX($K$2:$K$1001,MATCH(ROWS($I$2:I574),$I$2:$I$1001,0),0),1)),INDEX($N$2:$N$1001,MATCH(ROWS($I$2:I574),$I$2:$I$1001,0),0)))</f>
        <v>0</v>
      </c>
      <c r="B574" s="3">
        <f>IF(OR(INDEX($J$2:$J$1001,MATCH(ROWS($I$2:I574),$I$2:$I$1001,0),1)&gt;=100000,INDEX($P$1005:$S$1005,1,MATCH(COLUMNS($P$1006:P1006),$P$1006:$S$1006,0))&gt;=100000), " ",IF(INDEX($P$2:$S$1001,MATCH(ROWS($I$2:I574),$I$2:$I$1001,0),MATCH(COLUMNS($P$1006:P1006),$P$1006:$S$1006,0)), HYPERLINK("#",""), HYPERLINK(CONCATENATE("#metadata!", ADDRESS(INDEX($K$2:$K$1001,MATCH(ROWS($I$2:I574),$I$2:$I$1001,0),0), INDEX($P$1004:$S$1004,1,MATCH(COLUMNS($P$1006:P1006),$P$1006:$S$1006,0)))),"Fix")))</f>
        <v>0</v>
      </c>
      <c r="C574" s="3">
        <f>IF(OR(INDEX($J$2:$J$1001,MATCH(ROWS($I$2:I574),$I$2:$I$1001,0),1)&gt;=100000,INDEX($P$1005:$S$1005,1,MATCH(COLUMNS($P$1006:Q1006),$P$1006:$S$1006,0))&gt;=100000), " ",IF(INDEX($P$2:$S$1001,MATCH(ROWS($I$2:I574),$I$2:$I$1001,0),MATCH(COLUMNS($P$1006:Q1006),$P$1006:$S$1006,0)), HYPERLINK("#",""), HYPERLINK(CONCATENATE("#metadata!", ADDRESS(INDEX($K$2:$K$1001,MATCH(ROWS($I$2:I574),$I$2:$I$1001,0),0), INDEX($P$1004:$S$1004,1,MATCH(COLUMNS($P$1006:Q1006),$P$1006:$S$1006,0)))),"Fix")))</f>
        <v>0</v>
      </c>
      <c r="D574" s="3">
        <f>IF(OR(INDEX($J$2:$J$1001,MATCH(ROWS($I$2:I574),$I$2:$I$1001,0),1)&gt;=100000,INDEX($P$1005:$S$1005,1,MATCH(COLUMNS($P$1006:R1006),$P$1006:$S$1006,0))&gt;=100000), " ",IF(INDEX($P$2:$S$1001,MATCH(ROWS($I$2:I574),$I$2:$I$1001,0),MATCH(COLUMNS($P$1006:R1006),$P$1006:$S$1006,0)), HYPERLINK("#",""), HYPERLINK(CONCATENATE("#metadata!", ADDRESS(INDEX($K$2:$K$1001,MATCH(ROWS($I$2:I574),$I$2:$I$1001,0),0), INDEX($P$1004:$S$1004,1,MATCH(COLUMNS($P$1006:R1006),$P$1006:$S$1006,0)))),"Fix")))</f>
        <v>0</v>
      </c>
      <c r="E574" s="3">
        <f>IF(OR(INDEX($J$2:$J$1001,MATCH(ROWS($I$2:I574),$I$2:$I$1001,0),1)&gt;=100000,INDEX($P$1005:$S$1005,1,MATCH(COLUMNS($P$1006:S1006),$P$1006:$S$1006,0))&gt;=100000), " ",IF(INDEX($P$2:$S$1001,MATCH(ROWS($I$2:I574),$I$2:$I$1001,0),MATCH(COLUMNS($P$1006:S1006),$P$1006:$S$1006,0)), HYPERLINK("#",""), HYPERLINK(CONCATENATE("#metadata!", ADDRESS(INDEX($K$2:$K$1001,MATCH(ROWS($I$2:I574),$I$2:$I$1001,0),0), INDEX($P$1004:$S$1004,1,MATCH(COLUMNS($P$1006:S1006),$P$1006:$S$1006,0)))),"Fix")))</f>
        <v>0</v>
      </c>
      <c r="I574">
        <v>0</v>
      </c>
      <c r="J574">
        <v>0</v>
      </c>
      <c r="K574">
        <v>0</v>
      </c>
      <c r="L574">
        <f>IF(M574,TRUE,AND(P574:S574))</f>
        <v>0</v>
      </c>
      <c r="M574">
        <f>COUNTBLANK(metadata!B574:E574)=COLUMNS(metadata!B574:E574)</f>
        <v>0</v>
      </c>
      <c r="N574">
        <v>0</v>
      </c>
      <c r="P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Q574">
        <f>AND(IF(metadata!C574="",FALSE,TRUE),exact(metadata!C574,"other"))</f>
        <v>0</v>
      </c>
      <c r="R574">
        <f>AND(IF(metadata!D574="",FALSE,TRUE),exact(metadata!D574,"metagenome"))</f>
        <v>0</v>
      </c>
      <c r="S574">
        <f>AND(IF(metadata!E574="",FALSE,TRUE),exact(metadata!E574,"256318"))</f>
        <v>0</v>
      </c>
    </row>
    <row r="575" spans="1:19">
      <c r="A575" s="4">
        <f>IF(B575=" "," ",HYPERLINK(CONCATENATE("#metadata!",ADDRESS(INDEX($K$2:$K$1001,MATCH(ROWS($I$2:I575),$I$2:$I$1001,0),0),1)),INDEX($N$2:$N$1001,MATCH(ROWS($I$2:I575),$I$2:$I$1001,0),0)))</f>
        <v>0</v>
      </c>
      <c r="B575" s="3">
        <f>IF(OR(INDEX($J$2:$J$1001,MATCH(ROWS($I$2:I575),$I$2:$I$1001,0),1)&gt;=100000,INDEX($P$1005:$S$1005,1,MATCH(COLUMNS($P$1006:P1006),$P$1006:$S$1006,0))&gt;=100000), " ",IF(INDEX($P$2:$S$1001,MATCH(ROWS($I$2:I575),$I$2:$I$1001,0),MATCH(COLUMNS($P$1006:P1006),$P$1006:$S$1006,0)), HYPERLINK("#",""), HYPERLINK(CONCATENATE("#metadata!", ADDRESS(INDEX($K$2:$K$1001,MATCH(ROWS($I$2:I575),$I$2:$I$1001,0),0), INDEX($P$1004:$S$1004,1,MATCH(COLUMNS($P$1006:P1006),$P$1006:$S$1006,0)))),"Fix")))</f>
        <v>0</v>
      </c>
      <c r="C575" s="3">
        <f>IF(OR(INDEX($J$2:$J$1001,MATCH(ROWS($I$2:I575),$I$2:$I$1001,0),1)&gt;=100000,INDEX($P$1005:$S$1005,1,MATCH(COLUMNS($P$1006:Q1006),$P$1006:$S$1006,0))&gt;=100000), " ",IF(INDEX($P$2:$S$1001,MATCH(ROWS($I$2:I575),$I$2:$I$1001,0),MATCH(COLUMNS($P$1006:Q1006),$P$1006:$S$1006,0)), HYPERLINK("#",""), HYPERLINK(CONCATENATE("#metadata!", ADDRESS(INDEX($K$2:$K$1001,MATCH(ROWS($I$2:I575),$I$2:$I$1001,0),0), INDEX($P$1004:$S$1004,1,MATCH(COLUMNS($P$1006:Q1006),$P$1006:$S$1006,0)))),"Fix")))</f>
        <v>0</v>
      </c>
      <c r="D575" s="3">
        <f>IF(OR(INDEX($J$2:$J$1001,MATCH(ROWS($I$2:I575),$I$2:$I$1001,0),1)&gt;=100000,INDEX($P$1005:$S$1005,1,MATCH(COLUMNS($P$1006:R1006),$P$1006:$S$1006,0))&gt;=100000), " ",IF(INDEX($P$2:$S$1001,MATCH(ROWS($I$2:I575),$I$2:$I$1001,0),MATCH(COLUMNS($P$1006:R1006),$P$1006:$S$1006,0)), HYPERLINK("#",""), HYPERLINK(CONCATENATE("#metadata!", ADDRESS(INDEX($K$2:$K$1001,MATCH(ROWS($I$2:I575),$I$2:$I$1001,0),0), INDEX($P$1004:$S$1004,1,MATCH(COLUMNS($P$1006:R1006),$P$1006:$S$1006,0)))),"Fix")))</f>
        <v>0</v>
      </c>
      <c r="E575" s="3">
        <f>IF(OR(INDEX($J$2:$J$1001,MATCH(ROWS($I$2:I575),$I$2:$I$1001,0),1)&gt;=100000,INDEX($P$1005:$S$1005,1,MATCH(COLUMNS($P$1006:S1006),$P$1006:$S$1006,0))&gt;=100000), " ",IF(INDEX($P$2:$S$1001,MATCH(ROWS($I$2:I575),$I$2:$I$1001,0),MATCH(COLUMNS($P$1006:S1006),$P$1006:$S$1006,0)), HYPERLINK("#",""), HYPERLINK(CONCATENATE("#metadata!", ADDRESS(INDEX($K$2:$K$1001,MATCH(ROWS($I$2:I575),$I$2:$I$1001,0),0), INDEX($P$1004:$S$1004,1,MATCH(COLUMNS($P$1006:S1006),$P$1006:$S$1006,0)))),"Fix")))</f>
        <v>0</v>
      </c>
      <c r="I575">
        <v>0</v>
      </c>
      <c r="J575">
        <v>0</v>
      </c>
      <c r="K575">
        <v>0</v>
      </c>
      <c r="L575">
        <f>IF(M575,TRUE,AND(P575:S575))</f>
        <v>0</v>
      </c>
      <c r="M575">
        <f>COUNTBLANK(metadata!B575:E575)=COLUMNS(metadata!B575:E575)</f>
        <v>0</v>
      </c>
      <c r="N575">
        <v>0</v>
      </c>
      <c r="P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Q575">
        <f>AND(IF(metadata!C575="",FALSE,TRUE),exact(metadata!C575,"other"))</f>
        <v>0</v>
      </c>
      <c r="R575">
        <f>AND(IF(metadata!D575="",FALSE,TRUE),exact(metadata!D575,"metagenome"))</f>
        <v>0</v>
      </c>
      <c r="S575">
        <f>AND(IF(metadata!E575="",FALSE,TRUE),exact(metadata!E575,"256318"))</f>
        <v>0</v>
      </c>
    </row>
    <row r="576" spans="1:19">
      <c r="A576" s="4">
        <f>IF(B576=" "," ",HYPERLINK(CONCATENATE("#metadata!",ADDRESS(INDEX($K$2:$K$1001,MATCH(ROWS($I$2:I576),$I$2:$I$1001,0),0),1)),INDEX($N$2:$N$1001,MATCH(ROWS($I$2:I576),$I$2:$I$1001,0),0)))</f>
        <v>0</v>
      </c>
      <c r="B576" s="3">
        <f>IF(OR(INDEX($J$2:$J$1001,MATCH(ROWS($I$2:I576),$I$2:$I$1001,0),1)&gt;=100000,INDEX($P$1005:$S$1005,1,MATCH(COLUMNS($P$1006:P1006),$P$1006:$S$1006,0))&gt;=100000), " ",IF(INDEX($P$2:$S$1001,MATCH(ROWS($I$2:I576),$I$2:$I$1001,0),MATCH(COLUMNS($P$1006:P1006),$P$1006:$S$1006,0)), HYPERLINK("#",""), HYPERLINK(CONCATENATE("#metadata!", ADDRESS(INDEX($K$2:$K$1001,MATCH(ROWS($I$2:I576),$I$2:$I$1001,0),0), INDEX($P$1004:$S$1004,1,MATCH(COLUMNS($P$1006:P1006),$P$1006:$S$1006,0)))),"Fix")))</f>
        <v>0</v>
      </c>
      <c r="C576" s="3">
        <f>IF(OR(INDEX($J$2:$J$1001,MATCH(ROWS($I$2:I576),$I$2:$I$1001,0),1)&gt;=100000,INDEX($P$1005:$S$1005,1,MATCH(COLUMNS($P$1006:Q1006),$P$1006:$S$1006,0))&gt;=100000), " ",IF(INDEX($P$2:$S$1001,MATCH(ROWS($I$2:I576),$I$2:$I$1001,0),MATCH(COLUMNS($P$1006:Q1006),$P$1006:$S$1006,0)), HYPERLINK("#",""), HYPERLINK(CONCATENATE("#metadata!", ADDRESS(INDEX($K$2:$K$1001,MATCH(ROWS($I$2:I576),$I$2:$I$1001,0),0), INDEX($P$1004:$S$1004,1,MATCH(COLUMNS($P$1006:Q1006),$P$1006:$S$1006,0)))),"Fix")))</f>
        <v>0</v>
      </c>
      <c r="D576" s="3">
        <f>IF(OR(INDEX($J$2:$J$1001,MATCH(ROWS($I$2:I576),$I$2:$I$1001,0),1)&gt;=100000,INDEX($P$1005:$S$1005,1,MATCH(COLUMNS($P$1006:R1006),$P$1006:$S$1006,0))&gt;=100000), " ",IF(INDEX($P$2:$S$1001,MATCH(ROWS($I$2:I576),$I$2:$I$1001,0),MATCH(COLUMNS($P$1006:R1006),$P$1006:$S$1006,0)), HYPERLINK("#",""), HYPERLINK(CONCATENATE("#metadata!", ADDRESS(INDEX($K$2:$K$1001,MATCH(ROWS($I$2:I576),$I$2:$I$1001,0),0), INDEX($P$1004:$S$1004,1,MATCH(COLUMNS($P$1006:R1006),$P$1006:$S$1006,0)))),"Fix")))</f>
        <v>0</v>
      </c>
      <c r="E576" s="3">
        <f>IF(OR(INDEX($J$2:$J$1001,MATCH(ROWS($I$2:I576),$I$2:$I$1001,0),1)&gt;=100000,INDEX($P$1005:$S$1005,1,MATCH(COLUMNS($P$1006:S1006),$P$1006:$S$1006,0))&gt;=100000), " ",IF(INDEX($P$2:$S$1001,MATCH(ROWS($I$2:I576),$I$2:$I$1001,0),MATCH(COLUMNS($P$1006:S1006),$P$1006:$S$1006,0)), HYPERLINK("#",""), HYPERLINK(CONCATENATE("#metadata!", ADDRESS(INDEX($K$2:$K$1001,MATCH(ROWS($I$2:I576),$I$2:$I$1001,0),0), INDEX($P$1004:$S$1004,1,MATCH(COLUMNS($P$1006:S1006),$P$1006:$S$1006,0)))),"Fix")))</f>
        <v>0</v>
      </c>
      <c r="I576">
        <v>0</v>
      </c>
      <c r="J576">
        <v>0</v>
      </c>
      <c r="K576">
        <v>0</v>
      </c>
      <c r="L576">
        <f>IF(M576,TRUE,AND(P576:S576))</f>
        <v>0</v>
      </c>
      <c r="M576">
        <f>COUNTBLANK(metadata!B576:E576)=COLUMNS(metadata!B576:E576)</f>
        <v>0</v>
      </c>
      <c r="N576">
        <v>0</v>
      </c>
      <c r="P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Q576">
        <f>AND(IF(metadata!C576="",FALSE,TRUE),exact(metadata!C576,"other"))</f>
        <v>0</v>
      </c>
      <c r="R576">
        <f>AND(IF(metadata!D576="",FALSE,TRUE),exact(metadata!D576,"metagenome"))</f>
        <v>0</v>
      </c>
      <c r="S576">
        <f>AND(IF(metadata!E576="",FALSE,TRUE),exact(metadata!E576,"256318"))</f>
        <v>0</v>
      </c>
    </row>
    <row r="577" spans="1:19">
      <c r="A577" s="4">
        <f>IF(B577=" "," ",HYPERLINK(CONCATENATE("#metadata!",ADDRESS(INDEX($K$2:$K$1001,MATCH(ROWS($I$2:I577),$I$2:$I$1001,0),0),1)),INDEX($N$2:$N$1001,MATCH(ROWS($I$2:I577),$I$2:$I$1001,0),0)))</f>
        <v>0</v>
      </c>
      <c r="B577" s="3">
        <f>IF(OR(INDEX($J$2:$J$1001,MATCH(ROWS($I$2:I577),$I$2:$I$1001,0),1)&gt;=100000,INDEX($P$1005:$S$1005,1,MATCH(COLUMNS($P$1006:P1006),$P$1006:$S$1006,0))&gt;=100000), " ",IF(INDEX($P$2:$S$1001,MATCH(ROWS($I$2:I577),$I$2:$I$1001,0),MATCH(COLUMNS($P$1006:P1006),$P$1006:$S$1006,0)), HYPERLINK("#",""), HYPERLINK(CONCATENATE("#metadata!", ADDRESS(INDEX($K$2:$K$1001,MATCH(ROWS($I$2:I577),$I$2:$I$1001,0),0), INDEX($P$1004:$S$1004,1,MATCH(COLUMNS($P$1006:P1006),$P$1006:$S$1006,0)))),"Fix")))</f>
        <v>0</v>
      </c>
      <c r="C577" s="3">
        <f>IF(OR(INDEX($J$2:$J$1001,MATCH(ROWS($I$2:I577),$I$2:$I$1001,0),1)&gt;=100000,INDEX($P$1005:$S$1005,1,MATCH(COLUMNS($P$1006:Q1006),$P$1006:$S$1006,0))&gt;=100000), " ",IF(INDEX($P$2:$S$1001,MATCH(ROWS($I$2:I577),$I$2:$I$1001,0),MATCH(COLUMNS($P$1006:Q1006),$P$1006:$S$1006,0)), HYPERLINK("#",""), HYPERLINK(CONCATENATE("#metadata!", ADDRESS(INDEX($K$2:$K$1001,MATCH(ROWS($I$2:I577),$I$2:$I$1001,0),0), INDEX($P$1004:$S$1004,1,MATCH(COLUMNS($P$1006:Q1006),$P$1006:$S$1006,0)))),"Fix")))</f>
        <v>0</v>
      </c>
      <c r="D577" s="3">
        <f>IF(OR(INDEX($J$2:$J$1001,MATCH(ROWS($I$2:I577),$I$2:$I$1001,0),1)&gt;=100000,INDEX($P$1005:$S$1005,1,MATCH(COLUMNS($P$1006:R1006),$P$1006:$S$1006,0))&gt;=100000), " ",IF(INDEX($P$2:$S$1001,MATCH(ROWS($I$2:I577),$I$2:$I$1001,0),MATCH(COLUMNS($P$1006:R1006),$P$1006:$S$1006,0)), HYPERLINK("#",""), HYPERLINK(CONCATENATE("#metadata!", ADDRESS(INDEX($K$2:$K$1001,MATCH(ROWS($I$2:I577),$I$2:$I$1001,0),0), INDEX($P$1004:$S$1004,1,MATCH(COLUMNS($P$1006:R1006),$P$1006:$S$1006,0)))),"Fix")))</f>
        <v>0</v>
      </c>
      <c r="E577" s="3">
        <f>IF(OR(INDEX($J$2:$J$1001,MATCH(ROWS($I$2:I577),$I$2:$I$1001,0),1)&gt;=100000,INDEX($P$1005:$S$1005,1,MATCH(COLUMNS($P$1006:S1006),$P$1006:$S$1006,0))&gt;=100000), " ",IF(INDEX($P$2:$S$1001,MATCH(ROWS($I$2:I577),$I$2:$I$1001,0),MATCH(COLUMNS($P$1006:S1006),$P$1006:$S$1006,0)), HYPERLINK("#",""), HYPERLINK(CONCATENATE("#metadata!", ADDRESS(INDEX($K$2:$K$1001,MATCH(ROWS($I$2:I577),$I$2:$I$1001,0),0), INDEX($P$1004:$S$1004,1,MATCH(COLUMNS($P$1006:S1006),$P$1006:$S$1006,0)))),"Fix")))</f>
        <v>0</v>
      </c>
      <c r="I577">
        <v>0</v>
      </c>
      <c r="J577">
        <v>0</v>
      </c>
      <c r="K577">
        <v>0</v>
      </c>
      <c r="L577">
        <f>IF(M577,TRUE,AND(P577:S577))</f>
        <v>0</v>
      </c>
      <c r="M577">
        <f>COUNTBLANK(metadata!B577:E577)=COLUMNS(metadata!B577:E577)</f>
        <v>0</v>
      </c>
      <c r="N577">
        <v>0</v>
      </c>
      <c r="P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Q577">
        <f>AND(IF(metadata!C577="",FALSE,TRUE),exact(metadata!C577,"other"))</f>
        <v>0</v>
      </c>
      <c r="R577">
        <f>AND(IF(metadata!D577="",FALSE,TRUE),exact(metadata!D577,"metagenome"))</f>
        <v>0</v>
      </c>
      <c r="S577">
        <f>AND(IF(metadata!E577="",FALSE,TRUE),exact(metadata!E577,"256318"))</f>
        <v>0</v>
      </c>
    </row>
    <row r="578" spans="1:19">
      <c r="A578" s="4">
        <f>IF(B578=" "," ",HYPERLINK(CONCATENATE("#metadata!",ADDRESS(INDEX($K$2:$K$1001,MATCH(ROWS($I$2:I578),$I$2:$I$1001,0),0),1)),INDEX($N$2:$N$1001,MATCH(ROWS($I$2:I578),$I$2:$I$1001,0),0)))</f>
        <v>0</v>
      </c>
      <c r="B578" s="3">
        <f>IF(OR(INDEX($J$2:$J$1001,MATCH(ROWS($I$2:I578),$I$2:$I$1001,0),1)&gt;=100000,INDEX($P$1005:$S$1005,1,MATCH(COLUMNS($P$1006:P1006),$P$1006:$S$1006,0))&gt;=100000), " ",IF(INDEX($P$2:$S$1001,MATCH(ROWS($I$2:I578),$I$2:$I$1001,0),MATCH(COLUMNS($P$1006:P1006),$P$1006:$S$1006,0)), HYPERLINK("#",""), HYPERLINK(CONCATENATE("#metadata!", ADDRESS(INDEX($K$2:$K$1001,MATCH(ROWS($I$2:I578),$I$2:$I$1001,0),0), INDEX($P$1004:$S$1004,1,MATCH(COLUMNS($P$1006:P1006),$P$1006:$S$1006,0)))),"Fix")))</f>
        <v>0</v>
      </c>
      <c r="C578" s="3">
        <f>IF(OR(INDEX($J$2:$J$1001,MATCH(ROWS($I$2:I578),$I$2:$I$1001,0),1)&gt;=100000,INDEX($P$1005:$S$1005,1,MATCH(COLUMNS($P$1006:Q1006),$P$1006:$S$1006,0))&gt;=100000), " ",IF(INDEX($P$2:$S$1001,MATCH(ROWS($I$2:I578),$I$2:$I$1001,0),MATCH(COLUMNS($P$1006:Q1006),$P$1006:$S$1006,0)), HYPERLINK("#",""), HYPERLINK(CONCATENATE("#metadata!", ADDRESS(INDEX($K$2:$K$1001,MATCH(ROWS($I$2:I578),$I$2:$I$1001,0),0), INDEX($P$1004:$S$1004,1,MATCH(COLUMNS($P$1006:Q1006),$P$1006:$S$1006,0)))),"Fix")))</f>
        <v>0</v>
      </c>
      <c r="D578" s="3">
        <f>IF(OR(INDEX($J$2:$J$1001,MATCH(ROWS($I$2:I578),$I$2:$I$1001,0),1)&gt;=100000,INDEX($P$1005:$S$1005,1,MATCH(COLUMNS($P$1006:R1006),$P$1006:$S$1006,0))&gt;=100000), " ",IF(INDEX($P$2:$S$1001,MATCH(ROWS($I$2:I578),$I$2:$I$1001,0),MATCH(COLUMNS($P$1006:R1006),$P$1006:$S$1006,0)), HYPERLINK("#",""), HYPERLINK(CONCATENATE("#metadata!", ADDRESS(INDEX($K$2:$K$1001,MATCH(ROWS($I$2:I578),$I$2:$I$1001,0),0), INDEX($P$1004:$S$1004,1,MATCH(COLUMNS($P$1006:R1006),$P$1006:$S$1006,0)))),"Fix")))</f>
        <v>0</v>
      </c>
      <c r="E578" s="3">
        <f>IF(OR(INDEX($J$2:$J$1001,MATCH(ROWS($I$2:I578),$I$2:$I$1001,0),1)&gt;=100000,INDEX($P$1005:$S$1005,1,MATCH(COLUMNS($P$1006:S1006),$P$1006:$S$1006,0))&gt;=100000), " ",IF(INDEX($P$2:$S$1001,MATCH(ROWS($I$2:I578),$I$2:$I$1001,0),MATCH(COLUMNS($P$1006:S1006),$P$1006:$S$1006,0)), HYPERLINK("#",""), HYPERLINK(CONCATENATE("#metadata!", ADDRESS(INDEX($K$2:$K$1001,MATCH(ROWS($I$2:I578),$I$2:$I$1001,0),0), INDEX($P$1004:$S$1004,1,MATCH(COLUMNS($P$1006:S1006),$P$1006:$S$1006,0)))),"Fix")))</f>
        <v>0</v>
      </c>
      <c r="I578">
        <v>0</v>
      </c>
      <c r="J578">
        <v>0</v>
      </c>
      <c r="K578">
        <v>0</v>
      </c>
      <c r="L578">
        <f>IF(M578,TRUE,AND(P578:S578))</f>
        <v>0</v>
      </c>
      <c r="M578">
        <f>COUNTBLANK(metadata!B578:E578)=COLUMNS(metadata!B578:E578)</f>
        <v>0</v>
      </c>
      <c r="N578">
        <v>0</v>
      </c>
      <c r="P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Q578">
        <f>AND(IF(metadata!C578="",FALSE,TRUE),exact(metadata!C578,"other"))</f>
        <v>0</v>
      </c>
      <c r="R578">
        <f>AND(IF(metadata!D578="",FALSE,TRUE),exact(metadata!D578,"metagenome"))</f>
        <v>0</v>
      </c>
      <c r="S578">
        <f>AND(IF(metadata!E578="",FALSE,TRUE),exact(metadata!E578,"256318"))</f>
        <v>0</v>
      </c>
    </row>
    <row r="579" spans="1:19">
      <c r="A579" s="4">
        <f>IF(B579=" "," ",HYPERLINK(CONCATENATE("#metadata!",ADDRESS(INDEX($K$2:$K$1001,MATCH(ROWS($I$2:I579),$I$2:$I$1001,0),0),1)),INDEX($N$2:$N$1001,MATCH(ROWS($I$2:I579),$I$2:$I$1001,0),0)))</f>
        <v>0</v>
      </c>
      <c r="B579" s="3">
        <f>IF(OR(INDEX($J$2:$J$1001,MATCH(ROWS($I$2:I579),$I$2:$I$1001,0),1)&gt;=100000,INDEX($P$1005:$S$1005,1,MATCH(COLUMNS($P$1006:P1006),$P$1006:$S$1006,0))&gt;=100000), " ",IF(INDEX($P$2:$S$1001,MATCH(ROWS($I$2:I579),$I$2:$I$1001,0),MATCH(COLUMNS($P$1006:P1006),$P$1006:$S$1006,0)), HYPERLINK("#",""), HYPERLINK(CONCATENATE("#metadata!", ADDRESS(INDEX($K$2:$K$1001,MATCH(ROWS($I$2:I579),$I$2:$I$1001,0),0), INDEX($P$1004:$S$1004,1,MATCH(COLUMNS($P$1006:P1006),$P$1006:$S$1006,0)))),"Fix")))</f>
        <v>0</v>
      </c>
      <c r="C579" s="3">
        <f>IF(OR(INDEX($J$2:$J$1001,MATCH(ROWS($I$2:I579),$I$2:$I$1001,0),1)&gt;=100000,INDEX($P$1005:$S$1005,1,MATCH(COLUMNS($P$1006:Q1006),$P$1006:$S$1006,0))&gt;=100000), " ",IF(INDEX($P$2:$S$1001,MATCH(ROWS($I$2:I579),$I$2:$I$1001,0),MATCH(COLUMNS($P$1006:Q1006),$P$1006:$S$1006,0)), HYPERLINK("#",""), HYPERLINK(CONCATENATE("#metadata!", ADDRESS(INDEX($K$2:$K$1001,MATCH(ROWS($I$2:I579),$I$2:$I$1001,0),0), INDEX($P$1004:$S$1004,1,MATCH(COLUMNS($P$1006:Q1006),$P$1006:$S$1006,0)))),"Fix")))</f>
        <v>0</v>
      </c>
      <c r="D579" s="3">
        <f>IF(OR(INDEX($J$2:$J$1001,MATCH(ROWS($I$2:I579),$I$2:$I$1001,0),1)&gt;=100000,INDEX($P$1005:$S$1005,1,MATCH(COLUMNS($P$1006:R1006),$P$1006:$S$1006,0))&gt;=100000), " ",IF(INDEX($P$2:$S$1001,MATCH(ROWS($I$2:I579),$I$2:$I$1001,0),MATCH(COLUMNS($P$1006:R1006),$P$1006:$S$1006,0)), HYPERLINK("#",""), HYPERLINK(CONCATENATE("#metadata!", ADDRESS(INDEX($K$2:$K$1001,MATCH(ROWS($I$2:I579),$I$2:$I$1001,0),0), INDEX($P$1004:$S$1004,1,MATCH(COLUMNS($P$1006:R1006),$P$1006:$S$1006,0)))),"Fix")))</f>
        <v>0</v>
      </c>
      <c r="E579" s="3">
        <f>IF(OR(INDEX($J$2:$J$1001,MATCH(ROWS($I$2:I579),$I$2:$I$1001,0),1)&gt;=100000,INDEX($P$1005:$S$1005,1,MATCH(COLUMNS($P$1006:S1006),$P$1006:$S$1006,0))&gt;=100000), " ",IF(INDEX($P$2:$S$1001,MATCH(ROWS($I$2:I579),$I$2:$I$1001,0),MATCH(COLUMNS($P$1006:S1006),$P$1006:$S$1006,0)), HYPERLINK("#",""), HYPERLINK(CONCATENATE("#metadata!", ADDRESS(INDEX($K$2:$K$1001,MATCH(ROWS($I$2:I579),$I$2:$I$1001,0),0), INDEX($P$1004:$S$1004,1,MATCH(COLUMNS($P$1006:S1006),$P$1006:$S$1006,0)))),"Fix")))</f>
        <v>0</v>
      </c>
      <c r="I579">
        <v>0</v>
      </c>
      <c r="J579">
        <v>0</v>
      </c>
      <c r="K579">
        <v>0</v>
      </c>
      <c r="L579">
        <f>IF(M579,TRUE,AND(P579:S579))</f>
        <v>0</v>
      </c>
      <c r="M579">
        <f>COUNTBLANK(metadata!B579:E579)=COLUMNS(metadata!B579:E579)</f>
        <v>0</v>
      </c>
      <c r="N579">
        <v>0</v>
      </c>
      <c r="P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Q579">
        <f>AND(IF(metadata!C579="",FALSE,TRUE),exact(metadata!C579,"other"))</f>
        <v>0</v>
      </c>
      <c r="R579">
        <f>AND(IF(metadata!D579="",FALSE,TRUE),exact(metadata!D579,"metagenome"))</f>
        <v>0</v>
      </c>
      <c r="S579">
        <f>AND(IF(metadata!E579="",FALSE,TRUE),exact(metadata!E579,"256318"))</f>
        <v>0</v>
      </c>
    </row>
    <row r="580" spans="1:19">
      <c r="A580" s="4">
        <f>IF(B580=" "," ",HYPERLINK(CONCATENATE("#metadata!",ADDRESS(INDEX($K$2:$K$1001,MATCH(ROWS($I$2:I580),$I$2:$I$1001,0),0),1)),INDEX($N$2:$N$1001,MATCH(ROWS($I$2:I580),$I$2:$I$1001,0),0)))</f>
        <v>0</v>
      </c>
      <c r="B580" s="3">
        <f>IF(OR(INDEX($J$2:$J$1001,MATCH(ROWS($I$2:I580),$I$2:$I$1001,0),1)&gt;=100000,INDEX($P$1005:$S$1005,1,MATCH(COLUMNS($P$1006:P1006),$P$1006:$S$1006,0))&gt;=100000), " ",IF(INDEX($P$2:$S$1001,MATCH(ROWS($I$2:I580),$I$2:$I$1001,0),MATCH(COLUMNS($P$1006:P1006),$P$1006:$S$1006,0)), HYPERLINK("#",""), HYPERLINK(CONCATENATE("#metadata!", ADDRESS(INDEX($K$2:$K$1001,MATCH(ROWS($I$2:I580),$I$2:$I$1001,0),0), INDEX($P$1004:$S$1004,1,MATCH(COLUMNS($P$1006:P1006),$P$1006:$S$1006,0)))),"Fix")))</f>
        <v>0</v>
      </c>
      <c r="C580" s="3">
        <f>IF(OR(INDEX($J$2:$J$1001,MATCH(ROWS($I$2:I580),$I$2:$I$1001,0),1)&gt;=100000,INDEX($P$1005:$S$1005,1,MATCH(COLUMNS($P$1006:Q1006),$P$1006:$S$1006,0))&gt;=100000), " ",IF(INDEX($P$2:$S$1001,MATCH(ROWS($I$2:I580),$I$2:$I$1001,0),MATCH(COLUMNS($P$1006:Q1006),$P$1006:$S$1006,0)), HYPERLINK("#",""), HYPERLINK(CONCATENATE("#metadata!", ADDRESS(INDEX($K$2:$K$1001,MATCH(ROWS($I$2:I580),$I$2:$I$1001,0),0), INDEX($P$1004:$S$1004,1,MATCH(COLUMNS($P$1006:Q1006),$P$1006:$S$1006,0)))),"Fix")))</f>
        <v>0</v>
      </c>
      <c r="D580" s="3">
        <f>IF(OR(INDEX($J$2:$J$1001,MATCH(ROWS($I$2:I580),$I$2:$I$1001,0),1)&gt;=100000,INDEX($P$1005:$S$1005,1,MATCH(COLUMNS($P$1006:R1006),$P$1006:$S$1006,0))&gt;=100000), " ",IF(INDEX($P$2:$S$1001,MATCH(ROWS($I$2:I580),$I$2:$I$1001,0),MATCH(COLUMNS($P$1006:R1006),$P$1006:$S$1006,0)), HYPERLINK("#",""), HYPERLINK(CONCATENATE("#metadata!", ADDRESS(INDEX($K$2:$K$1001,MATCH(ROWS($I$2:I580),$I$2:$I$1001,0),0), INDEX($P$1004:$S$1004,1,MATCH(COLUMNS($P$1006:R1006),$P$1006:$S$1006,0)))),"Fix")))</f>
        <v>0</v>
      </c>
      <c r="E580" s="3">
        <f>IF(OR(INDEX($J$2:$J$1001,MATCH(ROWS($I$2:I580),$I$2:$I$1001,0),1)&gt;=100000,INDEX($P$1005:$S$1005,1,MATCH(COLUMNS($P$1006:S1006),$P$1006:$S$1006,0))&gt;=100000), " ",IF(INDEX($P$2:$S$1001,MATCH(ROWS($I$2:I580),$I$2:$I$1001,0),MATCH(COLUMNS($P$1006:S1006),$P$1006:$S$1006,0)), HYPERLINK("#",""), HYPERLINK(CONCATENATE("#metadata!", ADDRESS(INDEX($K$2:$K$1001,MATCH(ROWS($I$2:I580),$I$2:$I$1001,0),0), INDEX($P$1004:$S$1004,1,MATCH(COLUMNS($P$1006:S1006),$P$1006:$S$1006,0)))),"Fix")))</f>
        <v>0</v>
      </c>
      <c r="I580">
        <v>0</v>
      </c>
      <c r="J580">
        <v>0</v>
      </c>
      <c r="K580">
        <v>0</v>
      </c>
      <c r="L580">
        <f>IF(M580,TRUE,AND(P580:S580))</f>
        <v>0</v>
      </c>
      <c r="M580">
        <f>COUNTBLANK(metadata!B580:E580)=COLUMNS(metadata!B580:E580)</f>
        <v>0</v>
      </c>
      <c r="N580">
        <v>0</v>
      </c>
      <c r="P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Q580">
        <f>AND(IF(metadata!C580="",FALSE,TRUE),exact(metadata!C580,"other"))</f>
        <v>0</v>
      </c>
      <c r="R580">
        <f>AND(IF(metadata!D580="",FALSE,TRUE),exact(metadata!D580,"metagenome"))</f>
        <v>0</v>
      </c>
      <c r="S580">
        <f>AND(IF(metadata!E580="",FALSE,TRUE),exact(metadata!E580,"256318"))</f>
        <v>0</v>
      </c>
    </row>
    <row r="581" spans="1:19">
      <c r="A581" s="4">
        <f>IF(B581=" "," ",HYPERLINK(CONCATENATE("#metadata!",ADDRESS(INDEX($K$2:$K$1001,MATCH(ROWS($I$2:I581),$I$2:$I$1001,0),0),1)),INDEX($N$2:$N$1001,MATCH(ROWS($I$2:I581),$I$2:$I$1001,0),0)))</f>
        <v>0</v>
      </c>
      <c r="B581" s="3">
        <f>IF(OR(INDEX($J$2:$J$1001,MATCH(ROWS($I$2:I581),$I$2:$I$1001,0),1)&gt;=100000,INDEX($P$1005:$S$1005,1,MATCH(COLUMNS($P$1006:P1006),$P$1006:$S$1006,0))&gt;=100000), " ",IF(INDEX($P$2:$S$1001,MATCH(ROWS($I$2:I581),$I$2:$I$1001,0),MATCH(COLUMNS($P$1006:P1006),$P$1006:$S$1006,0)), HYPERLINK("#",""), HYPERLINK(CONCATENATE("#metadata!", ADDRESS(INDEX($K$2:$K$1001,MATCH(ROWS($I$2:I581),$I$2:$I$1001,0),0), INDEX($P$1004:$S$1004,1,MATCH(COLUMNS($P$1006:P1006),$P$1006:$S$1006,0)))),"Fix")))</f>
        <v>0</v>
      </c>
      <c r="C581" s="3">
        <f>IF(OR(INDEX($J$2:$J$1001,MATCH(ROWS($I$2:I581),$I$2:$I$1001,0),1)&gt;=100000,INDEX($P$1005:$S$1005,1,MATCH(COLUMNS($P$1006:Q1006),$P$1006:$S$1006,0))&gt;=100000), " ",IF(INDEX($P$2:$S$1001,MATCH(ROWS($I$2:I581),$I$2:$I$1001,0),MATCH(COLUMNS($P$1006:Q1006),$P$1006:$S$1006,0)), HYPERLINK("#",""), HYPERLINK(CONCATENATE("#metadata!", ADDRESS(INDEX($K$2:$K$1001,MATCH(ROWS($I$2:I581),$I$2:$I$1001,0),0), INDEX($P$1004:$S$1004,1,MATCH(COLUMNS($P$1006:Q1006),$P$1006:$S$1006,0)))),"Fix")))</f>
        <v>0</v>
      </c>
      <c r="D581" s="3">
        <f>IF(OR(INDEX($J$2:$J$1001,MATCH(ROWS($I$2:I581),$I$2:$I$1001,0),1)&gt;=100000,INDEX($P$1005:$S$1005,1,MATCH(COLUMNS($P$1006:R1006),$P$1006:$S$1006,0))&gt;=100000), " ",IF(INDEX($P$2:$S$1001,MATCH(ROWS($I$2:I581),$I$2:$I$1001,0),MATCH(COLUMNS($P$1006:R1006),$P$1006:$S$1006,0)), HYPERLINK("#",""), HYPERLINK(CONCATENATE("#metadata!", ADDRESS(INDEX($K$2:$K$1001,MATCH(ROWS($I$2:I581),$I$2:$I$1001,0),0), INDEX($P$1004:$S$1004,1,MATCH(COLUMNS($P$1006:R1006),$P$1006:$S$1006,0)))),"Fix")))</f>
        <v>0</v>
      </c>
      <c r="E581" s="3">
        <f>IF(OR(INDEX($J$2:$J$1001,MATCH(ROWS($I$2:I581),$I$2:$I$1001,0),1)&gt;=100000,INDEX($P$1005:$S$1005,1,MATCH(COLUMNS($P$1006:S1006),$P$1006:$S$1006,0))&gt;=100000), " ",IF(INDEX($P$2:$S$1001,MATCH(ROWS($I$2:I581),$I$2:$I$1001,0),MATCH(COLUMNS($P$1006:S1006),$P$1006:$S$1006,0)), HYPERLINK("#",""), HYPERLINK(CONCATENATE("#metadata!", ADDRESS(INDEX($K$2:$K$1001,MATCH(ROWS($I$2:I581),$I$2:$I$1001,0),0), INDEX($P$1004:$S$1004,1,MATCH(COLUMNS($P$1006:S1006),$P$1006:$S$1006,0)))),"Fix")))</f>
        <v>0</v>
      </c>
      <c r="I581">
        <v>0</v>
      </c>
      <c r="J581">
        <v>0</v>
      </c>
      <c r="K581">
        <v>0</v>
      </c>
      <c r="L581">
        <f>IF(M581,TRUE,AND(P581:S581))</f>
        <v>0</v>
      </c>
      <c r="M581">
        <f>COUNTBLANK(metadata!B581:E581)=COLUMNS(metadata!B581:E581)</f>
        <v>0</v>
      </c>
      <c r="N581">
        <v>0</v>
      </c>
      <c r="P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Q581">
        <f>AND(IF(metadata!C581="",FALSE,TRUE),exact(metadata!C581,"other"))</f>
        <v>0</v>
      </c>
      <c r="R581">
        <f>AND(IF(metadata!D581="",FALSE,TRUE),exact(metadata!D581,"metagenome"))</f>
        <v>0</v>
      </c>
      <c r="S581">
        <f>AND(IF(metadata!E581="",FALSE,TRUE),exact(metadata!E581,"256318"))</f>
        <v>0</v>
      </c>
    </row>
    <row r="582" spans="1:19">
      <c r="A582" s="4">
        <f>IF(B582=" "," ",HYPERLINK(CONCATENATE("#metadata!",ADDRESS(INDEX($K$2:$K$1001,MATCH(ROWS($I$2:I582),$I$2:$I$1001,0),0),1)),INDEX($N$2:$N$1001,MATCH(ROWS($I$2:I582),$I$2:$I$1001,0),0)))</f>
        <v>0</v>
      </c>
      <c r="B582" s="3">
        <f>IF(OR(INDEX($J$2:$J$1001,MATCH(ROWS($I$2:I582),$I$2:$I$1001,0),1)&gt;=100000,INDEX($P$1005:$S$1005,1,MATCH(COLUMNS($P$1006:P1006),$P$1006:$S$1006,0))&gt;=100000), " ",IF(INDEX($P$2:$S$1001,MATCH(ROWS($I$2:I582),$I$2:$I$1001,0),MATCH(COLUMNS($P$1006:P1006),$P$1006:$S$1006,0)), HYPERLINK("#",""), HYPERLINK(CONCATENATE("#metadata!", ADDRESS(INDEX($K$2:$K$1001,MATCH(ROWS($I$2:I582),$I$2:$I$1001,0),0), INDEX($P$1004:$S$1004,1,MATCH(COLUMNS($P$1006:P1006),$P$1006:$S$1006,0)))),"Fix")))</f>
        <v>0</v>
      </c>
      <c r="C582" s="3">
        <f>IF(OR(INDEX($J$2:$J$1001,MATCH(ROWS($I$2:I582),$I$2:$I$1001,0),1)&gt;=100000,INDEX($P$1005:$S$1005,1,MATCH(COLUMNS($P$1006:Q1006),$P$1006:$S$1006,0))&gt;=100000), " ",IF(INDEX($P$2:$S$1001,MATCH(ROWS($I$2:I582),$I$2:$I$1001,0),MATCH(COLUMNS($P$1006:Q1006),$P$1006:$S$1006,0)), HYPERLINK("#",""), HYPERLINK(CONCATENATE("#metadata!", ADDRESS(INDEX($K$2:$K$1001,MATCH(ROWS($I$2:I582),$I$2:$I$1001,0),0), INDEX($P$1004:$S$1004,1,MATCH(COLUMNS($P$1006:Q1006),$P$1006:$S$1006,0)))),"Fix")))</f>
        <v>0</v>
      </c>
      <c r="D582" s="3">
        <f>IF(OR(INDEX($J$2:$J$1001,MATCH(ROWS($I$2:I582),$I$2:$I$1001,0),1)&gt;=100000,INDEX($P$1005:$S$1005,1,MATCH(COLUMNS($P$1006:R1006),$P$1006:$S$1006,0))&gt;=100000), " ",IF(INDEX($P$2:$S$1001,MATCH(ROWS($I$2:I582),$I$2:$I$1001,0),MATCH(COLUMNS($P$1006:R1006),$P$1006:$S$1006,0)), HYPERLINK("#",""), HYPERLINK(CONCATENATE("#metadata!", ADDRESS(INDEX($K$2:$K$1001,MATCH(ROWS($I$2:I582),$I$2:$I$1001,0),0), INDEX($P$1004:$S$1004,1,MATCH(COLUMNS($P$1006:R1006),$P$1006:$S$1006,0)))),"Fix")))</f>
        <v>0</v>
      </c>
      <c r="E582" s="3">
        <f>IF(OR(INDEX($J$2:$J$1001,MATCH(ROWS($I$2:I582),$I$2:$I$1001,0),1)&gt;=100000,INDEX($P$1005:$S$1005,1,MATCH(COLUMNS($P$1006:S1006),$P$1006:$S$1006,0))&gt;=100000), " ",IF(INDEX($P$2:$S$1001,MATCH(ROWS($I$2:I582),$I$2:$I$1001,0),MATCH(COLUMNS($P$1006:S1006),$P$1006:$S$1006,0)), HYPERLINK("#",""), HYPERLINK(CONCATENATE("#metadata!", ADDRESS(INDEX($K$2:$K$1001,MATCH(ROWS($I$2:I582),$I$2:$I$1001,0),0), INDEX($P$1004:$S$1004,1,MATCH(COLUMNS($P$1006:S1006),$P$1006:$S$1006,0)))),"Fix")))</f>
        <v>0</v>
      </c>
      <c r="I582">
        <v>0</v>
      </c>
      <c r="J582">
        <v>0</v>
      </c>
      <c r="K582">
        <v>0</v>
      </c>
      <c r="L582">
        <f>IF(M582,TRUE,AND(P582:S582))</f>
        <v>0</v>
      </c>
      <c r="M582">
        <f>COUNTBLANK(metadata!B582:E582)=COLUMNS(metadata!B582:E582)</f>
        <v>0</v>
      </c>
      <c r="N582">
        <v>0</v>
      </c>
      <c r="P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Q582">
        <f>AND(IF(metadata!C582="",FALSE,TRUE),exact(metadata!C582,"other"))</f>
        <v>0</v>
      </c>
      <c r="R582">
        <f>AND(IF(metadata!D582="",FALSE,TRUE),exact(metadata!D582,"metagenome"))</f>
        <v>0</v>
      </c>
      <c r="S582">
        <f>AND(IF(metadata!E582="",FALSE,TRUE),exact(metadata!E582,"256318"))</f>
        <v>0</v>
      </c>
    </row>
    <row r="583" spans="1:19">
      <c r="A583" s="4">
        <f>IF(B583=" "," ",HYPERLINK(CONCATENATE("#metadata!",ADDRESS(INDEX($K$2:$K$1001,MATCH(ROWS($I$2:I583),$I$2:$I$1001,0),0),1)),INDEX($N$2:$N$1001,MATCH(ROWS($I$2:I583),$I$2:$I$1001,0),0)))</f>
        <v>0</v>
      </c>
      <c r="B583" s="3">
        <f>IF(OR(INDEX($J$2:$J$1001,MATCH(ROWS($I$2:I583),$I$2:$I$1001,0),1)&gt;=100000,INDEX($P$1005:$S$1005,1,MATCH(COLUMNS($P$1006:P1006),$P$1006:$S$1006,0))&gt;=100000), " ",IF(INDEX($P$2:$S$1001,MATCH(ROWS($I$2:I583),$I$2:$I$1001,0),MATCH(COLUMNS($P$1006:P1006),$P$1006:$S$1006,0)), HYPERLINK("#",""), HYPERLINK(CONCATENATE("#metadata!", ADDRESS(INDEX($K$2:$K$1001,MATCH(ROWS($I$2:I583),$I$2:$I$1001,0),0), INDEX($P$1004:$S$1004,1,MATCH(COLUMNS($P$1006:P1006),$P$1006:$S$1006,0)))),"Fix")))</f>
        <v>0</v>
      </c>
      <c r="C583" s="3">
        <f>IF(OR(INDEX($J$2:$J$1001,MATCH(ROWS($I$2:I583),$I$2:$I$1001,0),1)&gt;=100000,INDEX($P$1005:$S$1005,1,MATCH(COLUMNS($P$1006:Q1006),$P$1006:$S$1006,0))&gt;=100000), " ",IF(INDEX($P$2:$S$1001,MATCH(ROWS($I$2:I583),$I$2:$I$1001,0),MATCH(COLUMNS($P$1006:Q1006),$P$1006:$S$1006,0)), HYPERLINK("#",""), HYPERLINK(CONCATENATE("#metadata!", ADDRESS(INDEX($K$2:$K$1001,MATCH(ROWS($I$2:I583),$I$2:$I$1001,0),0), INDEX($P$1004:$S$1004,1,MATCH(COLUMNS($P$1006:Q1006),$P$1006:$S$1006,0)))),"Fix")))</f>
        <v>0</v>
      </c>
      <c r="D583" s="3">
        <f>IF(OR(INDEX($J$2:$J$1001,MATCH(ROWS($I$2:I583),$I$2:$I$1001,0),1)&gt;=100000,INDEX($P$1005:$S$1005,1,MATCH(COLUMNS($P$1006:R1006),$P$1006:$S$1006,0))&gt;=100000), " ",IF(INDEX($P$2:$S$1001,MATCH(ROWS($I$2:I583),$I$2:$I$1001,0),MATCH(COLUMNS($P$1006:R1006),$P$1006:$S$1006,0)), HYPERLINK("#",""), HYPERLINK(CONCATENATE("#metadata!", ADDRESS(INDEX($K$2:$K$1001,MATCH(ROWS($I$2:I583),$I$2:$I$1001,0),0), INDEX($P$1004:$S$1004,1,MATCH(COLUMNS($P$1006:R1006),$P$1006:$S$1006,0)))),"Fix")))</f>
        <v>0</v>
      </c>
      <c r="E583" s="3">
        <f>IF(OR(INDEX($J$2:$J$1001,MATCH(ROWS($I$2:I583),$I$2:$I$1001,0),1)&gt;=100000,INDEX($P$1005:$S$1005,1,MATCH(COLUMNS($P$1006:S1006),$P$1006:$S$1006,0))&gt;=100000), " ",IF(INDEX($P$2:$S$1001,MATCH(ROWS($I$2:I583),$I$2:$I$1001,0),MATCH(COLUMNS($P$1006:S1006),$P$1006:$S$1006,0)), HYPERLINK("#",""), HYPERLINK(CONCATENATE("#metadata!", ADDRESS(INDEX($K$2:$K$1001,MATCH(ROWS($I$2:I583),$I$2:$I$1001,0),0), INDEX($P$1004:$S$1004,1,MATCH(COLUMNS($P$1006:S1006),$P$1006:$S$1006,0)))),"Fix")))</f>
        <v>0</v>
      </c>
      <c r="I583">
        <v>0</v>
      </c>
      <c r="J583">
        <v>0</v>
      </c>
      <c r="K583">
        <v>0</v>
      </c>
      <c r="L583">
        <f>IF(M583,TRUE,AND(P583:S583))</f>
        <v>0</v>
      </c>
      <c r="M583">
        <f>COUNTBLANK(metadata!B583:E583)=COLUMNS(metadata!B583:E583)</f>
        <v>0</v>
      </c>
      <c r="N583">
        <v>0</v>
      </c>
      <c r="P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Q583">
        <f>AND(IF(metadata!C583="",FALSE,TRUE),exact(metadata!C583,"other"))</f>
        <v>0</v>
      </c>
      <c r="R583">
        <f>AND(IF(metadata!D583="",FALSE,TRUE),exact(metadata!D583,"metagenome"))</f>
        <v>0</v>
      </c>
      <c r="S583">
        <f>AND(IF(metadata!E583="",FALSE,TRUE),exact(metadata!E583,"256318"))</f>
        <v>0</v>
      </c>
    </row>
    <row r="584" spans="1:19">
      <c r="A584" s="4">
        <f>IF(B584=" "," ",HYPERLINK(CONCATENATE("#metadata!",ADDRESS(INDEX($K$2:$K$1001,MATCH(ROWS($I$2:I584),$I$2:$I$1001,0),0),1)),INDEX($N$2:$N$1001,MATCH(ROWS($I$2:I584),$I$2:$I$1001,0),0)))</f>
        <v>0</v>
      </c>
      <c r="B584" s="3">
        <f>IF(OR(INDEX($J$2:$J$1001,MATCH(ROWS($I$2:I584),$I$2:$I$1001,0),1)&gt;=100000,INDEX($P$1005:$S$1005,1,MATCH(COLUMNS($P$1006:P1006),$P$1006:$S$1006,0))&gt;=100000), " ",IF(INDEX($P$2:$S$1001,MATCH(ROWS($I$2:I584),$I$2:$I$1001,0),MATCH(COLUMNS($P$1006:P1006),$P$1006:$S$1006,0)), HYPERLINK("#",""), HYPERLINK(CONCATENATE("#metadata!", ADDRESS(INDEX($K$2:$K$1001,MATCH(ROWS($I$2:I584),$I$2:$I$1001,0),0), INDEX($P$1004:$S$1004,1,MATCH(COLUMNS($P$1006:P1006),$P$1006:$S$1006,0)))),"Fix")))</f>
        <v>0</v>
      </c>
      <c r="C584" s="3">
        <f>IF(OR(INDEX($J$2:$J$1001,MATCH(ROWS($I$2:I584),$I$2:$I$1001,0),1)&gt;=100000,INDEX($P$1005:$S$1005,1,MATCH(COLUMNS($P$1006:Q1006),$P$1006:$S$1006,0))&gt;=100000), " ",IF(INDEX($P$2:$S$1001,MATCH(ROWS($I$2:I584),$I$2:$I$1001,0),MATCH(COLUMNS($P$1006:Q1006),$P$1006:$S$1006,0)), HYPERLINK("#",""), HYPERLINK(CONCATENATE("#metadata!", ADDRESS(INDEX($K$2:$K$1001,MATCH(ROWS($I$2:I584),$I$2:$I$1001,0),0), INDEX($P$1004:$S$1004,1,MATCH(COLUMNS($P$1006:Q1006),$P$1006:$S$1006,0)))),"Fix")))</f>
        <v>0</v>
      </c>
      <c r="D584" s="3">
        <f>IF(OR(INDEX($J$2:$J$1001,MATCH(ROWS($I$2:I584),$I$2:$I$1001,0),1)&gt;=100000,INDEX($P$1005:$S$1005,1,MATCH(COLUMNS($P$1006:R1006),$P$1006:$S$1006,0))&gt;=100000), " ",IF(INDEX($P$2:$S$1001,MATCH(ROWS($I$2:I584),$I$2:$I$1001,0),MATCH(COLUMNS($P$1006:R1006),$P$1006:$S$1006,0)), HYPERLINK("#",""), HYPERLINK(CONCATENATE("#metadata!", ADDRESS(INDEX($K$2:$K$1001,MATCH(ROWS($I$2:I584),$I$2:$I$1001,0),0), INDEX($P$1004:$S$1004,1,MATCH(COLUMNS($P$1006:R1006),$P$1006:$S$1006,0)))),"Fix")))</f>
        <v>0</v>
      </c>
      <c r="E584" s="3">
        <f>IF(OR(INDEX($J$2:$J$1001,MATCH(ROWS($I$2:I584),$I$2:$I$1001,0),1)&gt;=100000,INDEX($P$1005:$S$1005,1,MATCH(COLUMNS($P$1006:S1006),$P$1006:$S$1006,0))&gt;=100000), " ",IF(INDEX($P$2:$S$1001,MATCH(ROWS($I$2:I584),$I$2:$I$1001,0),MATCH(COLUMNS($P$1006:S1006),$P$1006:$S$1006,0)), HYPERLINK("#",""), HYPERLINK(CONCATENATE("#metadata!", ADDRESS(INDEX($K$2:$K$1001,MATCH(ROWS($I$2:I584),$I$2:$I$1001,0),0), INDEX($P$1004:$S$1004,1,MATCH(COLUMNS($P$1006:S1006),$P$1006:$S$1006,0)))),"Fix")))</f>
        <v>0</v>
      </c>
      <c r="I584">
        <v>0</v>
      </c>
      <c r="J584">
        <v>0</v>
      </c>
      <c r="K584">
        <v>0</v>
      </c>
      <c r="L584">
        <f>IF(M584,TRUE,AND(P584:S584))</f>
        <v>0</v>
      </c>
      <c r="M584">
        <f>COUNTBLANK(metadata!B584:E584)=COLUMNS(metadata!B584:E584)</f>
        <v>0</v>
      </c>
      <c r="N584">
        <v>0</v>
      </c>
      <c r="P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Q584">
        <f>AND(IF(metadata!C584="",FALSE,TRUE),exact(metadata!C584,"other"))</f>
        <v>0</v>
      </c>
      <c r="R584">
        <f>AND(IF(metadata!D584="",FALSE,TRUE),exact(metadata!D584,"metagenome"))</f>
        <v>0</v>
      </c>
      <c r="S584">
        <f>AND(IF(metadata!E584="",FALSE,TRUE),exact(metadata!E584,"256318"))</f>
        <v>0</v>
      </c>
    </row>
    <row r="585" spans="1:19">
      <c r="A585" s="4">
        <f>IF(B585=" "," ",HYPERLINK(CONCATENATE("#metadata!",ADDRESS(INDEX($K$2:$K$1001,MATCH(ROWS($I$2:I585),$I$2:$I$1001,0),0),1)),INDEX($N$2:$N$1001,MATCH(ROWS($I$2:I585),$I$2:$I$1001,0),0)))</f>
        <v>0</v>
      </c>
      <c r="B585" s="3">
        <f>IF(OR(INDEX($J$2:$J$1001,MATCH(ROWS($I$2:I585),$I$2:$I$1001,0),1)&gt;=100000,INDEX($P$1005:$S$1005,1,MATCH(COLUMNS($P$1006:P1006),$P$1006:$S$1006,0))&gt;=100000), " ",IF(INDEX($P$2:$S$1001,MATCH(ROWS($I$2:I585),$I$2:$I$1001,0),MATCH(COLUMNS($P$1006:P1006),$P$1006:$S$1006,0)), HYPERLINK("#",""), HYPERLINK(CONCATENATE("#metadata!", ADDRESS(INDEX($K$2:$K$1001,MATCH(ROWS($I$2:I585),$I$2:$I$1001,0),0), INDEX($P$1004:$S$1004,1,MATCH(COLUMNS($P$1006:P1006),$P$1006:$S$1006,0)))),"Fix")))</f>
        <v>0</v>
      </c>
      <c r="C585" s="3">
        <f>IF(OR(INDEX($J$2:$J$1001,MATCH(ROWS($I$2:I585),$I$2:$I$1001,0),1)&gt;=100000,INDEX($P$1005:$S$1005,1,MATCH(COLUMNS($P$1006:Q1006),$P$1006:$S$1006,0))&gt;=100000), " ",IF(INDEX($P$2:$S$1001,MATCH(ROWS($I$2:I585),$I$2:$I$1001,0),MATCH(COLUMNS($P$1006:Q1006),$P$1006:$S$1006,0)), HYPERLINK("#",""), HYPERLINK(CONCATENATE("#metadata!", ADDRESS(INDEX($K$2:$K$1001,MATCH(ROWS($I$2:I585),$I$2:$I$1001,0),0), INDEX($P$1004:$S$1004,1,MATCH(COLUMNS($P$1006:Q1006),$P$1006:$S$1006,0)))),"Fix")))</f>
        <v>0</v>
      </c>
      <c r="D585" s="3">
        <f>IF(OR(INDEX($J$2:$J$1001,MATCH(ROWS($I$2:I585),$I$2:$I$1001,0),1)&gt;=100000,INDEX($P$1005:$S$1005,1,MATCH(COLUMNS($P$1006:R1006),$P$1006:$S$1006,0))&gt;=100000), " ",IF(INDEX($P$2:$S$1001,MATCH(ROWS($I$2:I585),$I$2:$I$1001,0),MATCH(COLUMNS($P$1006:R1006),$P$1006:$S$1006,0)), HYPERLINK("#",""), HYPERLINK(CONCATENATE("#metadata!", ADDRESS(INDEX($K$2:$K$1001,MATCH(ROWS($I$2:I585),$I$2:$I$1001,0),0), INDEX($P$1004:$S$1004,1,MATCH(COLUMNS($P$1006:R1006),$P$1006:$S$1006,0)))),"Fix")))</f>
        <v>0</v>
      </c>
      <c r="E585" s="3">
        <f>IF(OR(INDEX($J$2:$J$1001,MATCH(ROWS($I$2:I585),$I$2:$I$1001,0),1)&gt;=100000,INDEX($P$1005:$S$1005,1,MATCH(COLUMNS($P$1006:S1006),$P$1006:$S$1006,0))&gt;=100000), " ",IF(INDEX($P$2:$S$1001,MATCH(ROWS($I$2:I585),$I$2:$I$1001,0),MATCH(COLUMNS($P$1006:S1006),$P$1006:$S$1006,0)), HYPERLINK("#",""), HYPERLINK(CONCATENATE("#metadata!", ADDRESS(INDEX($K$2:$K$1001,MATCH(ROWS($I$2:I585),$I$2:$I$1001,0),0), INDEX($P$1004:$S$1004,1,MATCH(COLUMNS($P$1006:S1006),$P$1006:$S$1006,0)))),"Fix")))</f>
        <v>0</v>
      </c>
      <c r="I585">
        <v>0</v>
      </c>
      <c r="J585">
        <v>0</v>
      </c>
      <c r="K585">
        <v>0</v>
      </c>
      <c r="L585">
        <f>IF(M585,TRUE,AND(P585:S585))</f>
        <v>0</v>
      </c>
      <c r="M585">
        <f>COUNTBLANK(metadata!B585:E585)=COLUMNS(metadata!B585:E585)</f>
        <v>0</v>
      </c>
      <c r="N585">
        <v>0</v>
      </c>
      <c r="P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Q585">
        <f>AND(IF(metadata!C585="",FALSE,TRUE),exact(metadata!C585,"other"))</f>
        <v>0</v>
      </c>
      <c r="R585">
        <f>AND(IF(metadata!D585="",FALSE,TRUE),exact(metadata!D585,"metagenome"))</f>
        <v>0</v>
      </c>
      <c r="S585">
        <f>AND(IF(metadata!E585="",FALSE,TRUE),exact(metadata!E585,"256318"))</f>
        <v>0</v>
      </c>
    </row>
    <row r="586" spans="1:19">
      <c r="A586" s="4">
        <f>IF(B586=" "," ",HYPERLINK(CONCATENATE("#metadata!",ADDRESS(INDEX($K$2:$K$1001,MATCH(ROWS($I$2:I586),$I$2:$I$1001,0),0),1)),INDEX($N$2:$N$1001,MATCH(ROWS($I$2:I586),$I$2:$I$1001,0),0)))</f>
        <v>0</v>
      </c>
      <c r="B586" s="3">
        <f>IF(OR(INDEX($J$2:$J$1001,MATCH(ROWS($I$2:I586),$I$2:$I$1001,0),1)&gt;=100000,INDEX($P$1005:$S$1005,1,MATCH(COLUMNS($P$1006:P1006),$P$1006:$S$1006,0))&gt;=100000), " ",IF(INDEX($P$2:$S$1001,MATCH(ROWS($I$2:I586),$I$2:$I$1001,0),MATCH(COLUMNS($P$1006:P1006),$P$1006:$S$1006,0)), HYPERLINK("#",""), HYPERLINK(CONCATENATE("#metadata!", ADDRESS(INDEX($K$2:$K$1001,MATCH(ROWS($I$2:I586),$I$2:$I$1001,0),0), INDEX($P$1004:$S$1004,1,MATCH(COLUMNS($P$1006:P1006),$P$1006:$S$1006,0)))),"Fix")))</f>
        <v>0</v>
      </c>
      <c r="C586" s="3">
        <f>IF(OR(INDEX($J$2:$J$1001,MATCH(ROWS($I$2:I586),$I$2:$I$1001,0),1)&gt;=100000,INDEX($P$1005:$S$1005,1,MATCH(COLUMNS($P$1006:Q1006),$P$1006:$S$1006,0))&gt;=100000), " ",IF(INDEX($P$2:$S$1001,MATCH(ROWS($I$2:I586),$I$2:$I$1001,0),MATCH(COLUMNS($P$1006:Q1006),$P$1006:$S$1006,0)), HYPERLINK("#",""), HYPERLINK(CONCATENATE("#metadata!", ADDRESS(INDEX($K$2:$K$1001,MATCH(ROWS($I$2:I586),$I$2:$I$1001,0),0), INDEX($P$1004:$S$1004,1,MATCH(COLUMNS($P$1006:Q1006),$P$1006:$S$1006,0)))),"Fix")))</f>
        <v>0</v>
      </c>
      <c r="D586" s="3">
        <f>IF(OR(INDEX($J$2:$J$1001,MATCH(ROWS($I$2:I586),$I$2:$I$1001,0),1)&gt;=100000,INDEX($P$1005:$S$1005,1,MATCH(COLUMNS($P$1006:R1006),$P$1006:$S$1006,0))&gt;=100000), " ",IF(INDEX($P$2:$S$1001,MATCH(ROWS($I$2:I586),$I$2:$I$1001,0),MATCH(COLUMNS($P$1006:R1006),$P$1006:$S$1006,0)), HYPERLINK("#",""), HYPERLINK(CONCATENATE("#metadata!", ADDRESS(INDEX($K$2:$K$1001,MATCH(ROWS($I$2:I586),$I$2:$I$1001,0),0), INDEX($P$1004:$S$1004,1,MATCH(COLUMNS($P$1006:R1006),$P$1006:$S$1006,0)))),"Fix")))</f>
        <v>0</v>
      </c>
      <c r="E586" s="3">
        <f>IF(OR(INDEX($J$2:$J$1001,MATCH(ROWS($I$2:I586),$I$2:$I$1001,0),1)&gt;=100000,INDEX($P$1005:$S$1005,1,MATCH(COLUMNS($P$1006:S1006),$P$1006:$S$1006,0))&gt;=100000), " ",IF(INDEX($P$2:$S$1001,MATCH(ROWS($I$2:I586),$I$2:$I$1001,0),MATCH(COLUMNS($P$1006:S1006),$P$1006:$S$1006,0)), HYPERLINK("#",""), HYPERLINK(CONCATENATE("#metadata!", ADDRESS(INDEX($K$2:$K$1001,MATCH(ROWS($I$2:I586),$I$2:$I$1001,0),0), INDEX($P$1004:$S$1004,1,MATCH(COLUMNS($P$1006:S1006),$P$1006:$S$1006,0)))),"Fix")))</f>
        <v>0</v>
      </c>
      <c r="I586">
        <v>0</v>
      </c>
      <c r="J586">
        <v>0</v>
      </c>
      <c r="K586">
        <v>0</v>
      </c>
      <c r="L586">
        <f>IF(M586,TRUE,AND(P586:S586))</f>
        <v>0</v>
      </c>
      <c r="M586">
        <f>COUNTBLANK(metadata!B586:E586)=COLUMNS(metadata!B586:E586)</f>
        <v>0</v>
      </c>
      <c r="N586">
        <v>0</v>
      </c>
      <c r="P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Q586">
        <f>AND(IF(metadata!C586="",FALSE,TRUE),exact(metadata!C586,"other"))</f>
        <v>0</v>
      </c>
      <c r="R586">
        <f>AND(IF(metadata!D586="",FALSE,TRUE),exact(metadata!D586,"metagenome"))</f>
        <v>0</v>
      </c>
      <c r="S586">
        <f>AND(IF(metadata!E586="",FALSE,TRUE),exact(metadata!E586,"256318"))</f>
        <v>0</v>
      </c>
    </row>
    <row r="587" spans="1:19">
      <c r="A587" s="4">
        <f>IF(B587=" "," ",HYPERLINK(CONCATENATE("#metadata!",ADDRESS(INDEX($K$2:$K$1001,MATCH(ROWS($I$2:I587),$I$2:$I$1001,0),0),1)),INDEX($N$2:$N$1001,MATCH(ROWS($I$2:I587),$I$2:$I$1001,0),0)))</f>
        <v>0</v>
      </c>
      <c r="B587" s="3">
        <f>IF(OR(INDEX($J$2:$J$1001,MATCH(ROWS($I$2:I587),$I$2:$I$1001,0),1)&gt;=100000,INDEX($P$1005:$S$1005,1,MATCH(COLUMNS($P$1006:P1006),$P$1006:$S$1006,0))&gt;=100000), " ",IF(INDEX($P$2:$S$1001,MATCH(ROWS($I$2:I587),$I$2:$I$1001,0),MATCH(COLUMNS($P$1006:P1006),$P$1006:$S$1006,0)), HYPERLINK("#",""), HYPERLINK(CONCATENATE("#metadata!", ADDRESS(INDEX($K$2:$K$1001,MATCH(ROWS($I$2:I587),$I$2:$I$1001,0),0), INDEX($P$1004:$S$1004,1,MATCH(COLUMNS($P$1006:P1006),$P$1006:$S$1006,0)))),"Fix")))</f>
        <v>0</v>
      </c>
      <c r="C587" s="3">
        <f>IF(OR(INDEX($J$2:$J$1001,MATCH(ROWS($I$2:I587),$I$2:$I$1001,0),1)&gt;=100000,INDEX($P$1005:$S$1005,1,MATCH(COLUMNS($P$1006:Q1006),$P$1006:$S$1006,0))&gt;=100000), " ",IF(INDEX($P$2:$S$1001,MATCH(ROWS($I$2:I587),$I$2:$I$1001,0),MATCH(COLUMNS($P$1006:Q1006),$P$1006:$S$1006,0)), HYPERLINK("#",""), HYPERLINK(CONCATENATE("#metadata!", ADDRESS(INDEX($K$2:$K$1001,MATCH(ROWS($I$2:I587),$I$2:$I$1001,0),0), INDEX($P$1004:$S$1004,1,MATCH(COLUMNS($P$1006:Q1006),$P$1006:$S$1006,0)))),"Fix")))</f>
        <v>0</v>
      </c>
      <c r="D587" s="3">
        <f>IF(OR(INDEX($J$2:$J$1001,MATCH(ROWS($I$2:I587),$I$2:$I$1001,0),1)&gt;=100000,INDEX($P$1005:$S$1005,1,MATCH(COLUMNS($P$1006:R1006),$P$1006:$S$1006,0))&gt;=100000), " ",IF(INDEX($P$2:$S$1001,MATCH(ROWS($I$2:I587),$I$2:$I$1001,0),MATCH(COLUMNS($P$1006:R1006),$P$1006:$S$1006,0)), HYPERLINK("#",""), HYPERLINK(CONCATENATE("#metadata!", ADDRESS(INDEX($K$2:$K$1001,MATCH(ROWS($I$2:I587),$I$2:$I$1001,0),0), INDEX($P$1004:$S$1004,1,MATCH(COLUMNS($P$1006:R1006),$P$1006:$S$1006,0)))),"Fix")))</f>
        <v>0</v>
      </c>
      <c r="E587" s="3">
        <f>IF(OR(INDEX($J$2:$J$1001,MATCH(ROWS($I$2:I587),$I$2:$I$1001,0),1)&gt;=100000,INDEX($P$1005:$S$1005,1,MATCH(COLUMNS($P$1006:S1006),$P$1006:$S$1006,0))&gt;=100000), " ",IF(INDEX($P$2:$S$1001,MATCH(ROWS($I$2:I587),$I$2:$I$1001,0),MATCH(COLUMNS($P$1006:S1006),$P$1006:$S$1006,0)), HYPERLINK("#",""), HYPERLINK(CONCATENATE("#metadata!", ADDRESS(INDEX($K$2:$K$1001,MATCH(ROWS($I$2:I587),$I$2:$I$1001,0),0), INDEX($P$1004:$S$1004,1,MATCH(COLUMNS($P$1006:S1006),$P$1006:$S$1006,0)))),"Fix")))</f>
        <v>0</v>
      </c>
      <c r="I587">
        <v>0</v>
      </c>
      <c r="J587">
        <v>0</v>
      </c>
      <c r="K587">
        <v>0</v>
      </c>
      <c r="L587">
        <f>IF(M587,TRUE,AND(P587:S587))</f>
        <v>0</v>
      </c>
      <c r="M587">
        <f>COUNTBLANK(metadata!B587:E587)=COLUMNS(metadata!B587:E587)</f>
        <v>0</v>
      </c>
      <c r="N587">
        <v>0</v>
      </c>
      <c r="P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Q587">
        <f>AND(IF(metadata!C587="",FALSE,TRUE),exact(metadata!C587,"other"))</f>
        <v>0</v>
      </c>
      <c r="R587">
        <f>AND(IF(metadata!D587="",FALSE,TRUE),exact(metadata!D587,"metagenome"))</f>
        <v>0</v>
      </c>
      <c r="S587">
        <f>AND(IF(metadata!E587="",FALSE,TRUE),exact(metadata!E587,"256318"))</f>
        <v>0</v>
      </c>
    </row>
    <row r="588" spans="1:19">
      <c r="A588" s="4">
        <f>IF(B588=" "," ",HYPERLINK(CONCATENATE("#metadata!",ADDRESS(INDEX($K$2:$K$1001,MATCH(ROWS($I$2:I588),$I$2:$I$1001,0),0),1)),INDEX($N$2:$N$1001,MATCH(ROWS($I$2:I588),$I$2:$I$1001,0),0)))</f>
        <v>0</v>
      </c>
      <c r="B588" s="3">
        <f>IF(OR(INDEX($J$2:$J$1001,MATCH(ROWS($I$2:I588),$I$2:$I$1001,0),1)&gt;=100000,INDEX($P$1005:$S$1005,1,MATCH(COLUMNS($P$1006:P1006),$P$1006:$S$1006,0))&gt;=100000), " ",IF(INDEX($P$2:$S$1001,MATCH(ROWS($I$2:I588),$I$2:$I$1001,0),MATCH(COLUMNS($P$1006:P1006),$P$1006:$S$1006,0)), HYPERLINK("#",""), HYPERLINK(CONCATENATE("#metadata!", ADDRESS(INDEX($K$2:$K$1001,MATCH(ROWS($I$2:I588),$I$2:$I$1001,0),0), INDEX($P$1004:$S$1004,1,MATCH(COLUMNS($P$1006:P1006),$P$1006:$S$1006,0)))),"Fix")))</f>
        <v>0</v>
      </c>
      <c r="C588" s="3">
        <f>IF(OR(INDEX($J$2:$J$1001,MATCH(ROWS($I$2:I588),$I$2:$I$1001,0),1)&gt;=100000,INDEX($P$1005:$S$1005,1,MATCH(COLUMNS($P$1006:Q1006),$P$1006:$S$1006,0))&gt;=100000), " ",IF(INDEX($P$2:$S$1001,MATCH(ROWS($I$2:I588),$I$2:$I$1001,0),MATCH(COLUMNS($P$1006:Q1006),$P$1006:$S$1006,0)), HYPERLINK("#",""), HYPERLINK(CONCATENATE("#metadata!", ADDRESS(INDEX($K$2:$K$1001,MATCH(ROWS($I$2:I588),$I$2:$I$1001,0),0), INDEX($P$1004:$S$1004,1,MATCH(COLUMNS($P$1006:Q1006),$P$1006:$S$1006,0)))),"Fix")))</f>
        <v>0</v>
      </c>
      <c r="D588" s="3">
        <f>IF(OR(INDEX($J$2:$J$1001,MATCH(ROWS($I$2:I588),$I$2:$I$1001,0),1)&gt;=100000,INDEX($P$1005:$S$1005,1,MATCH(COLUMNS($P$1006:R1006),$P$1006:$S$1006,0))&gt;=100000), " ",IF(INDEX($P$2:$S$1001,MATCH(ROWS($I$2:I588),$I$2:$I$1001,0),MATCH(COLUMNS($P$1006:R1006),$P$1006:$S$1006,0)), HYPERLINK("#",""), HYPERLINK(CONCATENATE("#metadata!", ADDRESS(INDEX($K$2:$K$1001,MATCH(ROWS($I$2:I588),$I$2:$I$1001,0),0), INDEX($P$1004:$S$1004,1,MATCH(COLUMNS($P$1006:R1006),$P$1006:$S$1006,0)))),"Fix")))</f>
        <v>0</v>
      </c>
      <c r="E588" s="3">
        <f>IF(OR(INDEX($J$2:$J$1001,MATCH(ROWS($I$2:I588),$I$2:$I$1001,0),1)&gt;=100000,INDEX($P$1005:$S$1005,1,MATCH(COLUMNS($P$1006:S1006),$P$1006:$S$1006,0))&gt;=100000), " ",IF(INDEX($P$2:$S$1001,MATCH(ROWS($I$2:I588),$I$2:$I$1001,0),MATCH(COLUMNS($P$1006:S1006),$P$1006:$S$1006,0)), HYPERLINK("#",""), HYPERLINK(CONCATENATE("#metadata!", ADDRESS(INDEX($K$2:$K$1001,MATCH(ROWS($I$2:I588),$I$2:$I$1001,0),0), INDEX($P$1004:$S$1004,1,MATCH(COLUMNS($P$1006:S1006),$P$1006:$S$1006,0)))),"Fix")))</f>
        <v>0</v>
      </c>
      <c r="I588">
        <v>0</v>
      </c>
      <c r="J588">
        <v>0</v>
      </c>
      <c r="K588">
        <v>0</v>
      </c>
      <c r="L588">
        <f>IF(M588,TRUE,AND(P588:S588))</f>
        <v>0</v>
      </c>
      <c r="M588">
        <f>COUNTBLANK(metadata!B588:E588)=COLUMNS(metadata!B588:E588)</f>
        <v>0</v>
      </c>
      <c r="N588">
        <v>0</v>
      </c>
      <c r="P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Q588">
        <f>AND(IF(metadata!C588="",FALSE,TRUE),exact(metadata!C588,"other"))</f>
        <v>0</v>
      </c>
      <c r="R588">
        <f>AND(IF(metadata!D588="",FALSE,TRUE),exact(metadata!D588,"metagenome"))</f>
        <v>0</v>
      </c>
      <c r="S588">
        <f>AND(IF(metadata!E588="",FALSE,TRUE),exact(metadata!E588,"256318"))</f>
        <v>0</v>
      </c>
    </row>
    <row r="589" spans="1:19">
      <c r="A589" s="4">
        <f>IF(B589=" "," ",HYPERLINK(CONCATENATE("#metadata!",ADDRESS(INDEX($K$2:$K$1001,MATCH(ROWS($I$2:I589),$I$2:$I$1001,0),0),1)),INDEX($N$2:$N$1001,MATCH(ROWS($I$2:I589),$I$2:$I$1001,0),0)))</f>
        <v>0</v>
      </c>
      <c r="B589" s="3">
        <f>IF(OR(INDEX($J$2:$J$1001,MATCH(ROWS($I$2:I589),$I$2:$I$1001,0),1)&gt;=100000,INDEX($P$1005:$S$1005,1,MATCH(COLUMNS($P$1006:P1006),$P$1006:$S$1006,0))&gt;=100000), " ",IF(INDEX($P$2:$S$1001,MATCH(ROWS($I$2:I589),$I$2:$I$1001,0),MATCH(COLUMNS($P$1006:P1006),$P$1006:$S$1006,0)), HYPERLINK("#",""), HYPERLINK(CONCATENATE("#metadata!", ADDRESS(INDEX($K$2:$K$1001,MATCH(ROWS($I$2:I589),$I$2:$I$1001,0),0), INDEX($P$1004:$S$1004,1,MATCH(COLUMNS($P$1006:P1006),$P$1006:$S$1006,0)))),"Fix")))</f>
        <v>0</v>
      </c>
      <c r="C589" s="3">
        <f>IF(OR(INDEX($J$2:$J$1001,MATCH(ROWS($I$2:I589),$I$2:$I$1001,0),1)&gt;=100000,INDEX($P$1005:$S$1005,1,MATCH(COLUMNS($P$1006:Q1006),$P$1006:$S$1006,0))&gt;=100000), " ",IF(INDEX($P$2:$S$1001,MATCH(ROWS($I$2:I589),$I$2:$I$1001,0),MATCH(COLUMNS($P$1006:Q1006),$P$1006:$S$1006,0)), HYPERLINK("#",""), HYPERLINK(CONCATENATE("#metadata!", ADDRESS(INDEX($K$2:$K$1001,MATCH(ROWS($I$2:I589),$I$2:$I$1001,0),0), INDEX($P$1004:$S$1004,1,MATCH(COLUMNS($P$1006:Q1006),$P$1006:$S$1006,0)))),"Fix")))</f>
        <v>0</v>
      </c>
      <c r="D589" s="3">
        <f>IF(OR(INDEX($J$2:$J$1001,MATCH(ROWS($I$2:I589),$I$2:$I$1001,0),1)&gt;=100000,INDEX($P$1005:$S$1005,1,MATCH(COLUMNS($P$1006:R1006),$P$1006:$S$1006,0))&gt;=100000), " ",IF(INDEX($P$2:$S$1001,MATCH(ROWS($I$2:I589),$I$2:$I$1001,0),MATCH(COLUMNS($P$1006:R1006),$P$1006:$S$1006,0)), HYPERLINK("#",""), HYPERLINK(CONCATENATE("#metadata!", ADDRESS(INDEX($K$2:$K$1001,MATCH(ROWS($I$2:I589),$I$2:$I$1001,0),0), INDEX($P$1004:$S$1004,1,MATCH(COLUMNS($P$1006:R1006),$P$1006:$S$1006,0)))),"Fix")))</f>
        <v>0</v>
      </c>
      <c r="E589" s="3">
        <f>IF(OR(INDEX($J$2:$J$1001,MATCH(ROWS($I$2:I589),$I$2:$I$1001,0),1)&gt;=100000,INDEX($P$1005:$S$1005,1,MATCH(COLUMNS($P$1006:S1006),$P$1006:$S$1006,0))&gt;=100000), " ",IF(INDEX($P$2:$S$1001,MATCH(ROWS($I$2:I589),$I$2:$I$1001,0),MATCH(COLUMNS($P$1006:S1006),$P$1006:$S$1006,0)), HYPERLINK("#",""), HYPERLINK(CONCATENATE("#metadata!", ADDRESS(INDEX($K$2:$K$1001,MATCH(ROWS($I$2:I589),$I$2:$I$1001,0),0), INDEX($P$1004:$S$1004,1,MATCH(COLUMNS($P$1006:S1006),$P$1006:$S$1006,0)))),"Fix")))</f>
        <v>0</v>
      </c>
      <c r="I589">
        <v>0</v>
      </c>
      <c r="J589">
        <v>0</v>
      </c>
      <c r="K589">
        <v>0</v>
      </c>
      <c r="L589">
        <f>IF(M589,TRUE,AND(P589:S589))</f>
        <v>0</v>
      </c>
      <c r="M589">
        <f>COUNTBLANK(metadata!B589:E589)=COLUMNS(metadata!B589:E589)</f>
        <v>0</v>
      </c>
      <c r="N589">
        <v>0</v>
      </c>
      <c r="P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Q589">
        <f>AND(IF(metadata!C589="",FALSE,TRUE),exact(metadata!C589,"other"))</f>
        <v>0</v>
      </c>
      <c r="R589">
        <f>AND(IF(metadata!D589="",FALSE,TRUE),exact(metadata!D589,"metagenome"))</f>
        <v>0</v>
      </c>
      <c r="S589">
        <f>AND(IF(metadata!E589="",FALSE,TRUE),exact(metadata!E589,"256318"))</f>
        <v>0</v>
      </c>
    </row>
    <row r="590" spans="1:19">
      <c r="A590" s="4">
        <f>IF(B590=" "," ",HYPERLINK(CONCATENATE("#metadata!",ADDRESS(INDEX($K$2:$K$1001,MATCH(ROWS($I$2:I590),$I$2:$I$1001,0),0),1)),INDEX($N$2:$N$1001,MATCH(ROWS($I$2:I590),$I$2:$I$1001,0),0)))</f>
        <v>0</v>
      </c>
      <c r="B590" s="3">
        <f>IF(OR(INDEX($J$2:$J$1001,MATCH(ROWS($I$2:I590),$I$2:$I$1001,0),1)&gt;=100000,INDEX($P$1005:$S$1005,1,MATCH(COLUMNS($P$1006:P1006),$P$1006:$S$1006,0))&gt;=100000), " ",IF(INDEX($P$2:$S$1001,MATCH(ROWS($I$2:I590),$I$2:$I$1001,0),MATCH(COLUMNS($P$1006:P1006),$P$1006:$S$1006,0)), HYPERLINK("#",""), HYPERLINK(CONCATENATE("#metadata!", ADDRESS(INDEX($K$2:$K$1001,MATCH(ROWS($I$2:I590),$I$2:$I$1001,0),0), INDEX($P$1004:$S$1004,1,MATCH(COLUMNS($P$1006:P1006),$P$1006:$S$1006,0)))),"Fix")))</f>
        <v>0</v>
      </c>
      <c r="C590" s="3">
        <f>IF(OR(INDEX($J$2:$J$1001,MATCH(ROWS($I$2:I590),$I$2:$I$1001,0),1)&gt;=100000,INDEX($P$1005:$S$1005,1,MATCH(COLUMNS($P$1006:Q1006),$P$1006:$S$1006,0))&gt;=100000), " ",IF(INDEX($P$2:$S$1001,MATCH(ROWS($I$2:I590),$I$2:$I$1001,0),MATCH(COLUMNS($P$1006:Q1006),$P$1006:$S$1006,0)), HYPERLINK("#",""), HYPERLINK(CONCATENATE("#metadata!", ADDRESS(INDEX($K$2:$K$1001,MATCH(ROWS($I$2:I590),$I$2:$I$1001,0),0), INDEX($P$1004:$S$1004,1,MATCH(COLUMNS($P$1006:Q1006),$P$1006:$S$1006,0)))),"Fix")))</f>
        <v>0</v>
      </c>
      <c r="D590" s="3">
        <f>IF(OR(INDEX($J$2:$J$1001,MATCH(ROWS($I$2:I590),$I$2:$I$1001,0),1)&gt;=100000,INDEX($P$1005:$S$1005,1,MATCH(COLUMNS($P$1006:R1006),$P$1006:$S$1006,0))&gt;=100000), " ",IF(INDEX($P$2:$S$1001,MATCH(ROWS($I$2:I590),$I$2:$I$1001,0),MATCH(COLUMNS($P$1006:R1006),$P$1006:$S$1006,0)), HYPERLINK("#",""), HYPERLINK(CONCATENATE("#metadata!", ADDRESS(INDEX($K$2:$K$1001,MATCH(ROWS($I$2:I590),$I$2:$I$1001,0),0), INDEX($P$1004:$S$1004,1,MATCH(COLUMNS($P$1006:R1006),$P$1006:$S$1006,0)))),"Fix")))</f>
        <v>0</v>
      </c>
      <c r="E590" s="3">
        <f>IF(OR(INDEX($J$2:$J$1001,MATCH(ROWS($I$2:I590),$I$2:$I$1001,0),1)&gt;=100000,INDEX($P$1005:$S$1005,1,MATCH(COLUMNS($P$1006:S1006),$P$1006:$S$1006,0))&gt;=100000), " ",IF(INDEX($P$2:$S$1001,MATCH(ROWS($I$2:I590),$I$2:$I$1001,0),MATCH(COLUMNS($P$1006:S1006),$P$1006:$S$1006,0)), HYPERLINK("#",""), HYPERLINK(CONCATENATE("#metadata!", ADDRESS(INDEX($K$2:$K$1001,MATCH(ROWS($I$2:I590),$I$2:$I$1001,0),0), INDEX($P$1004:$S$1004,1,MATCH(COLUMNS($P$1006:S1006),$P$1006:$S$1006,0)))),"Fix")))</f>
        <v>0</v>
      </c>
      <c r="I590">
        <v>0</v>
      </c>
      <c r="J590">
        <v>0</v>
      </c>
      <c r="K590">
        <v>0</v>
      </c>
      <c r="L590">
        <f>IF(M590,TRUE,AND(P590:S590))</f>
        <v>0</v>
      </c>
      <c r="M590">
        <f>COUNTBLANK(metadata!B590:E590)=COLUMNS(metadata!B590:E590)</f>
        <v>0</v>
      </c>
      <c r="N590">
        <v>0</v>
      </c>
      <c r="P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Q590">
        <f>AND(IF(metadata!C590="",FALSE,TRUE),exact(metadata!C590,"other"))</f>
        <v>0</v>
      </c>
      <c r="R590">
        <f>AND(IF(metadata!D590="",FALSE,TRUE),exact(metadata!D590,"metagenome"))</f>
        <v>0</v>
      </c>
      <c r="S590">
        <f>AND(IF(metadata!E590="",FALSE,TRUE),exact(metadata!E590,"256318"))</f>
        <v>0</v>
      </c>
    </row>
    <row r="591" spans="1:19">
      <c r="A591" s="4">
        <f>IF(B591=" "," ",HYPERLINK(CONCATENATE("#metadata!",ADDRESS(INDEX($K$2:$K$1001,MATCH(ROWS($I$2:I591),$I$2:$I$1001,0),0),1)),INDEX($N$2:$N$1001,MATCH(ROWS($I$2:I591),$I$2:$I$1001,0),0)))</f>
        <v>0</v>
      </c>
      <c r="B591" s="3">
        <f>IF(OR(INDEX($J$2:$J$1001,MATCH(ROWS($I$2:I591),$I$2:$I$1001,0),1)&gt;=100000,INDEX($P$1005:$S$1005,1,MATCH(COLUMNS($P$1006:P1006),$P$1006:$S$1006,0))&gt;=100000), " ",IF(INDEX($P$2:$S$1001,MATCH(ROWS($I$2:I591),$I$2:$I$1001,0),MATCH(COLUMNS($P$1006:P1006),$P$1006:$S$1006,0)), HYPERLINK("#",""), HYPERLINK(CONCATENATE("#metadata!", ADDRESS(INDEX($K$2:$K$1001,MATCH(ROWS($I$2:I591),$I$2:$I$1001,0),0), INDEX($P$1004:$S$1004,1,MATCH(COLUMNS($P$1006:P1006),$P$1006:$S$1006,0)))),"Fix")))</f>
        <v>0</v>
      </c>
      <c r="C591" s="3">
        <f>IF(OR(INDEX($J$2:$J$1001,MATCH(ROWS($I$2:I591),$I$2:$I$1001,0),1)&gt;=100000,INDEX($P$1005:$S$1005,1,MATCH(COLUMNS($P$1006:Q1006),$P$1006:$S$1006,0))&gt;=100000), " ",IF(INDEX($P$2:$S$1001,MATCH(ROWS($I$2:I591),$I$2:$I$1001,0),MATCH(COLUMNS($P$1006:Q1006),$P$1006:$S$1006,0)), HYPERLINK("#",""), HYPERLINK(CONCATENATE("#metadata!", ADDRESS(INDEX($K$2:$K$1001,MATCH(ROWS($I$2:I591),$I$2:$I$1001,0),0), INDEX($P$1004:$S$1004,1,MATCH(COLUMNS($P$1006:Q1006),$P$1006:$S$1006,0)))),"Fix")))</f>
        <v>0</v>
      </c>
      <c r="D591" s="3">
        <f>IF(OR(INDEX($J$2:$J$1001,MATCH(ROWS($I$2:I591),$I$2:$I$1001,0),1)&gt;=100000,INDEX($P$1005:$S$1005,1,MATCH(COLUMNS($P$1006:R1006),$P$1006:$S$1006,0))&gt;=100000), " ",IF(INDEX($P$2:$S$1001,MATCH(ROWS($I$2:I591),$I$2:$I$1001,0),MATCH(COLUMNS($P$1006:R1006),$P$1006:$S$1006,0)), HYPERLINK("#",""), HYPERLINK(CONCATENATE("#metadata!", ADDRESS(INDEX($K$2:$K$1001,MATCH(ROWS($I$2:I591),$I$2:$I$1001,0),0), INDEX($P$1004:$S$1004,1,MATCH(COLUMNS($P$1006:R1006),$P$1006:$S$1006,0)))),"Fix")))</f>
        <v>0</v>
      </c>
      <c r="E591" s="3">
        <f>IF(OR(INDEX($J$2:$J$1001,MATCH(ROWS($I$2:I591),$I$2:$I$1001,0),1)&gt;=100000,INDEX($P$1005:$S$1005,1,MATCH(COLUMNS($P$1006:S1006),$P$1006:$S$1006,0))&gt;=100000), " ",IF(INDEX($P$2:$S$1001,MATCH(ROWS($I$2:I591),$I$2:$I$1001,0),MATCH(COLUMNS($P$1006:S1006),$P$1006:$S$1006,0)), HYPERLINK("#",""), HYPERLINK(CONCATENATE("#metadata!", ADDRESS(INDEX($K$2:$K$1001,MATCH(ROWS($I$2:I591),$I$2:$I$1001,0),0), INDEX($P$1004:$S$1004,1,MATCH(COLUMNS($P$1006:S1006),$P$1006:$S$1006,0)))),"Fix")))</f>
        <v>0</v>
      </c>
      <c r="I591">
        <v>0</v>
      </c>
      <c r="J591">
        <v>0</v>
      </c>
      <c r="K591">
        <v>0</v>
      </c>
      <c r="L591">
        <f>IF(M591,TRUE,AND(P591:S591))</f>
        <v>0</v>
      </c>
      <c r="M591">
        <f>COUNTBLANK(metadata!B591:E591)=COLUMNS(metadata!B591:E591)</f>
        <v>0</v>
      </c>
      <c r="N591">
        <v>0</v>
      </c>
      <c r="P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Q591">
        <f>AND(IF(metadata!C591="",FALSE,TRUE),exact(metadata!C591,"other"))</f>
        <v>0</v>
      </c>
      <c r="R591">
        <f>AND(IF(metadata!D591="",FALSE,TRUE),exact(metadata!D591,"metagenome"))</f>
        <v>0</v>
      </c>
      <c r="S591">
        <f>AND(IF(metadata!E591="",FALSE,TRUE),exact(metadata!E591,"256318"))</f>
        <v>0</v>
      </c>
    </row>
    <row r="592" spans="1:19">
      <c r="A592" s="4">
        <f>IF(B592=" "," ",HYPERLINK(CONCATENATE("#metadata!",ADDRESS(INDEX($K$2:$K$1001,MATCH(ROWS($I$2:I592),$I$2:$I$1001,0),0),1)),INDEX($N$2:$N$1001,MATCH(ROWS($I$2:I592),$I$2:$I$1001,0),0)))</f>
        <v>0</v>
      </c>
      <c r="B592" s="3">
        <f>IF(OR(INDEX($J$2:$J$1001,MATCH(ROWS($I$2:I592),$I$2:$I$1001,0),1)&gt;=100000,INDEX($P$1005:$S$1005,1,MATCH(COLUMNS($P$1006:P1006),$P$1006:$S$1006,0))&gt;=100000), " ",IF(INDEX($P$2:$S$1001,MATCH(ROWS($I$2:I592),$I$2:$I$1001,0),MATCH(COLUMNS($P$1006:P1006),$P$1006:$S$1006,0)), HYPERLINK("#",""), HYPERLINK(CONCATENATE("#metadata!", ADDRESS(INDEX($K$2:$K$1001,MATCH(ROWS($I$2:I592),$I$2:$I$1001,0),0), INDEX($P$1004:$S$1004,1,MATCH(COLUMNS($P$1006:P1006),$P$1006:$S$1006,0)))),"Fix")))</f>
        <v>0</v>
      </c>
      <c r="C592" s="3">
        <f>IF(OR(INDEX($J$2:$J$1001,MATCH(ROWS($I$2:I592),$I$2:$I$1001,0),1)&gt;=100000,INDEX($P$1005:$S$1005,1,MATCH(COLUMNS($P$1006:Q1006),$P$1006:$S$1006,0))&gt;=100000), " ",IF(INDEX($P$2:$S$1001,MATCH(ROWS($I$2:I592),$I$2:$I$1001,0),MATCH(COLUMNS($P$1006:Q1006),$P$1006:$S$1006,0)), HYPERLINK("#",""), HYPERLINK(CONCATENATE("#metadata!", ADDRESS(INDEX($K$2:$K$1001,MATCH(ROWS($I$2:I592),$I$2:$I$1001,0),0), INDEX($P$1004:$S$1004,1,MATCH(COLUMNS($P$1006:Q1006),$P$1006:$S$1006,0)))),"Fix")))</f>
        <v>0</v>
      </c>
      <c r="D592" s="3">
        <f>IF(OR(INDEX($J$2:$J$1001,MATCH(ROWS($I$2:I592),$I$2:$I$1001,0),1)&gt;=100000,INDEX($P$1005:$S$1005,1,MATCH(COLUMNS($P$1006:R1006),$P$1006:$S$1006,0))&gt;=100000), " ",IF(INDEX($P$2:$S$1001,MATCH(ROWS($I$2:I592),$I$2:$I$1001,0),MATCH(COLUMNS($P$1006:R1006),$P$1006:$S$1006,0)), HYPERLINK("#",""), HYPERLINK(CONCATENATE("#metadata!", ADDRESS(INDEX($K$2:$K$1001,MATCH(ROWS($I$2:I592),$I$2:$I$1001,0),0), INDEX($P$1004:$S$1004,1,MATCH(COLUMNS($P$1006:R1006),$P$1006:$S$1006,0)))),"Fix")))</f>
        <v>0</v>
      </c>
      <c r="E592" s="3">
        <f>IF(OR(INDEX($J$2:$J$1001,MATCH(ROWS($I$2:I592),$I$2:$I$1001,0),1)&gt;=100000,INDEX($P$1005:$S$1005,1,MATCH(COLUMNS($P$1006:S1006),$P$1006:$S$1006,0))&gt;=100000), " ",IF(INDEX($P$2:$S$1001,MATCH(ROWS($I$2:I592),$I$2:$I$1001,0),MATCH(COLUMNS($P$1006:S1006),$P$1006:$S$1006,0)), HYPERLINK("#",""), HYPERLINK(CONCATENATE("#metadata!", ADDRESS(INDEX($K$2:$K$1001,MATCH(ROWS($I$2:I592),$I$2:$I$1001,0),0), INDEX($P$1004:$S$1004,1,MATCH(COLUMNS($P$1006:S1006),$P$1006:$S$1006,0)))),"Fix")))</f>
        <v>0</v>
      </c>
      <c r="I592">
        <v>0</v>
      </c>
      <c r="J592">
        <v>0</v>
      </c>
      <c r="K592">
        <v>0</v>
      </c>
      <c r="L592">
        <f>IF(M592,TRUE,AND(P592:S592))</f>
        <v>0</v>
      </c>
      <c r="M592">
        <f>COUNTBLANK(metadata!B592:E592)=COLUMNS(metadata!B592:E592)</f>
        <v>0</v>
      </c>
      <c r="N592">
        <v>0</v>
      </c>
      <c r="P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Q592">
        <f>AND(IF(metadata!C592="",FALSE,TRUE),exact(metadata!C592,"other"))</f>
        <v>0</v>
      </c>
      <c r="R592">
        <f>AND(IF(metadata!D592="",FALSE,TRUE),exact(metadata!D592,"metagenome"))</f>
        <v>0</v>
      </c>
      <c r="S592">
        <f>AND(IF(metadata!E592="",FALSE,TRUE),exact(metadata!E592,"256318"))</f>
        <v>0</v>
      </c>
    </row>
    <row r="593" spans="1:19">
      <c r="A593" s="4">
        <f>IF(B593=" "," ",HYPERLINK(CONCATENATE("#metadata!",ADDRESS(INDEX($K$2:$K$1001,MATCH(ROWS($I$2:I593),$I$2:$I$1001,0),0),1)),INDEX($N$2:$N$1001,MATCH(ROWS($I$2:I593),$I$2:$I$1001,0),0)))</f>
        <v>0</v>
      </c>
      <c r="B593" s="3">
        <f>IF(OR(INDEX($J$2:$J$1001,MATCH(ROWS($I$2:I593),$I$2:$I$1001,0),1)&gt;=100000,INDEX($P$1005:$S$1005,1,MATCH(COLUMNS($P$1006:P1006),$P$1006:$S$1006,0))&gt;=100000), " ",IF(INDEX($P$2:$S$1001,MATCH(ROWS($I$2:I593),$I$2:$I$1001,0),MATCH(COLUMNS($P$1006:P1006),$P$1006:$S$1006,0)), HYPERLINK("#",""), HYPERLINK(CONCATENATE("#metadata!", ADDRESS(INDEX($K$2:$K$1001,MATCH(ROWS($I$2:I593),$I$2:$I$1001,0),0), INDEX($P$1004:$S$1004,1,MATCH(COLUMNS($P$1006:P1006),$P$1006:$S$1006,0)))),"Fix")))</f>
        <v>0</v>
      </c>
      <c r="C593" s="3">
        <f>IF(OR(INDEX($J$2:$J$1001,MATCH(ROWS($I$2:I593),$I$2:$I$1001,0),1)&gt;=100000,INDEX($P$1005:$S$1005,1,MATCH(COLUMNS($P$1006:Q1006),$P$1006:$S$1006,0))&gt;=100000), " ",IF(INDEX($P$2:$S$1001,MATCH(ROWS($I$2:I593),$I$2:$I$1001,0),MATCH(COLUMNS($P$1006:Q1006),$P$1006:$S$1006,0)), HYPERLINK("#",""), HYPERLINK(CONCATENATE("#metadata!", ADDRESS(INDEX($K$2:$K$1001,MATCH(ROWS($I$2:I593),$I$2:$I$1001,0),0), INDEX($P$1004:$S$1004,1,MATCH(COLUMNS($P$1006:Q1006),$P$1006:$S$1006,0)))),"Fix")))</f>
        <v>0</v>
      </c>
      <c r="D593" s="3">
        <f>IF(OR(INDEX($J$2:$J$1001,MATCH(ROWS($I$2:I593),$I$2:$I$1001,0),1)&gt;=100000,INDEX($P$1005:$S$1005,1,MATCH(COLUMNS($P$1006:R1006),$P$1006:$S$1006,0))&gt;=100000), " ",IF(INDEX($P$2:$S$1001,MATCH(ROWS($I$2:I593),$I$2:$I$1001,0),MATCH(COLUMNS($P$1006:R1006),$P$1006:$S$1006,0)), HYPERLINK("#",""), HYPERLINK(CONCATENATE("#metadata!", ADDRESS(INDEX($K$2:$K$1001,MATCH(ROWS($I$2:I593),$I$2:$I$1001,0),0), INDEX($P$1004:$S$1004,1,MATCH(COLUMNS($P$1006:R1006),$P$1006:$S$1006,0)))),"Fix")))</f>
        <v>0</v>
      </c>
      <c r="E593" s="3">
        <f>IF(OR(INDEX($J$2:$J$1001,MATCH(ROWS($I$2:I593),$I$2:$I$1001,0),1)&gt;=100000,INDEX($P$1005:$S$1005,1,MATCH(COLUMNS($P$1006:S1006),$P$1006:$S$1006,0))&gt;=100000), " ",IF(INDEX($P$2:$S$1001,MATCH(ROWS($I$2:I593),$I$2:$I$1001,0),MATCH(COLUMNS($P$1006:S1006),$P$1006:$S$1006,0)), HYPERLINK("#",""), HYPERLINK(CONCATENATE("#metadata!", ADDRESS(INDEX($K$2:$K$1001,MATCH(ROWS($I$2:I593),$I$2:$I$1001,0),0), INDEX($P$1004:$S$1004,1,MATCH(COLUMNS($P$1006:S1006),$P$1006:$S$1006,0)))),"Fix")))</f>
        <v>0</v>
      </c>
      <c r="I593">
        <v>0</v>
      </c>
      <c r="J593">
        <v>0</v>
      </c>
      <c r="K593">
        <v>0</v>
      </c>
      <c r="L593">
        <f>IF(M593,TRUE,AND(P593:S593))</f>
        <v>0</v>
      </c>
      <c r="M593">
        <f>COUNTBLANK(metadata!B593:E593)=COLUMNS(metadata!B593:E593)</f>
        <v>0</v>
      </c>
      <c r="N593">
        <v>0</v>
      </c>
      <c r="P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Q593">
        <f>AND(IF(metadata!C593="",FALSE,TRUE),exact(metadata!C593,"other"))</f>
        <v>0</v>
      </c>
      <c r="R593">
        <f>AND(IF(metadata!D593="",FALSE,TRUE),exact(metadata!D593,"metagenome"))</f>
        <v>0</v>
      </c>
      <c r="S593">
        <f>AND(IF(metadata!E593="",FALSE,TRUE),exact(metadata!E593,"256318"))</f>
        <v>0</v>
      </c>
    </row>
    <row r="594" spans="1:19">
      <c r="A594" s="4">
        <f>IF(B594=" "," ",HYPERLINK(CONCATENATE("#metadata!",ADDRESS(INDEX($K$2:$K$1001,MATCH(ROWS($I$2:I594),$I$2:$I$1001,0),0),1)),INDEX($N$2:$N$1001,MATCH(ROWS($I$2:I594),$I$2:$I$1001,0),0)))</f>
        <v>0</v>
      </c>
      <c r="B594" s="3">
        <f>IF(OR(INDEX($J$2:$J$1001,MATCH(ROWS($I$2:I594),$I$2:$I$1001,0),1)&gt;=100000,INDEX($P$1005:$S$1005,1,MATCH(COLUMNS($P$1006:P1006),$P$1006:$S$1006,0))&gt;=100000), " ",IF(INDEX($P$2:$S$1001,MATCH(ROWS($I$2:I594),$I$2:$I$1001,0),MATCH(COLUMNS($P$1006:P1006),$P$1006:$S$1006,0)), HYPERLINK("#",""), HYPERLINK(CONCATENATE("#metadata!", ADDRESS(INDEX($K$2:$K$1001,MATCH(ROWS($I$2:I594),$I$2:$I$1001,0),0), INDEX($P$1004:$S$1004,1,MATCH(COLUMNS($P$1006:P1006),$P$1006:$S$1006,0)))),"Fix")))</f>
        <v>0</v>
      </c>
      <c r="C594" s="3">
        <f>IF(OR(INDEX($J$2:$J$1001,MATCH(ROWS($I$2:I594),$I$2:$I$1001,0),1)&gt;=100000,INDEX($P$1005:$S$1005,1,MATCH(COLUMNS($P$1006:Q1006),$P$1006:$S$1006,0))&gt;=100000), " ",IF(INDEX($P$2:$S$1001,MATCH(ROWS($I$2:I594),$I$2:$I$1001,0),MATCH(COLUMNS($P$1006:Q1006),$P$1006:$S$1006,0)), HYPERLINK("#",""), HYPERLINK(CONCATENATE("#metadata!", ADDRESS(INDEX($K$2:$K$1001,MATCH(ROWS($I$2:I594),$I$2:$I$1001,0),0), INDEX($P$1004:$S$1004,1,MATCH(COLUMNS($P$1006:Q1006),$P$1006:$S$1006,0)))),"Fix")))</f>
        <v>0</v>
      </c>
      <c r="D594" s="3">
        <f>IF(OR(INDEX($J$2:$J$1001,MATCH(ROWS($I$2:I594),$I$2:$I$1001,0),1)&gt;=100000,INDEX($P$1005:$S$1005,1,MATCH(COLUMNS($P$1006:R1006),$P$1006:$S$1006,0))&gt;=100000), " ",IF(INDEX($P$2:$S$1001,MATCH(ROWS($I$2:I594),$I$2:$I$1001,0),MATCH(COLUMNS($P$1006:R1006),$P$1006:$S$1006,0)), HYPERLINK("#",""), HYPERLINK(CONCATENATE("#metadata!", ADDRESS(INDEX($K$2:$K$1001,MATCH(ROWS($I$2:I594),$I$2:$I$1001,0),0), INDEX($P$1004:$S$1004,1,MATCH(COLUMNS($P$1006:R1006),$P$1006:$S$1006,0)))),"Fix")))</f>
        <v>0</v>
      </c>
      <c r="E594" s="3">
        <f>IF(OR(INDEX($J$2:$J$1001,MATCH(ROWS($I$2:I594),$I$2:$I$1001,0),1)&gt;=100000,INDEX($P$1005:$S$1005,1,MATCH(COLUMNS($P$1006:S1006),$P$1006:$S$1006,0))&gt;=100000), " ",IF(INDEX($P$2:$S$1001,MATCH(ROWS($I$2:I594),$I$2:$I$1001,0),MATCH(COLUMNS($P$1006:S1006),$P$1006:$S$1006,0)), HYPERLINK("#",""), HYPERLINK(CONCATENATE("#metadata!", ADDRESS(INDEX($K$2:$K$1001,MATCH(ROWS($I$2:I594),$I$2:$I$1001,0),0), INDEX($P$1004:$S$1004,1,MATCH(COLUMNS($P$1006:S1006),$P$1006:$S$1006,0)))),"Fix")))</f>
        <v>0</v>
      </c>
      <c r="I594">
        <v>0</v>
      </c>
      <c r="J594">
        <v>0</v>
      </c>
      <c r="K594">
        <v>0</v>
      </c>
      <c r="L594">
        <f>IF(M594,TRUE,AND(P594:S594))</f>
        <v>0</v>
      </c>
      <c r="M594">
        <f>COUNTBLANK(metadata!B594:E594)=COLUMNS(metadata!B594:E594)</f>
        <v>0</v>
      </c>
      <c r="N594">
        <v>0</v>
      </c>
      <c r="P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Q594">
        <f>AND(IF(metadata!C594="",FALSE,TRUE),exact(metadata!C594,"other"))</f>
        <v>0</v>
      </c>
      <c r="R594">
        <f>AND(IF(metadata!D594="",FALSE,TRUE),exact(metadata!D594,"metagenome"))</f>
        <v>0</v>
      </c>
      <c r="S594">
        <f>AND(IF(metadata!E594="",FALSE,TRUE),exact(metadata!E594,"256318"))</f>
        <v>0</v>
      </c>
    </row>
    <row r="595" spans="1:19">
      <c r="A595" s="4">
        <f>IF(B595=" "," ",HYPERLINK(CONCATENATE("#metadata!",ADDRESS(INDEX($K$2:$K$1001,MATCH(ROWS($I$2:I595),$I$2:$I$1001,0),0),1)),INDEX($N$2:$N$1001,MATCH(ROWS($I$2:I595),$I$2:$I$1001,0),0)))</f>
        <v>0</v>
      </c>
      <c r="B595" s="3">
        <f>IF(OR(INDEX($J$2:$J$1001,MATCH(ROWS($I$2:I595),$I$2:$I$1001,0),1)&gt;=100000,INDEX($P$1005:$S$1005,1,MATCH(COLUMNS($P$1006:P1006),$P$1006:$S$1006,0))&gt;=100000), " ",IF(INDEX($P$2:$S$1001,MATCH(ROWS($I$2:I595),$I$2:$I$1001,0),MATCH(COLUMNS($P$1006:P1006),$P$1006:$S$1006,0)), HYPERLINK("#",""), HYPERLINK(CONCATENATE("#metadata!", ADDRESS(INDEX($K$2:$K$1001,MATCH(ROWS($I$2:I595),$I$2:$I$1001,0),0), INDEX($P$1004:$S$1004,1,MATCH(COLUMNS($P$1006:P1006),$P$1006:$S$1006,0)))),"Fix")))</f>
        <v>0</v>
      </c>
      <c r="C595" s="3">
        <f>IF(OR(INDEX($J$2:$J$1001,MATCH(ROWS($I$2:I595),$I$2:$I$1001,0),1)&gt;=100000,INDEX($P$1005:$S$1005,1,MATCH(COLUMNS($P$1006:Q1006),$P$1006:$S$1006,0))&gt;=100000), " ",IF(INDEX($P$2:$S$1001,MATCH(ROWS($I$2:I595),$I$2:$I$1001,0),MATCH(COLUMNS($P$1006:Q1006),$P$1006:$S$1006,0)), HYPERLINK("#",""), HYPERLINK(CONCATENATE("#metadata!", ADDRESS(INDEX($K$2:$K$1001,MATCH(ROWS($I$2:I595),$I$2:$I$1001,0),0), INDEX($P$1004:$S$1004,1,MATCH(COLUMNS($P$1006:Q1006),$P$1006:$S$1006,0)))),"Fix")))</f>
        <v>0</v>
      </c>
      <c r="D595" s="3">
        <f>IF(OR(INDEX($J$2:$J$1001,MATCH(ROWS($I$2:I595),$I$2:$I$1001,0),1)&gt;=100000,INDEX($P$1005:$S$1005,1,MATCH(COLUMNS($P$1006:R1006),$P$1006:$S$1006,0))&gt;=100000), " ",IF(INDEX($P$2:$S$1001,MATCH(ROWS($I$2:I595),$I$2:$I$1001,0),MATCH(COLUMNS($P$1006:R1006),$P$1006:$S$1006,0)), HYPERLINK("#",""), HYPERLINK(CONCATENATE("#metadata!", ADDRESS(INDEX($K$2:$K$1001,MATCH(ROWS($I$2:I595),$I$2:$I$1001,0),0), INDEX($P$1004:$S$1004,1,MATCH(COLUMNS($P$1006:R1006),$P$1006:$S$1006,0)))),"Fix")))</f>
        <v>0</v>
      </c>
      <c r="E595" s="3">
        <f>IF(OR(INDEX($J$2:$J$1001,MATCH(ROWS($I$2:I595),$I$2:$I$1001,0),1)&gt;=100000,INDEX($P$1005:$S$1005,1,MATCH(COLUMNS($P$1006:S1006),$P$1006:$S$1006,0))&gt;=100000), " ",IF(INDEX($P$2:$S$1001,MATCH(ROWS($I$2:I595),$I$2:$I$1001,0),MATCH(COLUMNS($P$1006:S1006),$P$1006:$S$1006,0)), HYPERLINK("#",""), HYPERLINK(CONCATENATE("#metadata!", ADDRESS(INDEX($K$2:$K$1001,MATCH(ROWS($I$2:I595),$I$2:$I$1001,0),0), INDEX($P$1004:$S$1004,1,MATCH(COLUMNS($P$1006:S1006),$P$1006:$S$1006,0)))),"Fix")))</f>
        <v>0</v>
      </c>
      <c r="I595">
        <v>0</v>
      </c>
      <c r="J595">
        <v>0</v>
      </c>
      <c r="K595">
        <v>0</v>
      </c>
      <c r="L595">
        <f>IF(M595,TRUE,AND(P595:S595))</f>
        <v>0</v>
      </c>
      <c r="M595">
        <f>COUNTBLANK(metadata!B595:E595)=COLUMNS(metadata!B595:E595)</f>
        <v>0</v>
      </c>
      <c r="N595">
        <v>0</v>
      </c>
      <c r="P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Q595">
        <f>AND(IF(metadata!C595="",FALSE,TRUE),exact(metadata!C595,"other"))</f>
        <v>0</v>
      </c>
      <c r="R595">
        <f>AND(IF(metadata!D595="",FALSE,TRUE),exact(metadata!D595,"metagenome"))</f>
        <v>0</v>
      </c>
      <c r="S595">
        <f>AND(IF(metadata!E595="",FALSE,TRUE),exact(metadata!E595,"256318"))</f>
        <v>0</v>
      </c>
    </row>
    <row r="596" spans="1:19">
      <c r="A596" s="4">
        <f>IF(B596=" "," ",HYPERLINK(CONCATENATE("#metadata!",ADDRESS(INDEX($K$2:$K$1001,MATCH(ROWS($I$2:I596),$I$2:$I$1001,0),0),1)),INDEX($N$2:$N$1001,MATCH(ROWS($I$2:I596),$I$2:$I$1001,0),0)))</f>
        <v>0</v>
      </c>
      <c r="B596" s="3">
        <f>IF(OR(INDEX($J$2:$J$1001,MATCH(ROWS($I$2:I596),$I$2:$I$1001,0),1)&gt;=100000,INDEX($P$1005:$S$1005,1,MATCH(COLUMNS($P$1006:P1006),$P$1006:$S$1006,0))&gt;=100000), " ",IF(INDEX($P$2:$S$1001,MATCH(ROWS($I$2:I596),$I$2:$I$1001,0),MATCH(COLUMNS($P$1006:P1006),$P$1006:$S$1006,0)), HYPERLINK("#",""), HYPERLINK(CONCATENATE("#metadata!", ADDRESS(INDEX($K$2:$K$1001,MATCH(ROWS($I$2:I596),$I$2:$I$1001,0),0), INDEX($P$1004:$S$1004,1,MATCH(COLUMNS($P$1006:P1006),$P$1006:$S$1006,0)))),"Fix")))</f>
        <v>0</v>
      </c>
      <c r="C596" s="3">
        <f>IF(OR(INDEX($J$2:$J$1001,MATCH(ROWS($I$2:I596),$I$2:$I$1001,0),1)&gt;=100000,INDEX($P$1005:$S$1005,1,MATCH(COLUMNS($P$1006:Q1006),$P$1006:$S$1006,0))&gt;=100000), " ",IF(INDEX($P$2:$S$1001,MATCH(ROWS($I$2:I596),$I$2:$I$1001,0),MATCH(COLUMNS($P$1006:Q1006),$P$1006:$S$1006,0)), HYPERLINK("#",""), HYPERLINK(CONCATENATE("#metadata!", ADDRESS(INDEX($K$2:$K$1001,MATCH(ROWS($I$2:I596),$I$2:$I$1001,0),0), INDEX($P$1004:$S$1004,1,MATCH(COLUMNS($P$1006:Q1006),$P$1006:$S$1006,0)))),"Fix")))</f>
        <v>0</v>
      </c>
      <c r="D596" s="3">
        <f>IF(OR(INDEX($J$2:$J$1001,MATCH(ROWS($I$2:I596),$I$2:$I$1001,0),1)&gt;=100000,INDEX($P$1005:$S$1005,1,MATCH(COLUMNS($P$1006:R1006),$P$1006:$S$1006,0))&gt;=100000), " ",IF(INDEX($P$2:$S$1001,MATCH(ROWS($I$2:I596),$I$2:$I$1001,0),MATCH(COLUMNS($P$1006:R1006),$P$1006:$S$1006,0)), HYPERLINK("#",""), HYPERLINK(CONCATENATE("#metadata!", ADDRESS(INDEX($K$2:$K$1001,MATCH(ROWS($I$2:I596),$I$2:$I$1001,0),0), INDEX($P$1004:$S$1004,1,MATCH(COLUMNS($P$1006:R1006),$P$1006:$S$1006,0)))),"Fix")))</f>
        <v>0</v>
      </c>
      <c r="E596" s="3">
        <f>IF(OR(INDEX($J$2:$J$1001,MATCH(ROWS($I$2:I596),$I$2:$I$1001,0),1)&gt;=100000,INDEX($P$1005:$S$1005,1,MATCH(COLUMNS($P$1006:S1006),$P$1006:$S$1006,0))&gt;=100000), " ",IF(INDEX($P$2:$S$1001,MATCH(ROWS($I$2:I596),$I$2:$I$1001,0),MATCH(COLUMNS($P$1006:S1006),$P$1006:$S$1006,0)), HYPERLINK("#",""), HYPERLINK(CONCATENATE("#metadata!", ADDRESS(INDEX($K$2:$K$1001,MATCH(ROWS($I$2:I596),$I$2:$I$1001,0),0), INDEX($P$1004:$S$1004,1,MATCH(COLUMNS($P$1006:S1006),$P$1006:$S$1006,0)))),"Fix")))</f>
        <v>0</v>
      </c>
      <c r="I596">
        <v>0</v>
      </c>
      <c r="J596">
        <v>0</v>
      </c>
      <c r="K596">
        <v>0</v>
      </c>
      <c r="L596">
        <f>IF(M596,TRUE,AND(P596:S596))</f>
        <v>0</v>
      </c>
      <c r="M596">
        <f>COUNTBLANK(metadata!B596:E596)=COLUMNS(metadata!B596:E596)</f>
        <v>0</v>
      </c>
      <c r="N596">
        <v>0</v>
      </c>
      <c r="P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Q596">
        <f>AND(IF(metadata!C596="",FALSE,TRUE),exact(metadata!C596,"other"))</f>
        <v>0</v>
      </c>
      <c r="R596">
        <f>AND(IF(metadata!D596="",FALSE,TRUE),exact(metadata!D596,"metagenome"))</f>
        <v>0</v>
      </c>
      <c r="S596">
        <f>AND(IF(metadata!E596="",FALSE,TRUE),exact(metadata!E596,"256318"))</f>
        <v>0</v>
      </c>
    </row>
    <row r="597" spans="1:19">
      <c r="A597" s="4">
        <f>IF(B597=" "," ",HYPERLINK(CONCATENATE("#metadata!",ADDRESS(INDEX($K$2:$K$1001,MATCH(ROWS($I$2:I597),$I$2:$I$1001,0),0),1)),INDEX($N$2:$N$1001,MATCH(ROWS($I$2:I597),$I$2:$I$1001,0),0)))</f>
        <v>0</v>
      </c>
      <c r="B597" s="3">
        <f>IF(OR(INDEX($J$2:$J$1001,MATCH(ROWS($I$2:I597),$I$2:$I$1001,0),1)&gt;=100000,INDEX($P$1005:$S$1005,1,MATCH(COLUMNS($P$1006:P1006),$P$1006:$S$1006,0))&gt;=100000), " ",IF(INDEX($P$2:$S$1001,MATCH(ROWS($I$2:I597),$I$2:$I$1001,0),MATCH(COLUMNS($P$1006:P1006),$P$1006:$S$1006,0)), HYPERLINK("#",""), HYPERLINK(CONCATENATE("#metadata!", ADDRESS(INDEX($K$2:$K$1001,MATCH(ROWS($I$2:I597),$I$2:$I$1001,0),0), INDEX($P$1004:$S$1004,1,MATCH(COLUMNS($P$1006:P1006),$P$1006:$S$1006,0)))),"Fix")))</f>
        <v>0</v>
      </c>
      <c r="C597" s="3">
        <f>IF(OR(INDEX($J$2:$J$1001,MATCH(ROWS($I$2:I597),$I$2:$I$1001,0),1)&gt;=100000,INDEX($P$1005:$S$1005,1,MATCH(COLUMNS($P$1006:Q1006),$P$1006:$S$1006,0))&gt;=100000), " ",IF(INDEX($P$2:$S$1001,MATCH(ROWS($I$2:I597),$I$2:$I$1001,0),MATCH(COLUMNS($P$1006:Q1006),$P$1006:$S$1006,0)), HYPERLINK("#",""), HYPERLINK(CONCATENATE("#metadata!", ADDRESS(INDEX($K$2:$K$1001,MATCH(ROWS($I$2:I597),$I$2:$I$1001,0),0), INDEX($P$1004:$S$1004,1,MATCH(COLUMNS($P$1006:Q1006),$P$1006:$S$1006,0)))),"Fix")))</f>
        <v>0</v>
      </c>
      <c r="D597" s="3">
        <f>IF(OR(INDEX($J$2:$J$1001,MATCH(ROWS($I$2:I597),$I$2:$I$1001,0),1)&gt;=100000,INDEX($P$1005:$S$1005,1,MATCH(COLUMNS($P$1006:R1006),$P$1006:$S$1006,0))&gt;=100000), " ",IF(INDEX($P$2:$S$1001,MATCH(ROWS($I$2:I597),$I$2:$I$1001,0),MATCH(COLUMNS($P$1006:R1006),$P$1006:$S$1006,0)), HYPERLINK("#",""), HYPERLINK(CONCATENATE("#metadata!", ADDRESS(INDEX($K$2:$K$1001,MATCH(ROWS($I$2:I597),$I$2:$I$1001,0),0), INDEX($P$1004:$S$1004,1,MATCH(COLUMNS($P$1006:R1006),$P$1006:$S$1006,0)))),"Fix")))</f>
        <v>0</v>
      </c>
      <c r="E597" s="3">
        <f>IF(OR(INDEX($J$2:$J$1001,MATCH(ROWS($I$2:I597),$I$2:$I$1001,0),1)&gt;=100000,INDEX($P$1005:$S$1005,1,MATCH(COLUMNS($P$1006:S1006),$P$1006:$S$1006,0))&gt;=100000), " ",IF(INDEX($P$2:$S$1001,MATCH(ROWS($I$2:I597),$I$2:$I$1001,0),MATCH(COLUMNS($P$1006:S1006),$P$1006:$S$1006,0)), HYPERLINK("#",""), HYPERLINK(CONCATENATE("#metadata!", ADDRESS(INDEX($K$2:$K$1001,MATCH(ROWS($I$2:I597),$I$2:$I$1001,0),0), INDEX($P$1004:$S$1004,1,MATCH(COLUMNS($P$1006:S1006),$P$1006:$S$1006,0)))),"Fix")))</f>
        <v>0</v>
      </c>
      <c r="I597">
        <v>0</v>
      </c>
      <c r="J597">
        <v>0</v>
      </c>
      <c r="K597">
        <v>0</v>
      </c>
      <c r="L597">
        <f>IF(M597,TRUE,AND(P597:S597))</f>
        <v>0</v>
      </c>
      <c r="M597">
        <f>COUNTBLANK(metadata!B597:E597)=COLUMNS(metadata!B597:E597)</f>
        <v>0</v>
      </c>
      <c r="N597">
        <v>0</v>
      </c>
      <c r="P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Q597">
        <f>AND(IF(metadata!C597="",FALSE,TRUE),exact(metadata!C597,"other"))</f>
        <v>0</v>
      </c>
      <c r="R597">
        <f>AND(IF(metadata!D597="",FALSE,TRUE),exact(metadata!D597,"metagenome"))</f>
        <v>0</v>
      </c>
      <c r="S597">
        <f>AND(IF(metadata!E597="",FALSE,TRUE),exact(metadata!E597,"256318"))</f>
        <v>0</v>
      </c>
    </row>
    <row r="598" spans="1:19">
      <c r="A598" s="4">
        <f>IF(B598=" "," ",HYPERLINK(CONCATENATE("#metadata!",ADDRESS(INDEX($K$2:$K$1001,MATCH(ROWS($I$2:I598),$I$2:$I$1001,0),0),1)),INDEX($N$2:$N$1001,MATCH(ROWS($I$2:I598),$I$2:$I$1001,0),0)))</f>
        <v>0</v>
      </c>
      <c r="B598" s="3">
        <f>IF(OR(INDEX($J$2:$J$1001,MATCH(ROWS($I$2:I598),$I$2:$I$1001,0),1)&gt;=100000,INDEX($P$1005:$S$1005,1,MATCH(COLUMNS($P$1006:P1006),$P$1006:$S$1006,0))&gt;=100000), " ",IF(INDEX($P$2:$S$1001,MATCH(ROWS($I$2:I598),$I$2:$I$1001,0),MATCH(COLUMNS($P$1006:P1006),$P$1006:$S$1006,0)), HYPERLINK("#",""), HYPERLINK(CONCATENATE("#metadata!", ADDRESS(INDEX($K$2:$K$1001,MATCH(ROWS($I$2:I598),$I$2:$I$1001,0),0), INDEX($P$1004:$S$1004,1,MATCH(COLUMNS($P$1006:P1006),$P$1006:$S$1006,0)))),"Fix")))</f>
        <v>0</v>
      </c>
      <c r="C598" s="3">
        <f>IF(OR(INDEX($J$2:$J$1001,MATCH(ROWS($I$2:I598),$I$2:$I$1001,0),1)&gt;=100000,INDEX($P$1005:$S$1005,1,MATCH(COLUMNS($P$1006:Q1006),$P$1006:$S$1006,0))&gt;=100000), " ",IF(INDEX($P$2:$S$1001,MATCH(ROWS($I$2:I598),$I$2:$I$1001,0),MATCH(COLUMNS($P$1006:Q1006),$P$1006:$S$1006,0)), HYPERLINK("#",""), HYPERLINK(CONCATENATE("#metadata!", ADDRESS(INDEX($K$2:$K$1001,MATCH(ROWS($I$2:I598),$I$2:$I$1001,0),0), INDEX($P$1004:$S$1004,1,MATCH(COLUMNS($P$1006:Q1006),$P$1006:$S$1006,0)))),"Fix")))</f>
        <v>0</v>
      </c>
      <c r="D598" s="3">
        <f>IF(OR(INDEX($J$2:$J$1001,MATCH(ROWS($I$2:I598),$I$2:$I$1001,0),1)&gt;=100000,INDEX($P$1005:$S$1005,1,MATCH(COLUMNS($P$1006:R1006),$P$1006:$S$1006,0))&gt;=100000), " ",IF(INDEX($P$2:$S$1001,MATCH(ROWS($I$2:I598),$I$2:$I$1001,0),MATCH(COLUMNS($P$1006:R1006),$P$1006:$S$1006,0)), HYPERLINK("#",""), HYPERLINK(CONCATENATE("#metadata!", ADDRESS(INDEX($K$2:$K$1001,MATCH(ROWS($I$2:I598),$I$2:$I$1001,0),0), INDEX($P$1004:$S$1004,1,MATCH(COLUMNS($P$1006:R1006),$P$1006:$S$1006,0)))),"Fix")))</f>
        <v>0</v>
      </c>
      <c r="E598" s="3">
        <f>IF(OR(INDEX($J$2:$J$1001,MATCH(ROWS($I$2:I598),$I$2:$I$1001,0),1)&gt;=100000,INDEX($P$1005:$S$1005,1,MATCH(COLUMNS($P$1006:S1006),$P$1006:$S$1006,0))&gt;=100000), " ",IF(INDEX($P$2:$S$1001,MATCH(ROWS($I$2:I598),$I$2:$I$1001,0),MATCH(COLUMNS($P$1006:S1006),$P$1006:$S$1006,0)), HYPERLINK("#",""), HYPERLINK(CONCATENATE("#metadata!", ADDRESS(INDEX($K$2:$K$1001,MATCH(ROWS($I$2:I598),$I$2:$I$1001,0),0), INDEX($P$1004:$S$1004,1,MATCH(COLUMNS($P$1006:S1006),$P$1006:$S$1006,0)))),"Fix")))</f>
        <v>0</v>
      </c>
      <c r="I598">
        <v>0</v>
      </c>
      <c r="J598">
        <v>0</v>
      </c>
      <c r="K598">
        <v>0</v>
      </c>
      <c r="L598">
        <f>IF(M598,TRUE,AND(P598:S598))</f>
        <v>0</v>
      </c>
      <c r="M598">
        <f>COUNTBLANK(metadata!B598:E598)=COLUMNS(metadata!B598:E598)</f>
        <v>0</v>
      </c>
      <c r="N598">
        <v>0</v>
      </c>
      <c r="P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Q598">
        <f>AND(IF(metadata!C598="",FALSE,TRUE),exact(metadata!C598,"other"))</f>
        <v>0</v>
      </c>
      <c r="R598">
        <f>AND(IF(metadata!D598="",FALSE,TRUE),exact(metadata!D598,"metagenome"))</f>
        <v>0</v>
      </c>
      <c r="S598">
        <f>AND(IF(metadata!E598="",FALSE,TRUE),exact(metadata!E598,"256318"))</f>
        <v>0</v>
      </c>
    </row>
    <row r="599" spans="1:19">
      <c r="A599" s="4">
        <f>IF(B599=" "," ",HYPERLINK(CONCATENATE("#metadata!",ADDRESS(INDEX($K$2:$K$1001,MATCH(ROWS($I$2:I599),$I$2:$I$1001,0),0),1)),INDEX($N$2:$N$1001,MATCH(ROWS($I$2:I599),$I$2:$I$1001,0),0)))</f>
        <v>0</v>
      </c>
      <c r="B599" s="3">
        <f>IF(OR(INDEX($J$2:$J$1001,MATCH(ROWS($I$2:I599),$I$2:$I$1001,0),1)&gt;=100000,INDEX($P$1005:$S$1005,1,MATCH(COLUMNS($P$1006:P1006),$P$1006:$S$1006,0))&gt;=100000), " ",IF(INDEX($P$2:$S$1001,MATCH(ROWS($I$2:I599),$I$2:$I$1001,0),MATCH(COLUMNS($P$1006:P1006),$P$1006:$S$1006,0)), HYPERLINK("#",""), HYPERLINK(CONCATENATE("#metadata!", ADDRESS(INDEX($K$2:$K$1001,MATCH(ROWS($I$2:I599),$I$2:$I$1001,0),0), INDEX($P$1004:$S$1004,1,MATCH(COLUMNS($P$1006:P1006),$P$1006:$S$1006,0)))),"Fix")))</f>
        <v>0</v>
      </c>
      <c r="C599" s="3">
        <f>IF(OR(INDEX($J$2:$J$1001,MATCH(ROWS($I$2:I599),$I$2:$I$1001,0),1)&gt;=100000,INDEX($P$1005:$S$1005,1,MATCH(COLUMNS($P$1006:Q1006),$P$1006:$S$1006,0))&gt;=100000), " ",IF(INDEX($P$2:$S$1001,MATCH(ROWS($I$2:I599),$I$2:$I$1001,0),MATCH(COLUMNS($P$1006:Q1006),$P$1006:$S$1006,0)), HYPERLINK("#",""), HYPERLINK(CONCATENATE("#metadata!", ADDRESS(INDEX($K$2:$K$1001,MATCH(ROWS($I$2:I599),$I$2:$I$1001,0),0), INDEX($P$1004:$S$1004,1,MATCH(COLUMNS($P$1006:Q1006),$P$1006:$S$1006,0)))),"Fix")))</f>
        <v>0</v>
      </c>
      <c r="D599" s="3">
        <f>IF(OR(INDEX($J$2:$J$1001,MATCH(ROWS($I$2:I599),$I$2:$I$1001,0),1)&gt;=100000,INDEX($P$1005:$S$1005,1,MATCH(COLUMNS($P$1006:R1006),$P$1006:$S$1006,0))&gt;=100000), " ",IF(INDEX($P$2:$S$1001,MATCH(ROWS($I$2:I599),$I$2:$I$1001,0),MATCH(COLUMNS($P$1006:R1006),$P$1006:$S$1006,0)), HYPERLINK("#",""), HYPERLINK(CONCATENATE("#metadata!", ADDRESS(INDEX($K$2:$K$1001,MATCH(ROWS($I$2:I599),$I$2:$I$1001,0),0), INDEX($P$1004:$S$1004,1,MATCH(COLUMNS($P$1006:R1006),$P$1006:$S$1006,0)))),"Fix")))</f>
        <v>0</v>
      </c>
      <c r="E599" s="3">
        <f>IF(OR(INDEX($J$2:$J$1001,MATCH(ROWS($I$2:I599),$I$2:$I$1001,0),1)&gt;=100000,INDEX($P$1005:$S$1005,1,MATCH(COLUMNS($P$1006:S1006),$P$1006:$S$1006,0))&gt;=100000), " ",IF(INDEX($P$2:$S$1001,MATCH(ROWS($I$2:I599),$I$2:$I$1001,0),MATCH(COLUMNS($P$1006:S1006),$P$1006:$S$1006,0)), HYPERLINK("#",""), HYPERLINK(CONCATENATE("#metadata!", ADDRESS(INDEX($K$2:$K$1001,MATCH(ROWS($I$2:I599),$I$2:$I$1001,0),0), INDEX($P$1004:$S$1004,1,MATCH(COLUMNS($P$1006:S1006),$P$1006:$S$1006,0)))),"Fix")))</f>
        <v>0</v>
      </c>
      <c r="I599">
        <v>0</v>
      </c>
      <c r="J599">
        <v>0</v>
      </c>
      <c r="K599">
        <v>0</v>
      </c>
      <c r="L599">
        <f>IF(M599,TRUE,AND(P599:S599))</f>
        <v>0</v>
      </c>
      <c r="M599">
        <f>COUNTBLANK(metadata!B599:E599)=COLUMNS(metadata!B599:E599)</f>
        <v>0</v>
      </c>
      <c r="N599">
        <v>0</v>
      </c>
      <c r="P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Q599">
        <f>AND(IF(metadata!C599="",FALSE,TRUE),exact(metadata!C599,"other"))</f>
        <v>0</v>
      </c>
      <c r="R599">
        <f>AND(IF(metadata!D599="",FALSE,TRUE),exact(metadata!D599,"metagenome"))</f>
        <v>0</v>
      </c>
      <c r="S599">
        <f>AND(IF(metadata!E599="",FALSE,TRUE),exact(metadata!E599,"256318"))</f>
        <v>0</v>
      </c>
    </row>
    <row r="600" spans="1:19">
      <c r="A600" s="4">
        <f>IF(B600=" "," ",HYPERLINK(CONCATENATE("#metadata!",ADDRESS(INDEX($K$2:$K$1001,MATCH(ROWS($I$2:I600),$I$2:$I$1001,0),0),1)),INDEX($N$2:$N$1001,MATCH(ROWS($I$2:I600),$I$2:$I$1001,0),0)))</f>
        <v>0</v>
      </c>
      <c r="B600" s="3">
        <f>IF(OR(INDEX($J$2:$J$1001,MATCH(ROWS($I$2:I600),$I$2:$I$1001,0),1)&gt;=100000,INDEX($P$1005:$S$1005,1,MATCH(COLUMNS($P$1006:P1006),$P$1006:$S$1006,0))&gt;=100000), " ",IF(INDEX($P$2:$S$1001,MATCH(ROWS($I$2:I600),$I$2:$I$1001,0),MATCH(COLUMNS($P$1006:P1006),$P$1006:$S$1006,0)), HYPERLINK("#",""), HYPERLINK(CONCATENATE("#metadata!", ADDRESS(INDEX($K$2:$K$1001,MATCH(ROWS($I$2:I600),$I$2:$I$1001,0),0), INDEX($P$1004:$S$1004,1,MATCH(COLUMNS($P$1006:P1006),$P$1006:$S$1006,0)))),"Fix")))</f>
        <v>0</v>
      </c>
      <c r="C600" s="3">
        <f>IF(OR(INDEX($J$2:$J$1001,MATCH(ROWS($I$2:I600),$I$2:$I$1001,0),1)&gt;=100000,INDEX($P$1005:$S$1005,1,MATCH(COLUMNS($P$1006:Q1006),$P$1006:$S$1006,0))&gt;=100000), " ",IF(INDEX($P$2:$S$1001,MATCH(ROWS($I$2:I600),$I$2:$I$1001,0),MATCH(COLUMNS($P$1006:Q1006),$P$1006:$S$1006,0)), HYPERLINK("#",""), HYPERLINK(CONCATENATE("#metadata!", ADDRESS(INDEX($K$2:$K$1001,MATCH(ROWS($I$2:I600),$I$2:$I$1001,0),0), INDEX($P$1004:$S$1004,1,MATCH(COLUMNS($P$1006:Q1006),$P$1006:$S$1006,0)))),"Fix")))</f>
        <v>0</v>
      </c>
      <c r="D600" s="3">
        <f>IF(OR(INDEX($J$2:$J$1001,MATCH(ROWS($I$2:I600),$I$2:$I$1001,0),1)&gt;=100000,INDEX($P$1005:$S$1005,1,MATCH(COLUMNS($P$1006:R1006),$P$1006:$S$1006,0))&gt;=100000), " ",IF(INDEX($P$2:$S$1001,MATCH(ROWS($I$2:I600),$I$2:$I$1001,0),MATCH(COLUMNS($P$1006:R1006),$P$1006:$S$1006,0)), HYPERLINK("#",""), HYPERLINK(CONCATENATE("#metadata!", ADDRESS(INDEX($K$2:$K$1001,MATCH(ROWS($I$2:I600),$I$2:$I$1001,0),0), INDEX($P$1004:$S$1004,1,MATCH(COLUMNS($P$1006:R1006),$P$1006:$S$1006,0)))),"Fix")))</f>
        <v>0</v>
      </c>
      <c r="E600" s="3">
        <f>IF(OR(INDEX($J$2:$J$1001,MATCH(ROWS($I$2:I600),$I$2:$I$1001,0),1)&gt;=100000,INDEX($P$1005:$S$1005,1,MATCH(COLUMNS($P$1006:S1006),$P$1006:$S$1006,0))&gt;=100000), " ",IF(INDEX($P$2:$S$1001,MATCH(ROWS($I$2:I600),$I$2:$I$1001,0),MATCH(COLUMNS($P$1006:S1006),$P$1006:$S$1006,0)), HYPERLINK("#",""), HYPERLINK(CONCATENATE("#metadata!", ADDRESS(INDEX($K$2:$K$1001,MATCH(ROWS($I$2:I600),$I$2:$I$1001,0),0), INDEX($P$1004:$S$1004,1,MATCH(COLUMNS($P$1006:S1006),$P$1006:$S$1006,0)))),"Fix")))</f>
        <v>0</v>
      </c>
      <c r="I600">
        <v>0</v>
      </c>
      <c r="J600">
        <v>0</v>
      </c>
      <c r="K600">
        <v>0</v>
      </c>
      <c r="L600">
        <f>IF(M600,TRUE,AND(P600:S600))</f>
        <v>0</v>
      </c>
      <c r="M600">
        <f>COUNTBLANK(metadata!B600:E600)=COLUMNS(metadata!B600:E600)</f>
        <v>0</v>
      </c>
      <c r="N600">
        <v>0</v>
      </c>
      <c r="P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Q600">
        <f>AND(IF(metadata!C600="",FALSE,TRUE),exact(metadata!C600,"other"))</f>
        <v>0</v>
      </c>
      <c r="R600">
        <f>AND(IF(metadata!D600="",FALSE,TRUE),exact(metadata!D600,"metagenome"))</f>
        <v>0</v>
      </c>
      <c r="S600">
        <f>AND(IF(metadata!E600="",FALSE,TRUE),exact(metadata!E600,"256318"))</f>
        <v>0</v>
      </c>
    </row>
    <row r="601" spans="1:19">
      <c r="A601" s="4">
        <f>IF(B601=" "," ",HYPERLINK(CONCATENATE("#metadata!",ADDRESS(INDEX($K$2:$K$1001,MATCH(ROWS($I$2:I601),$I$2:$I$1001,0),0),1)),INDEX($N$2:$N$1001,MATCH(ROWS($I$2:I601),$I$2:$I$1001,0),0)))</f>
        <v>0</v>
      </c>
      <c r="B601" s="3">
        <f>IF(OR(INDEX($J$2:$J$1001,MATCH(ROWS($I$2:I601),$I$2:$I$1001,0),1)&gt;=100000,INDEX($P$1005:$S$1005,1,MATCH(COLUMNS($P$1006:P1006),$P$1006:$S$1006,0))&gt;=100000), " ",IF(INDEX($P$2:$S$1001,MATCH(ROWS($I$2:I601),$I$2:$I$1001,0),MATCH(COLUMNS($P$1006:P1006),$P$1006:$S$1006,0)), HYPERLINK("#",""), HYPERLINK(CONCATENATE("#metadata!", ADDRESS(INDEX($K$2:$K$1001,MATCH(ROWS($I$2:I601),$I$2:$I$1001,0),0), INDEX($P$1004:$S$1004,1,MATCH(COLUMNS($P$1006:P1006),$P$1006:$S$1006,0)))),"Fix")))</f>
        <v>0</v>
      </c>
      <c r="C601" s="3">
        <f>IF(OR(INDEX($J$2:$J$1001,MATCH(ROWS($I$2:I601),$I$2:$I$1001,0),1)&gt;=100000,INDEX($P$1005:$S$1005,1,MATCH(COLUMNS($P$1006:Q1006),$P$1006:$S$1006,0))&gt;=100000), " ",IF(INDEX($P$2:$S$1001,MATCH(ROWS($I$2:I601),$I$2:$I$1001,0),MATCH(COLUMNS($P$1006:Q1006),$P$1006:$S$1006,0)), HYPERLINK("#",""), HYPERLINK(CONCATENATE("#metadata!", ADDRESS(INDEX($K$2:$K$1001,MATCH(ROWS($I$2:I601),$I$2:$I$1001,0),0), INDEX($P$1004:$S$1004,1,MATCH(COLUMNS($P$1006:Q1006),$P$1006:$S$1006,0)))),"Fix")))</f>
        <v>0</v>
      </c>
      <c r="D601" s="3">
        <f>IF(OR(INDEX($J$2:$J$1001,MATCH(ROWS($I$2:I601),$I$2:$I$1001,0),1)&gt;=100000,INDEX($P$1005:$S$1005,1,MATCH(COLUMNS($P$1006:R1006),$P$1006:$S$1006,0))&gt;=100000), " ",IF(INDEX($P$2:$S$1001,MATCH(ROWS($I$2:I601),$I$2:$I$1001,0),MATCH(COLUMNS($P$1006:R1006),$P$1006:$S$1006,0)), HYPERLINK("#",""), HYPERLINK(CONCATENATE("#metadata!", ADDRESS(INDEX($K$2:$K$1001,MATCH(ROWS($I$2:I601),$I$2:$I$1001,0),0), INDEX($P$1004:$S$1004,1,MATCH(COLUMNS($P$1006:R1006),$P$1006:$S$1006,0)))),"Fix")))</f>
        <v>0</v>
      </c>
      <c r="E601" s="3">
        <f>IF(OR(INDEX($J$2:$J$1001,MATCH(ROWS($I$2:I601),$I$2:$I$1001,0),1)&gt;=100000,INDEX($P$1005:$S$1005,1,MATCH(COLUMNS($P$1006:S1006),$P$1006:$S$1006,0))&gt;=100000), " ",IF(INDEX($P$2:$S$1001,MATCH(ROWS($I$2:I601),$I$2:$I$1001,0),MATCH(COLUMNS($P$1006:S1006),$P$1006:$S$1006,0)), HYPERLINK("#",""), HYPERLINK(CONCATENATE("#metadata!", ADDRESS(INDEX($K$2:$K$1001,MATCH(ROWS($I$2:I601),$I$2:$I$1001,0),0), INDEX($P$1004:$S$1004,1,MATCH(COLUMNS($P$1006:S1006),$P$1006:$S$1006,0)))),"Fix")))</f>
        <v>0</v>
      </c>
      <c r="I601">
        <v>0</v>
      </c>
      <c r="J601">
        <v>0</v>
      </c>
      <c r="K601">
        <v>0</v>
      </c>
      <c r="L601">
        <f>IF(M601,TRUE,AND(P601:S601))</f>
        <v>0</v>
      </c>
      <c r="M601">
        <f>COUNTBLANK(metadata!B601:E601)=COLUMNS(metadata!B601:E601)</f>
        <v>0</v>
      </c>
      <c r="N601">
        <v>0</v>
      </c>
      <c r="P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Q601">
        <f>AND(IF(metadata!C601="",FALSE,TRUE),exact(metadata!C601,"other"))</f>
        <v>0</v>
      </c>
      <c r="R601">
        <f>AND(IF(metadata!D601="",FALSE,TRUE),exact(metadata!D601,"metagenome"))</f>
        <v>0</v>
      </c>
      <c r="S601">
        <f>AND(IF(metadata!E601="",FALSE,TRUE),exact(metadata!E601,"256318"))</f>
        <v>0</v>
      </c>
    </row>
    <row r="602" spans="1:19">
      <c r="A602" s="4">
        <f>IF(B602=" "," ",HYPERLINK(CONCATENATE("#metadata!",ADDRESS(INDEX($K$2:$K$1001,MATCH(ROWS($I$2:I602),$I$2:$I$1001,0),0),1)),INDEX($N$2:$N$1001,MATCH(ROWS($I$2:I602),$I$2:$I$1001,0),0)))</f>
        <v>0</v>
      </c>
      <c r="B602" s="3">
        <f>IF(OR(INDEX($J$2:$J$1001,MATCH(ROWS($I$2:I602),$I$2:$I$1001,0),1)&gt;=100000,INDEX($P$1005:$S$1005,1,MATCH(COLUMNS($P$1006:P1006),$P$1006:$S$1006,0))&gt;=100000), " ",IF(INDEX($P$2:$S$1001,MATCH(ROWS($I$2:I602),$I$2:$I$1001,0),MATCH(COLUMNS($P$1006:P1006),$P$1006:$S$1006,0)), HYPERLINK("#",""), HYPERLINK(CONCATENATE("#metadata!", ADDRESS(INDEX($K$2:$K$1001,MATCH(ROWS($I$2:I602),$I$2:$I$1001,0),0), INDEX($P$1004:$S$1004,1,MATCH(COLUMNS($P$1006:P1006),$P$1006:$S$1006,0)))),"Fix")))</f>
        <v>0</v>
      </c>
      <c r="C602" s="3">
        <f>IF(OR(INDEX($J$2:$J$1001,MATCH(ROWS($I$2:I602),$I$2:$I$1001,0),1)&gt;=100000,INDEX($P$1005:$S$1005,1,MATCH(COLUMNS($P$1006:Q1006),$P$1006:$S$1006,0))&gt;=100000), " ",IF(INDEX($P$2:$S$1001,MATCH(ROWS($I$2:I602),$I$2:$I$1001,0),MATCH(COLUMNS($P$1006:Q1006),$P$1006:$S$1006,0)), HYPERLINK("#",""), HYPERLINK(CONCATENATE("#metadata!", ADDRESS(INDEX($K$2:$K$1001,MATCH(ROWS($I$2:I602),$I$2:$I$1001,0),0), INDEX($P$1004:$S$1004,1,MATCH(COLUMNS($P$1006:Q1006),$P$1006:$S$1006,0)))),"Fix")))</f>
        <v>0</v>
      </c>
      <c r="D602" s="3">
        <f>IF(OR(INDEX($J$2:$J$1001,MATCH(ROWS($I$2:I602),$I$2:$I$1001,0),1)&gt;=100000,INDEX($P$1005:$S$1005,1,MATCH(COLUMNS($P$1006:R1006),$P$1006:$S$1006,0))&gt;=100000), " ",IF(INDEX($P$2:$S$1001,MATCH(ROWS($I$2:I602),$I$2:$I$1001,0),MATCH(COLUMNS($P$1006:R1006),$P$1006:$S$1006,0)), HYPERLINK("#",""), HYPERLINK(CONCATENATE("#metadata!", ADDRESS(INDEX($K$2:$K$1001,MATCH(ROWS($I$2:I602),$I$2:$I$1001,0),0), INDEX($P$1004:$S$1004,1,MATCH(COLUMNS($P$1006:R1006),$P$1006:$S$1006,0)))),"Fix")))</f>
        <v>0</v>
      </c>
      <c r="E602" s="3">
        <f>IF(OR(INDEX($J$2:$J$1001,MATCH(ROWS($I$2:I602),$I$2:$I$1001,0),1)&gt;=100000,INDEX($P$1005:$S$1005,1,MATCH(COLUMNS($P$1006:S1006),$P$1006:$S$1006,0))&gt;=100000), " ",IF(INDEX($P$2:$S$1001,MATCH(ROWS($I$2:I602),$I$2:$I$1001,0),MATCH(COLUMNS($P$1006:S1006),$P$1006:$S$1006,0)), HYPERLINK("#",""), HYPERLINK(CONCATENATE("#metadata!", ADDRESS(INDEX($K$2:$K$1001,MATCH(ROWS($I$2:I602),$I$2:$I$1001,0),0), INDEX($P$1004:$S$1004,1,MATCH(COLUMNS($P$1006:S1006),$P$1006:$S$1006,0)))),"Fix")))</f>
        <v>0</v>
      </c>
      <c r="I602">
        <v>0</v>
      </c>
      <c r="J602">
        <v>0</v>
      </c>
      <c r="K602">
        <v>0</v>
      </c>
      <c r="L602">
        <f>IF(M602,TRUE,AND(P602:S602))</f>
        <v>0</v>
      </c>
      <c r="M602">
        <f>COUNTBLANK(metadata!B602:E602)=COLUMNS(metadata!B602:E602)</f>
        <v>0</v>
      </c>
      <c r="N602">
        <v>0</v>
      </c>
      <c r="P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Q602">
        <f>AND(IF(metadata!C602="",FALSE,TRUE),exact(metadata!C602,"other"))</f>
        <v>0</v>
      </c>
      <c r="R602">
        <f>AND(IF(metadata!D602="",FALSE,TRUE),exact(metadata!D602,"metagenome"))</f>
        <v>0</v>
      </c>
      <c r="S602">
        <f>AND(IF(metadata!E602="",FALSE,TRUE),exact(metadata!E602,"256318"))</f>
        <v>0</v>
      </c>
    </row>
    <row r="603" spans="1:19">
      <c r="A603" s="4">
        <f>IF(B603=" "," ",HYPERLINK(CONCATENATE("#metadata!",ADDRESS(INDEX($K$2:$K$1001,MATCH(ROWS($I$2:I603),$I$2:$I$1001,0),0),1)),INDEX($N$2:$N$1001,MATCH(ROWS($I$2:I603),$I$2:$I$1001,0),0)))</f>
        <v>0</v>
      </c>
      <c r="B603" s="3">
        <f>IF(OR(INDEX($J$2:$J$1001,MATCH(ROWS($I$2:I603),$I$2:$I$1001,0),1)&gt;=100000,INDEX($P$1005:$S$1005,1,MATCH(COLUMNS($P$1006:P1006),$P$1006:$S$1006,0))&gt;=100000), " ",IF(INDEX($P$2:$S$1001,MATCH(ROWS($I$2:I603),$I$2:$I$1001,0),MATCH(COLUMNS($P$1006:P1006),$P$1006:$S$1006,0)), HYPERLINK("#",""), HYPERLINK(CONCATENATE("#metadata!", ADDRESS(INDEX($K$2:$K$1001,MATCH(ROWS($I$2:I603),$I$2:$I$1001,0),0), INDEX($P$1004:$S$1004,1,MATCH(COLUMNS($P$1006:P1006),$P$1006:$S$1006,0)))),"Fix")))</f>
        <v>0</v>
      </c>
      <c r="C603" s="3">
        <f>IF(OR(INDEX($J$2:$J$1001,MATCH(ROWS($I$2:I603),$I$2:$I$1001,0),1)&gt;=100000,INDEX($P$1005:$S$1005,1,MATCH(COLUMNS($P$1006:Q1006),$P$1006:$S$1006,0))&gt;=100000), " ",IF(INDEX($P$2:$S$1001,MATCH(ROWS($I$2:I603),$I$2:$I$1001,0),MATCH(COLUMNS($P$1006:Q1006),$P$1006:$S$1006,0)), HYPERLINK("#",""), HYPERLINK(CONCATENATE("#metadata!", ADDRESS(INDEX($K$2:$K$1001,MATCH(ROWS($I$2:I603),$I$2:$I$1001,0),0), INDEX($P$1004:$S$1004,1,MATCH(COLUMNS($P$1006:Q1006),$P$1006:$S$1006,0)))),"Fix")))</f>
        <v>0</v>
      </c>
      <c r="D603" s="3">
        <f>IF(OR(INDEX($J$2:$J$1001,MATCH(ROWS($I$2:I603),$I$2:$I$1001,0),1)&gt;=100000,INDEX($P$1005:$S$1005,1,MATCH(COLUMNS($P$1006:R1006),$P$1006:$S$1006,0))&gt;=100000), " ",IF(INDEX($P$2:$S$1001,MATCH(ROWS($I$2:I603),$I$2:$I$1001,0),MATCH(COLUMNS($P$1006:R1006),$P$1006:$S$1006,0)), HYPERLINK("#",""), HYPERLINK(CONCATENATE("#metadata!", ADDRESS(INDEX($K$2:$K$1001,MATCH(ROWS($I$2:I603),$I$2:$I$1001,0),0), INDEX($P$1004:$S$1004,1,MATCH(COLUMNS($P$1006:R1006),$P$1006:$S$1006,0)))),"Fix")))</f>
        <v>0</v>
      </c>
      <c r="E603" s="3">
        <f>IF(OR(INDEX($J$2:$J$1001,MATCH(ROWS($I$2:I603),$I$2:$I$1001,0),1)&gt;=100000,INDEX($P$1005:$S$1005,1,MATCH(COLUMNS($P$1006:S1006),$P$1006:$S$1006,0))&gt;=100000), " ",IF(INDEX($P$2:$S$1001,MATCH(ROWS($I$2:I603),$I$2:$I$1001,0),MATCH(COLUMNS($P$1006:S1006),$P$1006:$S$1006,0)), HYPERLINK("#",""), HYPERLINK(CONCATENATE("#metadata!", ADDRESS(INDEX($K$2:$K$1001,MATCH(ROWS($I$2:I603),$I$2:$I$1001,0),0), INDEX($P$1004:$S$1004,1,MATCH(COLUMNS($P$1006:S1006),$P$1006:$S$1006,0)))),"Fix")))</f>
        <v>0</v>
      </c>
      <c r="I603">
        <v>0</v>
      </c>
      <c r="J603">
        <v>0</v>
      </c>
      <c r="K603">
        <v>0</v>
      </c>
      <c r="L603">
        <f>IF(M603,TRUE,AND(P603:S603))</f>
        <v>0</v>
      </c>
      <c r="M603">
        <f>COUNTBLANK(metadata!B603:E603)=COLUMNS(metadata!B603:E603)</f>
        <v>0</v>
      </c>
      <c r="N603">
        <v>0</v>
      </c>
      <c r="P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Q603">
        <f>AND(IF(metadata!C603="",FALSE,TRUE),exact(metadata!C603,"other"))</f>
        <v>0</v>
      </c>
      <c r="R603">
        <f>AND(IF(metadata!D603="",FALSE,TRUE),exact(metadata!D603,"metagenome"))</f>
        <v>0</v>
      </c>
      <c r="S603">
        <f>AND(IF(metadata!E603="",FALSE,TRUE),exact(metadata!E603,"256318"))</f>
        <v>0</v>
      </c>
    </row>
    <row r="604" spans="1:19">
      <c r="A604" s="4">
        <f>IF(B604=" "," ",HYPERLINK(CONCATENATE("#metadata!",ADDRESS(INDEX($K$2:$K$1001,MATCH(ROWS($I$2:I604),$I$2:$I$1001,0),0),1)),INDEX($N$2:$N$1001,MATCH(ROWS($I$2:I604),$I$2:$I$1001,0),0)))</f>
        <v>0</v>
      </c>
      <c r="B604" s="3">
        <f>IF(OR(INDEX($J$2:$J$1001,MATCH(ROWS($I$2:I604),$I$2:$I$1001,0),1)&gt;=100000,INDEX($P$1005:$S$1005,1,MATCH(COLUMNS($P$1006:P1006),$P$1006:$S$1006,0))&gt;=100000), " ",IF(INDEX($P$2:$S$1001,MATCH(ROWS($I$2:I604),$I$2:$I$1001,0),MATCH(COLUMNS($P$1006:P1006),$P$1006:$S$1006,0)), HYPERLINK("#",""), HYPERLINK(CONCATENATE("#metadata!", ADDRESS(INDEX($K$2:$K$1001,MATCH(ROWS($I$2:I604),$I$2:$I$1001,0),0), INDEX($P$1004:$S$1004,1,MATCH(COLUMNS($P$1006:P1006),$P$1006:$S$1006,0)))),"Fix")))</f>
        <v>0</v>
      </c>
      <c r="C604" s="3">
        <f>IF(OR(INDEX($J$2:$J$1001,MATCH(ROWS($I$2:I604),$I$2:$I$1001,0),1)&gt;=100000,INDEX($P$1005:$S$1005,1,MATCH(COLUMNS($P$1006:Q1006),$P$1006:$S$1006,0))&gt;=100000), " ",IF(INDEX($P$2:$S$1001,MATCH(ROWS($I$2:I604),$I$2:$I$1001,0),MATCH(COLUMNS($P$1006:Q1006),$P$1006:$S$1006,0)), HYPERLINK("#",""), HYPERLINK(CONCATENATE("#metadata!", ADDRESS(INDEX($K$2:$K$1001,MATCH(ROWS($I$2:I604),$I$2:$I$1001,0),0), INDEX($P$1004:$S$1004,1,MATCH(COLUMNS($P$1006:Q1006),$P$1006:$S$1006,0)))),"Fix")))</f>
        <v>0</v>
      </c>
      <c r="D604" s="3">
        <f>IF(OR(INDEX($J$2:$J$1001,MATCH(ROWS($I$2:I604),$I$2:$I$1001,0),1)&gt;=100000,INDEX($P$1005:$S$1005,1,MATCH(COLUMNS($P$1006:R1006),$P$1006:$S$1006,0))&gt;=100000), " ",IF(INDEX($P$2:$S$1001,MATCH(ROWS($I$2:I604),$I$2:$I$1001,0),MATCH(COLUMNS($P$1006:R1006),$P$1006:$S$1006,0)), HYPERLINK("#",""), HYPERLINK(CONCATENATE("#metadata!", ADDRESS(INDEX($K$2:$K$1001,MATCH(ROWS($I$2:I604),$I$2:$I$1001,0),0), INDEX($P$1004:$S$1004,1,MATCH(COLUMNS($P$1006:R1006),$P$1006:$S$1006,0)))),"Fix")))</f>
        <v>0</v>
      </c>
      <c r="E604" s="3">
        <f>IF(OR(INDEX($J$2:$J$1001,MATCH(ROWS($I$2:I604),$I$2:$I$1001,0),1)&gt;=100000,INDEX($P$1005:$S$1005,1,MATCH(COLUMNS($P$1006:S1006),$P$1006:$S$1006,0))&gt;=100000), " ",IF(INDEX($P$2:$S$1001,MATCH(ROWS($I$2:I604),$I$2:$I$1001,0),MATCH(COLUMNS($P$1006:S1006),$P$1006:$S$1006,0)), HYPERLINK("#",""), HYPERLINK(CONCATENATE("#metadata!", ADDRESS(INDEX($K$2:$K$1001,MATCH(ROWS($I$2:I604),$I$2:$I$1001,0),0), INDEX($P$1004:$S$1004,1,MATCH(COLUMNS($P$1006:S1006),$P$1006:$S$1006,0)))),"Fix")))</f>
        <v>0</v>
      </c>
      <c r="I604">
        <v>0</v>
      </c>
      <c r="J604">
        <v>0</v>
      </c>
      <c r="K604">
        <v>0</v>
      </c>
      <c r="L604">
        <f>IF(M604,TRUE,AND(P604:S604))</f>
        <v>0</v>
      </c>
      <c r="M604">
        <f>COUNTBLANK(metadata!B604:E604)=COLUMNS(metadata!B604:E604)</f>
        <v>0</v>
      </c>
      <c r="N604">
        <v>0</v>
      </c>
      <c r="P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Q604">
        <f>AND(IF(metadata!C604="",FALSE,TRUE),exact(metadata!C604,"other"))</f>
        <v>0</v>
      </c>
      <c r="R604">
        <f>AND(IF(metadata!D604="",FALSE,TRUE),exact(metadata!D604,"metagenome"))</f>
        <v>0</v>
      </c>
      <c r="S604">
        <f>AND(IF(metadata!E604="",FALSE,TRUE),exact(metadata!E604,"256318"))</f>
        <v>0</v>
      </c>
    </row>
    <row r="605" spans="1:19">
      <c r="A605" s="4">
        <f>IF(B605=" "," ",HYPERLINK(CONCATENATE("#metadata!",ADDRESS(INDEX($K$2:$K$1001,MATCH(ROWS($I$2:I605),$I$2:$I$1001,0),0),1)),INDEX($N$2:$N$1001,MATCH(ROWS($I$2:I605),$I$2:$I$1001,0),0)))</f>
        <v>0</v>
      </c>
      <c r="B605" s="3">
        <f>IF(OR(INDEX($J$2:$J$1001,MATCH(ROWS($I$2:I605),$I$2:$I$1001,0),1)&gt;=100000,INDEX($P$1005:$S$1005,1,MATCH(COLUMNS($P$1006:P1006),$P$1006:$S$1006,0))&gt;=100000), " ",IF(INDEX($P$2:$S$1001,MATCH(ROWS($I$2:I605),$I$2:$I$1001,0),MATCH(COLUMNS($P$1006:P1006),$P$1006:$S$1006,0)), HYPERLINK("#",""), HYPERLINK(CONCATENATE("#metadata!", ADDRESS(INDEX($K$2:$K$1001,MATCH(ROWS($I$2:I605),$I$2:$I$1001,0),0), INDEX($P$1004:$S$1004,1,MATCH(COLUMNS($P$1006:P1006),$P$1006:$S$1006,0)))),"Fix")))</f>
        <v>0</v>
      </c>
      <c r="C605" s="3">
        <f>IF(OR(INDEX($J$2:$J$1001,MATCH(ROWS($I$2:I605),$I$2:$I$1001,0),1)&gt;=100000,INDEX($P$1005:$S$1005,1,MATCH(COLUMNS($P$1006:Q1006),$P$1006:$S$1006,0))&gt;=100000), " ",IF(INDEX($P$2:$S$1001,MATCH(ROWS($I$2:I605),$I$2:$I$1001,0),MATCH(COLUMNS($P$1006:Q1006),$P$1006:$S$1006,0)), HYPERLINK("#",""), HYPERLINK(CONCATENATE("#metadata!", ADDRESS(INDEX($K$2:$K$1001,MATCH(ROWS($I$2:I605),$I$2:$I$1001,0),0), INDEX($P$1004:$S$1004,1,MATCH(COLUMNS($P$1006:Q1006),$P$1006:$S$1006,0)))),"Fix")))</f>
        <v>0</v>
      </c>
      <c r="D605" s="3">
        <f>IF(OR(INDEX($J$2:$J$1001,MATCH(ROWS($I$2:I605),$I$2:$I$1001,0),1)&gt;=100000,INDEX($P$1005:$S$1005,1,MATCH(COLUMNS($P$1006:R1006),$P$1006:$S$1006,0))&gt;=100000), " ",IF(INDEX($P$2:$S$1001,MATCH(ROWS($I$2:I605),$I$2:$I$1001,0),MATCH(COLUMNS($P$1006:R1006),$P$1006:$S$1006,0)), HYPERLINK("#",""), HYPERLINK(CONCATENATE("#metadata!", ADDRESS(INDEX($K$2:$K$1001,MATCH(ROWS($I$2:I605),$I$2:$I$1001,0),0), INDEX($P$1004:$S$1004,1,MATCH(COLUMNS($P$1006:R1006),$P$1006:$S$1006,0)))),"Fix")))</f>
        <v>0</v>
      </c>
      <c r="E605" s="3">
        <f>IF(OR(INDEX($J$2:$J$1001,MATCH(ROWS($I$2:I605),$I$2:$I$1001,0),1)&gt;=100000,INDEX($P$1005:$S$1005,1,MATCH(COLUMNS($P$1006:S1006),$P$1006:$S$1006,0))&gt;=100000), " ",IF(INDEX($P$2:$S$1001,MATCH(ROWS($I$2:I605),$I$2:$I$1001,0),MATCH(COLUMNS($P$1006:S1006),$P$1006:$S$1006,0)), HYPERLINK("#",""), HYPERLINK(CONCATENATE("#metadata!", ADDRESS(INDEX($K$2:$K$1001,MATCH(ROWS($I$2:I605),$I$2:$I$1001,0),0), INDEX($P$1004:$S$1004,1,MATCH(COLUMNS($P$1006:S1006),$P$1006:$S$1006,0)))),"Fix")))</f>
        <v>0</v>
      </c>
      <c r="I605">
        <v>0</v>
      </c>
      <c r="J605">
        <v>0</v>
      </c>
      <c r="K605">
        <v>0</v>
      </c>
      <c r="L605">
        <f>IF(M605,TRUE,AND(P605:S605))</f>
        <v>0</v>
      </c>
      <c r="M605">
        <f>COUNTBLANK(metadata!B605:E605)=COLUMNS(metadata!B605:E605)</f>
        <v>0</v>
      </c>
      <c r="N605">
        <v>0</v>
      </c>
      <c r="P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Q605">
        <f>AND(IF(metadata!C605="",FALSE,TRUE),exact(metadata!C605,"other"))</f>
        <v>0</v>
      </c>
      <c r="R605">
        <f>AND(IF(metadata!D605="",FALSE,TRUE),exact(metadata!D605,"metagenome"))</f>
        <v>0</v>
      </c>
      <c r="S605">
        <f>AND(IF(metadata!E605="",FALSE,TRUE),exact(metadata!E605,"256318"))</f>
        <v>0</v>
      </c>
    </row>
    <row r="606" spans="1:19">
      <c r="A606" s="4">
        <f>IF(B606=" "," ",HYPERLINK(CONCATENATE("#metadata!",ADDRESS(INDEX($K$2:$K$1001,MATCH(ROWS($I$2:I606),$I$2:$I$1001,0),0),1)),INDEX($N$2:$N$1001,MATCH(ROWS($I$2:I606),$I$2:$I$1001,0),0)))</f>
        <v>0</v>
      </c>
      <c r="B606" s="3">
        <f>IF(OR(INDEX($J$2:$J$1001,MATCH(ROWS($I$2:I606),$I$2:$I$1001,0),1)&gt;=100000,INDEX($P$1005:$S$1005,1,MATCH(COLUMNS($P$1006:P1006),$P$1006:$S$1006,0))&gt;=100000), " ",IF(INDEX($P$2:$S$1001,MATCH(ROWS($I$2:I606),$I$2:$I$1001,0),MATCH(COLUMNS($P$1006:P1006),$P$1006:$S$1006,0)), HYPERLINK("#",""), HYPERLINK(CONCATENATE("#metadata!", ADDRESS(INDEX($K$2:$K$1001,MATCH(ROWS($I$2:I606),$I$2:$I$1001,0),0), INDEX($P$1004:$S$1004,1,MATCH(COLUMNS($P$1006:P1006),$P$1006:$S$1006,0)))),"Fix")))</f>
        <v>0</v>
      </c>
      <c r="C606" s="3">
        <f>IF(OR(INDEX($J$2:$J$1001,MATCH(ROWS($I$2:I606),$I$2:$I$1001,0),1)&gt;=100000,INDEX($P$1005:$S$1005,1,MATCH(COLUMNS($P$1006:Q1006),$P$1006:$S$1006,0))&gt;=100000), " ",IF(INDEX($P$2:$S$1001,MATCH(ROWS($I$2:I606),$I$2:$I$1001,0),MATCH(COLUMNS($P$1006:Q1006),$P$1006:$S$1006,0)), HYPERLINK("#",""), HYPERLINK(CONCATENATE("#metadata!", ADDRESS(INDEX($K$2:$K$1001,MATCH(ROWS($I$2:I606),$I$2:$I$1001,0),0), INDEX($P$1004:$S$1004,1,MATCH(COLUMNS($P$1006:Q1006),$P$1006:$S$1006,0)))),"Fix")))</f>
        <v>0</v>
      </c>
      <c r="D606" s="3">
        <f>IF(OR(INDEX($J$2:$J$1001,MATCH(ROWS($I$2:I606),$I$2:$I$1001,0),1)&gt;=100000,INDEX($P$1005:$S$1005,1,MATCH(COLUMNS($P$1006:R1006),$P$1006:$S$1006,0))&gt;=100000), " ",IF(INDEX($P$2:$S$1001,MATCH(ROWS($I$2:I606),$I$2:$I$1001,0),MATCH(COLUMNS($P$1006:R1006),$P$1006:$S$1006,0)), HYPERLINK("#",""), HYPERLINK(CONCATENATE("#metadata!", ADDRESS(INDEX($K$2:$K$1001,MATCH(ROWS($I$2:I606),$I$2:$I$1001,0),0), INDEX($P$1004:$S$1004,1,MATCH(COLUMNS($P$1006:R1006),$P$1006:$S$1006,0)))),"Fix")))</f>
        <v>0</v>
      </c>
      <c r="E606" s="3">
        <f>IF(OR(INDEX($J$2:$J$1001,MATCH(ROWS($I$2:I606),$I$2:$I$1001,0),1)&gt;=100000,INDEX($P$1005:$S$1005,1,MATCH(COLUMNS($P$1006:S1006),$P$1006:$S$1006,0))&gt;=100000), " ",IF(INDEX($P$2:$S$1001,MATCH(ROWS($I$2:I606),$I$2:$I$1001,0),MATCH(COLUMNS($P$1006:S1006),$P$1006:$S$1006,0)), HYPERLINK("#",""), HYPERLINK(CONCATENATE("#metadata!", ADDRESS(INDEX($K$2:$K$1001,MATCH(ROWS($I$2:I606),$I$2:$I$1001,0),0), INDEX($P$1004:$S$1004,1,MATCH(COLUMNS($P$1006:S1006),$P$1006:$S$1006,0)))),"Fix")))</f>
        <v>0</v>
      </c>
      <c r="I606">
        <v>0</v>
      </c>
      <c r="J606">
        <v>0</v>
      </c>
      <c r="K606">
        <v>0</v>
      </c>
      <c r="L606">
        <f>IF(M606,TRUE,AND(P606:S606))</f>
        <v>0</v>
      </c>
      <c r="M606">
        <f>COUNTBLANK(metadata!B606:E606)=COLUMNS(metadata!B606:E606)</f>
        <v>0</v>
      </c>
      <c r="N606">
        <v>0</v>
      </c>
      <c r="P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Q606">
        <f>AND(IF(metadata!C606="",FALSE,TRUE),exact(metadata!C606,"other"))</f>
        <v>0</v>
      </c>
      <c r="R606">
        <f>AND(IF(metadata!D606="",FALSE,TRUE),exact(metadata!D606,"metagenome"))</f>
        <v>0</v>
      </c>
      <c r="S606">
        <f>AND(IF(metadata!E606="",FALSE,TRUE),exact(metadata!E606,"256318"))</f>
        <v>0</v>
      </c>
    </row>
    <row r="607" spans="1:19">
      <c r="A607" s="4">
        <f>IF(B607=" "," ",HYPERLINK(CONCATENATE("#metadata!",ADDRESS(INDEX($K$2:$K$1001,MATCH(ROWS($I$2:I607),$I$2:$I$1001,0),0),1)),INDEX($N$2:$N$1001,MATCH(ROWS($I$2:I607),$I$2:$I$1001,0),0)))</f>
        <v>0</v>
      </c>
      <c r="B607" s="3">
        <f>IF(OR(INDEX($J$2:$J$1001,MATCH(ROWS($I$2:I607),$I$2:$I$1001,0),1)&gt;=100000,INDEX($P$1005:$S$1005,1,MATCH(COLUMNS($P$1006:P1006),$P$1006:$S$1006,0))&gt;=100000), " ",IF(INDEX($P$2:$S$1001,MATCH(ROWS($I$2:I607),$I$2:$I$1001,0),MATCH(COLUMNS($P$1006:P1006),$P$1006:$S$1006,0)), HYPERLINK("#",""), HYPERLINK(CONCATENATE("#metadata!", ADDRESS(INDEX($K$2:$K$1001,MATCH(ROWS($I$2:I607),$I$2:$I$1001,0),0), INDEX($P$1004:$S$1004,1,MATCH(COLUMNS($P$1006:P1006),$P$1006:$S$1006,0)))),"Fix")))</f>
        <v>0</v>
      </c>
      <c r="C607" s="3">
        <f>IF(OR(INDEX($J$2:$J$1001,MATCH(ROWS($I$2:I607),$I$2:$I$1001,0),1)&gt;=100000,INDEX($P$1005:$S$1005,1,MATCH(COLUMNS($P$1006:Q1006),$P$1006:$S$1006,0))&gt;=100000), " ",IF(INDEX($P$2:$S$1001,MATCH(ROWS($I$2:I607),$I$2:$I$1001,0),MATCH(COLUMNS($P$1006:Q1006),$P$1006:$S$1006,0)), HYPERLINK("#",""), HYPERLINK(CONCATENATE("#metadata!", ADDRESS(INDEX($K$2:$K$1001,MATCH(ROWS($I$2:I607),$I$2:$I$1001,0),0), INDEX($P$1004:$S$1004,1,MATCH(COLUMNS($P$1006:Q1006),$P$1006:$S$1006,0)))),"Fix")))</f>
        <v>0</v>
      </c>
      <c r="D607" s="3">
        <f>IF(OR(INDEX($J$2:$J$1001,MATCH(ROWS($I$2:I607),$I$2:$I$1001,0),1)&gt;=100000,INDEX($P$1005:$S$1005,1,MATCH(COLUMNS($P$1006:R1006),$P$1006:$S$1006,0))&gt;=100000), " ",IF(INDEX($P$2:$S$1001,MATCH(ROWS($I$2:I607),$I$2:$I$1001,0),MATCH(COLUMNS($P$1006:R1006),$P$1006:$S$1006,0)), HYPERLINK("#",""), HYPERLINK(CONCATENATE("#metadata!", ADDRESS(INDEX($K$2:$K$1001,MATCH(ROWS($I$2:I607),$I$2:$I$1001,0),0), INDEX($P$1004:$S$1004,1,MATCH(COLUMNS($P$1006:R1006),$P$1006:$S$1006,0)))),"Fix")))</f>
        <v>0</v>
      </c>
      <c r="E607" s="3">
        <f>IF(OR(INDEX($J$2:$J$1001,MATCH(ROWS($I$2:I607),$I$2:$I$1001,0),1)&gt;=100000,INDEX($P$1005:$S$1005,1,MATCH(COLUMNS($P$1006:S1006),$P$1006:$S$1006,0))&gt;=100000), " ",IF(INDEX($P$2:$S$1001,MATCH(ROWS($I$2:I607),$I$2:$I$1001,0),MATCH(COLUMNS($P$1006:S1006),$P$1006:$S$1006,0)), HYPERLINK("#",""), HYPERLINK(CONCATENATE("#metadata!", ADDRESS(INDEX($K$2:$K$1001,MATCH(ROWS($I$2:I607),$I$2:$I$1001,0),0), INDEX($P$1004:$S$1004,1,MATCH(COLUMNS($P$1006:S1006),$P$1006:$S$1006,0)))),"Fix")))</f>
        <v>0</v>
      </c>
      <c r="I607">
        <v>0</v>
      </c>
      <c r="J607">
        <v>0</v>
      </c>
      <c r="K607">
        <v>0</v>
      </c>
      <c r="L607">
        <f>IF(M607,TRUE,AND(P607:S607))</f>
        <v>0</v>
      </c>
      <c r="M607">
        <f>COUNTBLANK(metadata!B607:E607)=COLUMNS(metadata!B607:E607)</f>
        <v>0</v>
      </c>
      <c r="N607">
        <v>0</v>
      </c>
      <c r="P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Q607">
        <f>AND(IF(metadata!C607="",FALSE,TRUE),exact(metadata!C607,"other"))</f>
        <v>0</v>
      </c>
      <c r="R607">
        <f>AND(IF(metadata!D607="",FALSE,TRUE),exact(metadata!D607,"metagenome"))</f>
        <v>0</v>
      </c>
      <c r="S607">
        <f>AND(IF(metadata!E607="",FALSE,TRUE),exact(metadata!E607,"256318"))</f>
        <v>0</v>
      </c>
    </row>
    <row r="608" spans="1:19">
      <c r="A608" s="4">
        <f>IF(B608=" "," ",HYPERLINK(CONCATENATE("#metadata!",ADDRESS(INDEX($K$2:$K$1001,MATCH(ROWS($I$2:I608),$I$2:$I$1001,0),0),1)),INDEX($N$2:$N$1001,MATCH(ROWS($I$2:I608),$I$2:$I$1001,0),0)))</f>
        <v>0</v>
      </c>
      <c r="B608" s="3">
        <f>IF(OR(INDEX($J$2:$J$1001,MATCH(ROWS($I$2:I608),$I$2:$I$1001,0),1)&gt;=100000,INDEX($P$1005:$S$1005,1,MATCH(COLUMNS($P$1006:P1006),$P$1006:$S$1006,0))&gt;=100000), " ",IF(INDEX($P$2:$S$1001,MATCH(ROWS($I$2:I608),$I$2:$I$1001,0),MATCH(COLUMNS($P$1006:P1006),$P$1006:$S$1006,0)), HYPERLINK("#",""), HYPERLINK(CONCATENATE("#metadata!", ADDRESS(INDEX($K$2:$K$1001,MATCH(ROWS($I$2:I608),$I$2:$I$1001,0),0), INDEX($P$1004:$S$1004,1,MATCH(COLUMNS($P$1006:P1006),$P$1006:$S$1006,0)))),"Fix")))</f>
        <v>0</v>
      </c>
      <c r="C608" s="3">
        <f>IF(OR(INDEX($J$2:$J$1001,MATCH(ROWS($I$2:I608),$I$2:$I$1001,0),1)&gt;=100000,INDEX($P$1005:$S$1005,1,MATCH(COLUMNS($P$1006:Q1006),$P$1006:$S$1006,0))&gt;=100000), " ",IF(INDEX($P$2:$S$1001,MATCH(ROWS($I$2:I608),$I$2:$I$1001,0),MATCH(COLUMNS($P$1006:Q1006),$P$1006:$S$1006,0)), HYPERLINK("#",""), HYPERLINK(CONCATENATE("#metadata!", ADDRESS(INDEX($K$2:$K$1001,MATCH(ROWS($I$2:I608),$I$2:$I$1001,0),0), INDEX($P$1004:$S$1004,1,MATCH(COLUMNS($P$1006:Q1006),$P$1006:$S$1006,0)))),"Fix")))</f>
        <v>0</v>
      </c>
      <c r="D608" s="3">
        <f>IF(OR(INDEX($J$2:$J$1001,MATCH(ROWS($I$2:I608),$I$2:$I$1001,0),1)&gt;=100000,INDEX($P$1005:$S$1005,1,MATCH(COLUMNS($P$1006:R1006),$P$1006:$S$1006,0))&gt;=100000), " ",IF(INDEX($P$2:$S$1001,MATCH(ROWS($I$2:I608),$I$2:$I$1001,0),MATCH(COLUMNS($P$1006:R1006),$P$1006:$S$1006,0)), HYPERLINK("#",""), HYPERLINK(CONCATENATE("#metadata!", ADDRESS(INDEX($K$2:$K$1001,MATCH(ROWS($I$2:I608),$I$2:$I$1001,0),0), INDEX($P$1004:$S$1004,1,MATCH(COLUMNS($P$1006:R1006),$P$1006:$S$1006,0)))),"Fix")))</f>
        <v>0</v>
      </c>
      <c r="E608" s="3">
        <f>IF(OR(INDEX($J$2:$J$1001,MATCH(ROWS($I$2:I608),$I$2:$I$1001,0),1)&gt;=100000,INDEX($P$1005:$S$1005,1,MATCH(COLUMNS($P$1006:S1006),$P$1006:$S$1006,0))&gt;=100000), " ",IF(INDEX($P$2:$S$1001,MATCH(ROWS($I$2:I608),$I$2:$I$1001,0),MATCH(COLUMNS($P$1006:S1006),$P$1006:$S$1006,0)), HYPERLINK("#",""), HYPERLINK(CONCATENATE("#metadata!", ADDRESS(INDEX($K$2:$K$1001,MATCH(ROWS($I$2:I608),$I$2:$I$1001,0),0), INDEX($P$1004:$S$1004,1,MATCH(COLUMNS($P$1006:S1006),$P$1006:$S$1006,0)))),"Fix")))</f>
        <v>0</v>
      </c>
      <c r="I608">
        <v>0</v>
      </c>
      <c r="J608">
        <v>0</v>
      </c>
      <c r="K608">
        <v>0</v>
      </c>
      <c r="L608">
        <f>IF(M608,TRUE,AND(P608:S608))</f>
        <v>0</v>
      </c>
      <c r="M608">
        <f>COUNTBLANK(metadata!B608:E608)=COLUMNS(metadata!B608:E608)</f>
        <v>0</v>
      </c>
      <c r="N608">
        <v>0</v>
      </c>
      <c r="P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Q608">
        <f>AND(IF(metadata!C608="",FALSE,TRUE),exact(metadata!C608,"other"))</f>
        <v>0</v>
      </c>
      <c r="R608">
        <f>AND(IF(metadata!D608="",FALSE,TRUE),exact(metadata!D608,"metagenome"))</f>
        <v>0</v>
      </c>
      <c r="S608">
        <f>AND(IF(metadata!E608="",FALSE,TRUE),exact(metadata!E608,"256318"))</f>
        <v>0</v>
      </c>
    </row>
    <row r="609" spans="1:19">
      <c r="A609" s="4">
        <f>IF(B609=" "," ",HYPERLINK(CONCATENATE("#metadata!",ADDRESS(INDEX($K$2:$K$1001,MATCH(ROWS($I$2:I609),$I$2:$I$1001,0),0),1)),INDEX($N$2:$N$1001,MATCH(ROWS($I$2:I609),$I$2:$I$1001,0),0)))</f>
        <v>0</v>
      </c>
      <c r="B609" s="3">
        <f>IF(OR(INDEX($J$2:$J$1001,MATCH(ROWS($I$2:I609),$I$2:$I$1001,0),1)&gt;=100000,INDEX($P$1005:$S$1005,1,MATCH(COLUMNS($P$1006:P1006),$P$1006:$S$1006,0))&gt;=100000), " ",IF(INDEX($P$2:$S$1001,MATCH(ROWS($I$2:I609),$I$2:$I$1001,0),MATCH(COLUMNS($P$1006:P1006),$P$1006:$S$1006,0)), HYPERLINK("#",""), HYPERLINK(CONCATENATE("#metadata!", ADDRESS(INDEX($K$2:$K$1001,MATCH(ROWS($I$2:I609),$I$2:$I$1001,0),0), INDEX($P$1004:$S$1004,1,MATCH(COLUMNS($P$1006:P1006),$P$1006:$S$1006,0)))),"Fix")))</f>
        <v>0</v>
      </c>
      <c r="C609" s="3">
        <f>IF(OR(INDEX($J$2:$J$1001,MATCH(ROWS($I$2:I609),$I$2:$I$1001,0),1)&gt;=100000,INDEX($P$1005:$S$1005,1,MATCH(COLUMNS($P$1006:Q1006),$P$1006:$S$1006,0))&gt;=100000), " ",IF(INDEX($P$2:$S$1001,MATCH(ROWS($I$2:I609),$I$2:$I$1001,0),MATCH(COLUMNS($P$1006:Q1006),$P$1006:$S$1006,0)), HYPERLINK("#",""), HYPERLINK(CONCATENATE("#metadata!", ADDRESS(INDEX($K$2:$K$1001,MATCH(ROWS($I$2:I609),$I$2:$I$1001,0),0), INDEX($P$1004:$S$1004,1,MATCH(COLUMNS($P$1006:Q1006),$P$1006:$S$1006,0)))),"Fix")))</f>
        <v>0</v>
      </c>
      <c r="D609" s="3">
        <f>IF(OR(INDEX($J$2:$J$1001,MATCH(ROWS($I$2:I609),$I$2:$I$1001,0),1)&gt;=100000,INDEX($P$1005:$S$1005,1,MATCH(COLUMNS($P$1006:R1006),$P$1006:$S$1006,0))&gt;=100000), " ",IF(INDEX($P$2:$S$1001,MATCH(ROWS($I$2:I609),$I$2:$I$1001,0),MATCH(COLUMNS($P$1006:R1006),$P$1006:$S$1006,0)), HYPERLINK("#",""), HYPERLINK(CONCATENATE("#metadata!", ADDRESS(INDEX($K$2:$K$1001,MATCH(ROWS($I$2:I609),$I$2:$I$1001,0),0), INDEX($P$1004:$S$1004,1,MATCH(COLUMNS($P$1006:R1006),$P$1006:$S$1006,0)))),"Fix")))</f>
        <v>0</v>
      </c>
      <c r="E609" s="3">
        <f>IF(OR(INDEX($J$2:$J$1001,MATCH(ROWS($I$2:I609),$I$2:$I$1001,0),1)&gt;=100000,INDEX($P$1005:$S$1005,1,MATCH(COLUMNS($P$1006:S1006),$P$1006:$S$1006,0))&gt;=100000), " ",IF(INDEX($P$2:$S$1001,MATCH(ROWS($I$2:I609),$I$2:$I$1001,0),MATCH(COLUMNS($P$1006:S1006),$P$1006:$S$1006,0)), HYPERLINK("#",""), HYPERLINK(CONCATENATE("#metadata!", ADDRESS(INDEX($K$2:$K$1001,MATCH(ROWS($I$2:I609),$I$2:$I$1001,0),0), INDEX($P$1004:$S$1004,1,MATCH(COLUMNS($P$1006:S1006),$P$1006:$S$1006,0)))),"Fix")))</f>
        <v>0</v>
      </c>
      <c r="I609">
        <v>0</v>
      </c>
      <c r="J609">
        <v>0</v>
      </c>
      <c r="K609">
        <v>0</v>
      </c>
      <c r="L609">
        <f>IF(M609,TRUE,AND(P609:S609))</f>
        <v>0</v>
      </c>
      <c r="M609">
        <f>COUNTBLANK(metadata!B609:E609)=COLUMNS(metadata!B609:E609)</f>
        <v>0</v>
      </c>
      <c r="N609">
        <v>0</v>
      </c>
      <c r="P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Q609">
        <f>AND(IF(metadata!C609="",FALSE,TRUE),exact(metadata!C609,"other"))</f>
        <v>0</v>
      </c>
      <c r="R609">
        <f>AND(IF(metadata!D609="",FALSE,TRUE),exact(metadata!D609,"metagenome"))</f>
        <v>0</v>
      </c>
      <c r="S609">
        <f>AND(IF(metadata!E609="",FALSE,TRUE),exact(metadata!E609,"256318"))</f>
        <v>0</v>
      </c>
    </row>
    <row r="610" spans="1:19">
      <c r="A610" s="4">
        <f>IF(B610=" "," ",HYPERLINK(CONCATENATE("#metadata!",ADDRESS(INDEX($K$2:$K$1001,MATCH(ROWS($I$2:I610),$I$2:$I$1001,0),0),1)),INDEX($N$2:$N$1001,MATCH(ROWS($I$2:I610),$I$2:$I$1001,0),0)))</f>
        <v>0</v>
      </c>
      <c r="B610" s="3">
        <f>IF(OR(INDEX($J$2:$J$1001,MATCH(ROWS($I$2:I610),$I$2:$I$1001,0),1)&gt;=100000,INDEX($P$1005:$S$1005,1,MATCH(COLUMNS($P$1006:P1006),$P$1006:$S$1006,0))&gt;=100000), " ",IF(INDEX($P$2:$S$1001,MATCH(ROWS($I$2:I610),$I$2:$I$1001,0),MATCH(COLUMNS($P$1006:P1006),$P$1006:$S$1006,0)), HYPERLINK("#",""), HYPERLINK(CONCATENATE("#metadata!", ADDRESS(INDEX($K$2:$K$1001,MATCH(ROWS($I$2:I610),$I$2:$I$1001,0),0), INDEX($P$1004:$S$1004,1,MATCH(COLUMNS($P$1006:P1006),$P$1006:$S$1006,0)))),"Fix")))</f>
        <v>0</v>
      </c>
      <c r="C610" s="3">
        <f>IF(OR(INDEX($J$2:$J$1001,MATCH(ROWS($I$2:I610),$I$2:$I$1001,0),1)&gt;=100000,INDEX($P$1005:$S$1005,1,MATCH(COLUMNS($P$1006:Q1006),$P$1006:$S$1006,0))&gt;=100000), " ",IF(INDEX($P$2:$S$1001,MATCH(ROWS($I$2:I610),$I$2:$I$1001,0),MATCH(COLUMNS($P$1006:Q1006),$P$1006:$S$1006,0)), HYPERLINK("#",""), HYPERLINK(CONCATENATE("#metadata!", ADDRESS(INDEX($K$2:$K$1001,MATCH(ROWS($I$2:I610),$I$2:$I$1001,0),0), INDEX($P$1004:$S$1004,1,MATCH(COLUMNS($P$1006:Q1006),$P$1006:$S$1006,0)))),"Fix")))</f>
        <v>0</v>
      </c>
      <c r="D610" s="3">
        <f>IF(OR(INDEX($J$2:$J$1001,MATCH(ROWS($I$2:I610),$I$2:$I$1001,0),1)&gt;=100000,INDEX($P$1005:$S$1005,1,MATCH(COLUMNS($P$1006:R1006),$P$1006:$S$1006,0))&gt;=100000), " ",IF(INDEX($P$2:$S$1001,MATCH(ROWS($I$2:I610),$I$2:$I$1001,0),MATCH(COLUMNS($P$1006:R1006),$P$1006:$S$1006,0)), HYPERLINK("#",""), HYPERLINK(CONCATENATE("#metadata!", ADDRESS(INDEX($K$2:$K$1001,MATCH(ROWS($I$2:I610),$I$2:$I$1001,0),0), INDEX($P$1004:$S$1004,1,MATCH(COLUMNS($P$1006:R1006),$P$1006:$S$1006,0)))),"Fix")))</f>
        <v>0</v>
      </c>
      <c r="E610" s="3">
        <f>IF(OR(INDEX($J$2:$J$1001,MATCH(ROWS($I$2:I610),$I$2:$I$1001,0),1)&gt;=100000,INDEX($P$1005:$S$1005,1,MATCH(COLUMNS($P$1006:S1006),$P$1006:$S$1006,0))&gt;=100000), " ",IF(INDEX($P$2:$S$1001,MATCH(ROWS($I$2:I610),$I$2:$I$1001,0),MATCH(COLUMNS($P$1006:S1006),$P$1006:$S$1006,0)), HYPERLINK("#",""), HYPERLINK(CONCATENATE("#metadata!", ADDRESS(INDEX($K$2:$K$1001,MATCH(ROWS($I$2:I610),$I$2:$I$1001,0),0), INDEX($P$1004:$S$1004,1,MATCH(COLUMNS($P$1006:S1006),$P$1006:$S$1006,0)))),"Fix")))</f>
        <v>0</v>
      </c>
      <c r="I610">
        <v>0</v>
      </c>
      <c r="J610">
        <v>0</v>
      </c>
      <c r="K610">
        <v>0</v>
      </c>
      <c r="L610">
        <f>IF(M610,TRUE,AND(P610:S610))</f>
        <v>0</v>
      </c>
      <c r="M610">
        <f>COUNTBLANK(metadata!B610:E610)=COLUMNS(metadata!B610:E610)</f>
        <v>0</v>
      </c>
      <c r="N610">
        <v>0</v>
      </c>
      <c r="P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Q610">
        <f>AND(IF(metadata!C610="",FALSE,TRUE),exact(metadata!C610,"other"))</f>
        <v>0</v>
      </c>
      <c r="R610">
        <f>AND(IF(metadata!D610="",FALSE,TRUE),exact(metadata!D610,"metagenome"))</f>
        <v>0</v>
      </c>
      <c r="S610">
        <f>AND(IF(metadata!E610="",FALSE,TRUE),exact(metadata!E610,"256318"))</f>
        <v>0</v>
      </c>
    </row>
    <row r="611" spans="1:19">
      <c r="A611" s="4">
        <f>IF(B611=" "," ",HYPERLINK(CONCATENATE("#metadata!",ADDRESS(INDEX($K$2:$K$1001,MATCH(ROWS($I$2:I611),$I$2:$I$1001,0),0),1)),INDEX($N$2:$N$1001,MATCH(ROWS($I$2:I611),$I$2:$I$1001,0),0)))</f>
        <v>0</v>
      </c>
      <c r="B611" s="3">
        <f>IF(OR(INDEX($J$2:$J$1001,MATCH(ROWS($I$2:I611),$I$2:$I$1001,0),1)&gt;=100000,INDEX($P$1005:$S$1005,1,MATCH(COLUMNS($P$1006:P1006),$P$1006:$S$1006,0))&gt;=100000), " ",IF(INDEX($P$2:$S$1001,MATCH(ROWS($I$2:I611),$I$2:$I$1001,0),MATCH(COLUMNS($P$1006:P1006),$P$1006:$S$1006,0)), HYPERLINK("#",""), HYPERLINK(CONCATENATE("#metadata!", ADDRESS(INDEX($K$2:$K$1001,MATCH(ROWS($I$2:I611),$I$2:$I$1001,0),0), INDEX($P$1004:$S$1004,1,MATCH(COLUMNS($P$1006:P1006),$P$1006:$S$1006,0)))),"Fix")))</f>
        <v>0</v>
      </c>
      <c r="C611" s="3">
        <f>IF(OR(INDEX($J$2:$J$1001,MATCH(ROWS($I$2:I611),$I$2:$I$1001,0),1)&gt;=100000,INDEX($P$1005:$S$1005,1,MATCH(COLUMNS($P$1006:Q1006),$P$1006:$S$1006,0))&gt;=100000), " ",IF(INDEX($P$2:$S$1001,MATCH(ROWS($I$2:I611),$I$2:$I$1001,0),MATCH(COLUMNS($P$1006:Q1006),$P$1006:$S$1006,0)), HYPERLINK("#",""), HYPERLINK(CONCATENATE("#metadata!", ADDRESS(INDEX($K$2:$K$1001,MATCH(ROWS($I$2:I611),$I$2:$I$1001,0),0), INDEX($P$1004:$S$1004,1,MATCH(COLUMNS($P$1006:Q1006),$P$1006:$S$1006,0)))),"Fix")))</f>
        <v>0</v>
      </c>
      <c r="D611" s="3">
        <f>IF(OR(INDEX($J$2:$J$1001,MATCH(ROWS($I$2:I611),$I$2:$I$1001,0),1)&gt;=100000,INDEX($P$1005:$S$1005,1,MATCH(COLUMNS($P$1006:R1006),$P$1006:$S$1006,0))&gt;=100000), " ",IF(INDEX($P$2:$S$1001,MATCH(ROWS($I$2:I611),$I$2:$I$1001,0),MATCH(COLUMNS($P$1006:R1006),$P$1006:$S$1006,0)), HYPERLINK("#",""), HYPERLINK(CONCATENATE("#metadata!", ADDRESS(INDEX($K$2:$K$1001,MATCH(ROWS($I$2:I611),$I$2:$I$1001,0),0), INDEX($P$1004:$S$1004,1,MATCH(COLUMNS($P$1006:R1006),$P$1006:$S$1006,0)))),"Fix")))</f>
        <v>0</v>
      </c>
      <c r="E611" s="3">
        <f>IF(OR(INDEX($J$2:$J$1001,MATCH(ROWS($I$2:I611),$I$2:$I$1001,0),1)&gt;=100000,INDEX($P$1005:$S$1005,1,MATCH(COLUMNS($P$1006:S1006),$P$1006:$S$1006,0))&gt;=100000), " ",IF(INDEX($P$2:$S$1001,MATCH(ROWS($I$2:I611),$I$2:$I$1001,0),MATCH(COLUMNS($P$1006:S1006),$P$1006:$S$1006,0)), HYPERLINK("#",""), HYPERLINK(CONCATENATE("#metadata!", ADDRESS(INDEX($K$2:$K$1001,MATCH(ROWS($I$2:I611),$I$2:$I$1001,0),0), INDEX($P$1004:$S$1004,1,MATCH(COLUMNS($P$1006:S1006),$P$1006:$S$1006,0)))),"Fix")))</f>
        <v>0</v>
      </c>
      <c r="I611">
        <v>0</v>
      </c>
      <c r="J611">
        <v>0</v>
      </c>
      <c r="K611">
        <v>0</v>
      </c>
      <c r="L611">
        <f>IF(M611,TRUE,AND(P611:S611))</f>
        <v>0</v>
      </c>
      <c r="M611">
        <f>COUNTBLANK(metadata!B611:E611)=COLUMNS(metadata!B611:E611)</f>
        <v>0</v>
      </c>
      <c r="N611">
        <v>0</v>
      </c>
      <c r="P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Q611">
        <f>AND(IF(metadata!C611="",FALSE,TRUE),exact(metadata!C611,"other"))</f>
        <v>0</v>
      </c>
      <c r="R611">
        <f>AND(IF(metadata!D611="",FALSE,TRUE),exact(metadata!D611,"metagenome"))</f>
        <v>0</v>
      </c>
      <c r="S611">
        <f>AND(IF(metadata!E611="",FALSE,TRUE),exact(metadata!E611,"256318"))</f>
        <v>0</v>
      </c>
    </row>
    <row r="612" spans="1:19">
      <c r="A612" s="4">
        <f>IF(B612=" "," ",HYPERLINK(CONCATENATE("#metadata!",ADDRESS(INDEX($K$2:$K$1001,MATCH(ROWS($I$2:I612),$I$2:$I$1001,0),0),1)),INDEX($N$2:$N$1001,MATCH(ROWS($I$2:I612),$I$2:$I$1001,0),0)))</f>
        <v>0</v>
      </c>
      <c r="B612" s="3">
        <f>IF(OR(INDEX($J$2:$J$1001,MATCH(ROWS($I$2:I612),$I$2:$I$1001,0),1)&gt;=100000,INDEX($P$1005:$S$1005,1,MATCH(COLUMNS($P$1006:P1006),$P$1006:$S$1006,0))&gt;=100000), " ",IF(INDEX($P$2:$S$1001,MATCH(ROWS($I$2:I612),$I$2:$I$1001,0),MATCH(COLUMNS($P$1006:P1006),$P$1006:$S$1006,0)), HYPERLINK("#",""), HYPERLINK(CONCATENATE("#metadata!", ADDRESS(INDEX($K$2:$K$1001,MATCH(ROWS($I$2:I612),$I$2:$I$1001,0),0), INDEX($P$1004:$S$1004,1,MATCH(COLUMNS($P$1006:P1006),$P$1006:$S$1006,0)))),"Fix")))</f>
        <v>0</v>
      </c>
      <c r="C612" s="3">
        <f>IF(OR(INDEX($J$2:$J$1001,MATCH(ROWS($I$2:I612),$I$2:$I$1001,0),1)&gt;=100000,INDEX($P$1005:$S$1005,1,MATCH(COLUMNS($P$1006:Q1006),$P$1006:$S$1006,0))&gt;=100000), " ",IF(INDEX($P$2:$S$1001,MATCH(ROWS($I$2:I612),$I$2:$I$1001,0),MATCH(COLUMNS($P$1006:Q1006),$P$1006:$S$1006,0)), HYPERLINK("#",""), HYPERLINK(CONCATENATE("#metadata!", ADDRESS(INDEX($K$2:$K$1001,MATCH(ROWS($I$2:I612),$I$2:$I$1001,0),0), INDEX($P$1004:$S$1004,1,MATCH(COLUMNS($P$1006:Q1006),$P$1006:$S$1006,0)))),"Fix")))</f>
        <v>0</v>
      </c>
      <c r="D612" s="3">
        <f>IF(OR(INDEX($J$2:$J$1001,MATCH(ROWS($I$2:I612),$I$2:$I$1001,0),1)&gt;=100000,INDEX($P$1005:$S$1005,1,MATCH(COLUMNS($P$1006:R1006),$P$1006:$S$1006,0))&gt;=100000), " ",IF(INDEX($P$2:$S$1001,MATCH(ROWS($I$2:I612),$I$2:$I$1001,0),MATCH(COLUMNS($P$1006:R1006),$P$1006:$S$1006,0)), HYPERLINK("#",""), HYPERLINK(CONCATENATE("#metadata!", ADDRESS(INDEX($K$2:$K$1001,MATCH(ROWS($I$2:I612),$I$2:$I$1001,0),0), INDEX($P$1004:$S$1004,1,MATCH(COLUMNS($P$1006:R1006),$P$1006:$S$1006,0)))),"Fix")))</f>
        <v>0</v>
      </c>
      <c r="E612" s="3">
        <f>IF(OR(INDEX($J$2:$J$1001,MATCH(ROWS($I$2:I612),$I$2:$I$1001,0),1)&gt;=100000,INDEX($P$1005:$S$1005,1,MATCH(COLUMNS($P$1006:S1006),$P$1006:$S$1006,0))&gt;=100000), " ",IF(INDEX($P$2:$S$1001,MATCH(ROWS($I$2:I612),$I$2:$I$1001,0),MATCH(COLUMNS($P$1006:S1006),$P$1006:$S$1006,0)), HYPERLINK("#",""), HYPERLINK(CONCATENATE("#metadata!", ADDRESS(INDEX($K$2:$K$1001,MATCH(ROWS($I$2:I612),$I$2:$I$1001,0),0), INDEX($P$1004:$S$1004,1,MATCH(COLUMNS($P$1006:S1006),$P$1006:$S$1006,0)))),"Fix")))</f>
        <v>0</v>
      </c>
      <c r="I612">
        <v>0</v>
      </c>
      <c r="J612">
        <v>0</v>
      </c>
      <c r="K612">
        <v>0</v>
      </c>
      <c r="L612">
        <f>IF(M612,TRUE,AND(P612:S612))</f>
        <v>0</v>
      </c>
      <c r="M612">
        <f>COUNTBLANK(metadata!B612:E612)=COLUMNS(metadata!B612:E612)</f>
        <v>0</v>
      </c>
      <c r="N612">
        <v>0</v>
      </c>
      <c r="P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Q612">
        <f>AND(IF(metadata!C612="",FALSE,TRUE),exact(metadata!C612,"other"))</f>
        <v>0</v>
      </c>
      <c r="R612">
        <f>AND(IF(metadata!D612="",FALSE,TRUE),exact(metadata!D612,"metagenome"))</f>
        <v>0</v>
      </c>
      <c r="S612">
        <f>AND(IF(metadata!E612="",FALSE,TRUE),exact(metadata!E612,"256318"))</f>
        <v>0</v>
      </c>
    </row>
    <row r="613" spans="1:19">
      <c r="A613" s="4">
        <f>IF(B613=" "," ",HYPERLINK(CONCATENATE("#metadata!",ADDRESS(INDEX($K$2:$K$1001,MATCH(ROWS($I$2:I613),$I$2:$I$1001,0),0),1)),INDEX($N$2:$N$1001,MATCH(ROWS($I$2:I613),$I$2:$I$1001,0),0)))</f>
        <v>0</v>
      </c>
      <c r="B613" s="3">
        <f>IF(OR(INDEX($J$2:$J$1001,MATCH(ROWS($I$2:I613),$I$2:$I$1001,0),1)&gt;=100000,INDEX($P$1005:$S$1005,1,MATCH(COLUMNS($P$1006:P1006),$P$1006:$S$1006,0))&gt;=100000), " ",IF(INDEX($P$2:$S$1001,MATCH(ROWS($I$2:I613),$I$2:$I$1001,0),MATCH(COLUMNS($P$1006:P1006),$P$1006:$S$1006,0)), HYPERLINK("#",""), HYPERLINK(CONCATENATE("#metadata!", ADDRESS(INDEX($K$2:$K$1001,MATCH(ROWS($I$2:I613),$I$2:$I$1001,0),0), INDEX($P$1004:$S$1004,1,MATCH(COLUMNS($P$1006:P1006),$P$1006:$S$1006,0)))),"Fix")))</f>
        <v>0</v>
      </c>
      <c r="C613" s="3">
        <f>IF(OR(INDEX($J$2:$J$1001,MATCH(ROWS($I$2:I613),$I$2:$I$1001,0),1)&gt;=100000,INDEX($P$1005:$S$1005,1,MATCH(COLUMNS($P$1006:Q1006),$P$1006:$S$1006,0))&gt;=100000), " ",IF(INDEX($P$2:$S$1001,MATCH(ROWS($I$2:I613),$I$2:$I$1001,0),MATCH(COLUMNS($P$1006:Q1006),$P$1006:$S$1006,0)), HYPERLINK("#",""), HYPERLINK(CONCATENATE("#metadata!", ADDRESS(INDEX($K$2:$K$1001,MATCH(ROWS($I$2:I613),$I$2:$I$1001,0),0), INDEX($P$1004:$S$1004,1,MATCH(COLUMNS($P$1006:Q1006),$P$1006:$S$1006,0)))),"Fix")))</f>
        <v>0</v>
      </c>
      <c r="D613" s="3">
        <f>IF(OR(INDEX($J$2:$J$1001,MATCH(ROWS($I$2:I613),$I$2:$I$1001,0),1)&gt;=100000,INDEX($P$1005:$S$1005,1,MATCH(COLUMNS($P$1006:R1006),$P$1006:$S$1006,0))&gt;=100000), " ",IF(INDEX($P$2:$S$1001,MATCH(ROWS($I$2:I613),$I$2:$I$1001,0),MATCH(COLUMNS($P$1006:R1006),$P$1006:$S$1006,0)), HYPERLINK("#",""), HYPERLINK(CONCATENATE("#metadata!", ADDRESS(INDEX($K$2:$K$1001,MATCH(ROWS($I$2:I613),$I$2:$I$1001,0),0), INDEX($P$1004:$S$1004,1,MATCH(COLUMNS($P$1006:R1006),$P$1006:$S$1006,0)))),"Fix")))</f>
        <v>0</v>
      </c>
      <c r="E613" s="3">
        <f>IF(OR(INDEX($J$2:$J$1001,MATCH(ROWS($I$2:I613),$I$2:$I$1001,0),1)&gt;=100000,INDEX($P$1005:$S$1005,1,MATCH(COLUMNS($P$1006:S1006),$P$1006:$S$1006,0))&gt;=100000), " ",IF(INDEX($P$2:$S$1001,MATCH(ROWS($I$2:I613),$I$2:$I$1001,0),MATCH(COLUMNS($P$1006:S1006),$P$1006:$S$1006,0)), HYPERLINK("#",""), HYPERLINK(CONCATENATE("#metadata!", ADDRESS(INDEX($K$2:$K$1001,MATCH(ROWS($I$2:I613),$I$2:$I$1001,0),0), INDEX($P$1004:$S$1004,1,MATCH(COLUMNS($P$1006:S1006),$P$1006:$S$1006,0)))),"Fix")))</f>
        <v>0</v>
      </c>
      <c r="I613">
        <v>0</v>
      </c>
      <c r="J613">
        <v>0</v>
      </c>
      <c r="K613">
        <v>0</v>
      </c>
      <c r="L613">
        <f>IF(M613,TRUE,AND(P613:S613))</f>
        <v>0</v>
      </c>
      <c r="M613">
        <f>COUNTBLANK(metadata!B613:E613)=COLUMNS(metadata!B613:E613)</f>
        <v>0</v>
      </c>
      <c r="N613">
        <v>0</v>
      </c>
      <c r="P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Q613">
        <f>AND(IF(metadata!C613="",FALSE,TRUE),exact(metadata!C613,"other"))</f>
        <v>0</v>
      </c>
      <c r="R613">
        <f>AND(IF(metadata!D613="",FALSE,TRUE),exact(metadata!D613,"metagenome"))</f>
        <v>0</v>
      </c>
      <c r="S613">
        <f>AND(IF(metadata!E613="",FALSE,TRUE),exact(metadata!E613,"256318"))</f>
        <v>0</v>
      </c>
    </row>
    <row r="614" spans="1:19">
      <c r="A614" s="4">
        <f>IF(B614=" "," ",HYPERLINK(CONCATENATE("#metadata!",ADDRESS(INDEX($K$2:$K$1001,MATCH(ROWS($I$2:I614),$I$2:$I$1001,0),0),1)),INDEX($N$2:$N$1001,MATCH(ROWS($I$2:I614),$I$2:$I$1001,0),0)))</f>
        <v>0</v>
      </c>
      <c r="B614" s="3">
        <f>IF(OR(INDEX($J$2:$J$1001,MATCH(ROWS($I$2:I614),$I$2:$I$1001,0),1)&gt;=100000,INDEX($P$1005:$S$1005,1,MATCH(COLUMNS($P$1006:P1006),$P$1006:$S$1006,0))&gt;=100000), " ",IF(INDEX($P$2:$S$1001,MATCH(ROWS($I$2:I614),$I$2:$I$1001,0),MATCH(COLUMNS($P$1006:P1006),$P$1006:$S$1006,0)), HYPERLINK("#",""), HYPERLINK(CONCATENATE("#metadata!", ADDRESS(INDEX($K$2:$K$1001,MATCH(ROWS($I$2:I614),$I$2:$I$1001,0),0), INDEX($P$1004:$S$1004,1,MATCH(COLUMNS($P$1006:P1006),$P$1006:$S$1006,0)))),"Fix")))</f>
        <v>0</v>
      </c>
      <c r="C614" s="3">
        <f>IF(OR(INDEX($J$2:$J$1001,MATCH(ROWS($I$2:I614),$I$2:$I$1001,0),1)&gt;=100000,INDEX($P$1005:$S$1005,1,MATCH(COLUMNS($P$1006:Q1006),$P$1006:$S$1006,0))&gt;=100000), " ",IF(INDEX($P$2:$S$1001,MATCH(ROWS($I$2:I614),$I$2:$I$1001,0),MATCH(COLUMNS($P$1006:Q1006),$P$1006:$S$1006,0)), HYPERLINK("#",""), HYPERLINK(CONCATENATE("#metadata!", ADDRESS(INDEX($K$2:$K$1001,MATCH(ROWS($I$2:I614),$I$2:$I$1001,0),0), INDEX($P$1004:$S$1004,1,MATCH(COLUMNS($P$1006:Q1006),$P$1006:$S$1006,0)))),"Fix")))</f>
        <v>0</v>
      </c>
      <c r="D614" s="3">
        <f>IF(OR(INDEX($J$2:$J$1001,MATCH(ROWS($I$2:I614),$I$2:$I$1001,0),1)&gt;=100000,INDEX($P$1005:$S$1005,1,MATCH(COLUMNS($P$1006:R1006),$P$1006:$S$1006,0))&gt;=100000), " ",IF(INDEX($P$2:$S$1001,MATCH(ROWS($I$2:I614),$I$2:$I$1001,0),MATCH(COLUMNS($P$1006:R1006),$P$1006:$S$1006,0)), HYPERLINK("#",""), HYPERLINK(CONCATENATE("#metadata!", ADDRESS(INDEX($K$2:$K$1001,MATCH(ROWS($I$2:I614),$I$2:$I$1001,0),0), INDEX($P$1004:$S$1004,1,MATCH(COLUMNS($P$1006:R1006),$P$1006:$S$1006,0)))),"Fix")))</f>
        <v>0</v>
      </c>
      <c r="E614" s="3">
        <f>IF(OR(INDEX($J$2:$J$1001,MATCH(ROWS($I$2:I614),$I$2:$I$1001,0),1)&gt;=100000,INDEX($P$1005:$S$1005,1,MATCH(COLUMNS($P$1006:S1006),$P$1006:$S$1006,0))&gt;=100000), " ",IF(INDEX($P$2:$S$1001,MATCH(ROWS($I$2:I614),$I$2:$I$1001,0),MATCH(COLUMNS($P$1006:S1006),$P$1006:$S$1006,0)), HYPERLINK("#",""), HYPERLINK(CONCATENATE("#metadata!", ADDRESS(INDEX($K$2:$K$1001,MATCH(ROWS($I$2:I614),$I$2:$I$1001,0),0), INDEX($P$1004:$S$1004,1,MATCH(COLUMNS($P$1006:S1006),$P$1006:$S$1006,0)))),"Fix")))</f>
        <v>0</v>
      </c>
      <c r="I614">
        <v>0</v>
      </c>
      <c r="J614">
        <v>0</v>
      </c>
      <c r="K614">
        <v>0</v>
      </c>
      <c r="L614">
        <f>IF(M614,TRUE,AND(P614:S614))</f>
        <v>0</v>
      </c>
      <c r="M614">
        <f>COUNTBLANK(metadata!B614:E614)=COLUMNS(metadata!B614:E614)</f>
        <v>0</v>
      </c>
      <c r="N614">
        <v>0</v>
      </c>
      <c r="P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Q614">
        <f>AND(IF(metadata!C614="",FALSE,TRUE),exact(metadata!C614,"other"))</f>
        <v>0</v>
      </c>
      <c r="R614">
        <f>AND(IF(metadata!D614="",FALSE,TRUE),exact(metadata!D614,"metagenome"))</f>
        <v>0</v>
      </c>
      <c r="S614">
        <f>AND(IF(metadata!E614="",FALSE,TRUE),exact(metadata!E614,"256318"))</f>
        <v>0</v>
      </c>
    </row>
    <row r="615" spans="1:19">
      <c r="A615" s="4">
        <f>IF(B615=" "," ",HYPERLINK(CONCATENATE("#metadata!",ADDRESS(INDEX($K$2:$K$1001,MATCH(ROWS($I$2:I615),$I$2:$I$1001,0),0),1)),INDEX($N$2:$N$1001,MATCH(ROWS($I$2:I615),$I$2:$I$1001,0),0)))</f>
        <v>0</v>
      </c>
      <c r="B615" s="3">
        <f>IF(OR(INDEX($J$2:$J$1001,MATCH(ROWS($I$2:I615),$I$2:$I$1001,0),1)&gt;=100000,INDEX($P$1005:$S$1005,1,MATCH(COLUMNS($P$1006:P1006),$P$1006:$S$1006,0))&gt;=100000), " ",IF(INDEX($P$2:$S$1001,MATCH(ROWS($I$2:I615),$I$2:$I$1001,0),MATCH(COLUMNS($P$1006:P1006),$P$1006:$S$1006,0)), HYPERLINK("#",""), HYPERLINK(CONCATENATE("#metadata!", ADDRESS(INDEX($K$2:$K$1001,MATCH(ROWS($I$2:I615),$I$2:$I$1001,0),0), INDEX($P$1004:$S$1004,1,MATCH(COLUMNS($P$1006:P1006),$P$1006:$S$1006,0)))),"Fix")))</f>
        <v>0</v>
      </c>
      <c r="C615" s="3">
        <f>IF(OR(INDEX($J$2:$J$1001,MATCH(ROWS($I$2:I615),$I$2:$I$1001,0),1)&gt;=100000,INDEX($P$1005:$S$1005,1,MATCH(COLUMNS($P$1006:Q1006),$P$1006:$S$1006,0))&gt;=100000), " ",IF(INDEX($P$2:$S$1001,MATCH(ROWS($I$2:I615),$I$2:$I$1001,0),MATCH(COLUMNS($P$1006:Q1006),$P$1006:$S$1006,0)), HYPERLINK("#",""), HYPERLINK(CONCATENATE("#metadata!", ADDRESS(INDEX($K$2:$K$1001,MATCH(ROWS($I$2:I615),$I$2:$I$1001,0),0), INDEX($P$1004:$S$1004,1,MATCH(COLUMNS($P$1006:Q1006),$P$1006:$S$1006,0)))),"Fix")))</f>
        <v>0</v>
      </c>
      <c r="D615" s="3">
        <f>IF(OR(INDEX($J$2:$J$1001,MATCH(ROWS($I$2:I615),$I$2:$I$1001,0),1)&gt;=100000,INDEX($P$1005:$S$1005,1,MATCH(COLUMNS($P$1006:R1006),$P$1006:$S$1006,0))&gt;=100000), " ",IF(INDEX($P$2:$S$1001,MATCH(ROWS($I$2:I615),$I$2:$I$1001,0),MATCH(COLUMNS($P$1006:R1006),$P$1006:$S$1006,0)), HYPERLINK("#",""), HYPERLINK(CONCATENATE("#metadata!", ADDRESS(INDEX($K$2:$K$1001,MATCH(ROWS($I$2:I615),$I$2:$I$1001,0),0), INDEX($P$1004:$S$1004,1,MATCH(COLUMNS($P$1006:R1006),$P$1006:$S$1006,0)))),"Fix")))</f>
        <v>0</v>
      </c>
      <c r="E615" s="3">
        <f>IF(OR(INDEX($J$2:$J$1001,MATCH(ROWS($I$2:I615),$I$2:$I$1001,0),1)&gt;=100000,INDEX($P$1005:$S$1005,1,MATCH(COLUMNS($P$1006:S1006),$P$1006:$S$1006,0))&gt;=100000), " ",IF(INDEX($P$2:$S$1001,MATCH(ROWS($I$2:I615),$I$2:$I$1001,0),MATCH(COLUMNS($P$1006:S1006),$P$1006:$S$1006,0)), HYPERLINK("#",""), HYPERLINK(CONCATENATE("#metadata!", ADDRESS(INDEX($K$2:$K$1001,MATCH(ROWS($I$2:I615),$I$2:$I$1001,0),0), INDEX($P$1004:$S$1004,1,MATCH(COLUMNS($P$1006:S1006),$P$1006:$S$1006,0)))),"Fix")))</f>
        <v>0</v>
      </c>
      <c r="I615">
        <v>0</v>
      </c>
      <c r="J615">
        <v>0</v>
      </c>
      <c r="K615">
        <v>0</v>
      </c>
      <c r="L615">
        <f>IF(M615,TRUE,AND(P615:S615))</f>
        <v>0</v>
      </c>
      <c r="M615">
        <f>COUNTBLANK(metadata!B615:E615)=COLUMNS(metadata!B615:E615)</f>
        <v>0</v>
      </c>
      <c r="N615">
        <v>0</v>
      </c>
      <c r="P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Q615">
        <f>AND(IF(metadata!C615="",FALSE,TRUE),exact(metadata!C615,"other"))</f>
        <v>0</v>
      </c>
      <c r="R615">
        <f>AND(IF(metadata!D615="",FALSE,TRUE),exact(metadata!D615,"metagenome"))</f>
        <v>0</v>
      </c>
      <c r="S615">
        <f>AND(IF(metadata!E615="",FALSE,TRUE),exact(metadata!E615,"256318"))</f>
        <v>0</v>
      </c>
    </row>
    <row r="616" spans="1:19">
      <c r="A616" s="4">
        <f>IF(B616=" "," ",HYPERLINK(CONCATENATE("#metadata!",ADDRESS(INDEX($K$2:$K$1001,MATCH(ROWS($I$2:I616),$I$2:$I$1001,0),0),1)),INDEX($N$2:$N$1001,MATCH(ROWS($I$2:I616),$I$2:$I$1001,0),0)))</f>
        <v>0</v>
      </c>
      <c r="B616" s="3">
        <f>IF(OR(INDEX($J$2:$J$1001,MATCH(ROWS($I$2:I616),$I$2:$I$1001,0),1)&gt;=100000,INDEX($P$1005:$S$1005,1,MATCH(COLUMNS($P$1006:P1006),$P$1006:$S$1006,0))&gt;=100000), " ",IF(INDEX($P$2:$S$1001,MATCH(ROWS($I$2:I616),$I$2:$I$1001,0),MATCH(COLUMNS($P$1006:P1006),$P$1006:$S$1006,0)), HYPERLINK("#",""), HYPERLINK(CONCATENATE("#metadata!", ADDRESS(INDEX($K$2:$K$1001,MATCH(ROWS($I$2:I616),$I$2:$I$1001,0),0), INDEX($P$1004:$S$1004,1,MATCH(COLUMNS($P$1006:P1006),$P$1006:$S$1006,0)))),"Fix")))</f>
        <v>0</v>
      </c>
      <c r="C616" s="3">
        <f>IF(OR(INDEX($J$2:$J$1001,MATCH(ROWS($I$2:I616),$I$2:$I$1001,0),1)&gt;=100000,INDEX($P$1005:$S$1005,1,MATCH(COLUMNS($P$1006:Q1006),$P$1006:$S$1006,0))&gt;=100000), " ",IF(INDEX($P$2:$S$1001,MATCH(ROWS($I$2:I616),$I$2:$I$1001,0),MATCH(COLUMNS($P$1006:Q1006),$P$1006:$S$1006,0)), HYPERLINK("#",""), HYPERLINK(CONCATENATE("#metadata!", ADDRESS(INDEX($K$2:$K$1001,MATCH(ROWS($I$2:I616),$I$2:$I$1001,0),0), INDEX($P$1004:$S$1004,1,MATCH(COLUMNS($P$1006:Q1006),$P$1006:$S$1006,0)))),"Fix")))</f>
        <v>0</v>
      </c>
      <c r="D616" s="3">
        <f>IF(OR(INDEX($J$2:$J$1001,MATCH(ROWS($I$2:I616),$I$2:$I$1001,0),1)&gt;=100000,INDEX($P$1005:$S$1005,1,MATCH(COLUMNS($P$1006:R1006),$P$1006:$S$1006,0))&gt;=100000), " ",IF(INDEX($P$2:$S$1001,MATCH(ROWS($I$2:I616),$I$2:$I$1001,0),MATCH(COLUMNS($P$1006:R1006),$P$1006:$S$1006,0)), HYPERLINK("#",""), HYPERLINK(CONCATENATE("#metadata!", ADDRESS(INDEX($K$2:$K$1001,MATCH(ROWS($I$2:I616),$I$2:$I$1001,0),0), INDEX($P$1004:$S$1004,1,MATCH(COLUMNS($P$1006:R1006),$P$1006:$S$1006,0)))),"Fix")))</f>
        <v>0</v>
      </c>
      <c r="E616" s="3">
        <f>IF(OR(INDEX($J$2:$J$1001,MATCH(ROWS($I$2:I616),$I$2:$I$1001,0),1)&gt;=100000,INDEX($P$1005:$S$1005,1,MATCH(COLUMNS($P$1006:S1006),$P$1006:$S$1006,0))&gt;=100000), " ",IF(INDEX($P$2:$S$1001,MATCH(ROWS($I$2:I616),$I$2:$I$1001,0),MATCH(COLUMNS($P$1006:S1006),$P$1006:$S$1006,0)), HYPERLINK("#",""), HYPERLINK(CONCATENATE("#metadata!", ADDRESS(INDEX($K$2:$K$1001,MATCH(ROWS($I$2:I616),$I$2:$I$1001,0),0), INDEX($P$1004:$S$1004,1,MATCH(COLUMNS($P$1006:S1006),$P$1006:$S$1006,0)))),"Fix")))</f>
        <v>0</v>
      </c>
      <c r="I616">
        <v>0</v>
      </c>
      <c r="J616">
        <v>0</v>
      </c>
      <c r="K616">
        <v>0</v>
      </c>
      <c r="L616">
        <f>IF(M616,TRUE,AND(P616:S616))</f>
        <v>0</v>
      </c>
      <c r="M616">
        <f>COUNTBLANK(metadata!B616:E616)=COLUMNS(metadata!B616:E616)</f>
        <v>0</v>
      </c>
      <c r="N616">
        <v>0</v>
      </c>
      <c r="P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Q616">
        <f>AND(IF(metadata!C616="",FALSE,TRUE),exact(metadata!C616,"other"))</f>
        <v>0</v>
      </c>
      <c r="R616">
        <f>AND(IF(metadata!D616="",FALSE,TRUE),exact(metadata!D616,"metagenome"))</f>
        <v>0</v>
      </c>
      <c r="S616">
        <f>AND(IF(metadata!E616="",FALSE,TRUE),exact(metadata!E616,"256318"))</f>
        <v>0</v>
      </c>
    </row>
    <row r="617" spans="1:19">
      <c r="A617" s="4">
        <f>IF(B617=" "," ",HYPERLINK(CONCATENATE("#metadata!",ADDRESS(INDEX($K$2:$K$1001,MATCH(ROWS($I$2:I617),$I$2:$I$1001,0),0),1)),INDEX($N$2:$N$1001,MATCH(ROWS($I$2:I617),$I$2:$I$1001,0),0)))</f>
        <v>0</v>
      </c>
      <c r="B617" s="3">
        <f>IF(OR(INDEX($J$2:$J$1001,MATCH(ROWS($I$2:I617),$I$2:$I$1001,0),1)&gt;=100000,INDEX($P$1005:$S$1005,1,MATCH(COLUMNS($P$1006:P1006),$P$1006:$S$1006,0))&gt;=100000), " ",IF(INDEX($P$2:$S$1001,MATCH(ROWS($I$2:I617),$I$2:$I$1001,0),MATCH(COLUMNS($P$1006:P1006),$P$1006:$S$1006,0)), HYPERLINK("#",""), HYPERLINK(CONCATENATE("#metadata!", ADDRESS(INDEX($K$2:$K$1001,MATCH(ROWS($I$2:I617),$I$2:$I$1001,0),0), INDEX($P$1004:$S$1004,1,MATCH(COLUMNS($P$1006:P1006),$P$1006:$S$1006,0)))),"Fix")))</f>
        <v>0</v>
      </c>
      <c r="C617" s="3">
        <f>IF(OR(INDEX($J$2:$J$1001,MATCH(ROWS($I$2:I617),$I$2:$I$1001,0),1)&gt;=100000,INDEX($P$1005:$S$1005,1,MATCH(COLUMNS($P$1006:Q1006),$P$1006:$S$1006,0))&gt;=100000), " ",IF(INDEX($P$2:$S$1001,MATCH(ROWS($I$2:I617),$I$2:$I$1001,0),MATCH(COLUMNS($P$1006:Q1006),$P$1006:$S$1006,0)), HYPERLINK("#",""), HYPERLINK(CONCATENATE("#metadata!", ADDRESS(INDEX($K$2:$K$1001,MATCH(ROWS($I$2:I617),$I$2:$I$1001,0),0), INDEX($P$1004:$S$1004,1,MATCH(COLUMNS($P$1006:Q1006),$P$1006:$S$1006,0)))),"Fix")))</f>
        <v>0</v>
      </c>
      <c r="D617" s="3">
        <f>IF(OR(INDEX($J$2:$J$1001,MATCH(ROWS($I$2:I617),$I$2:$I$1001,0),1)&gt;=100000,INDEX($P$1005:$S$1005,1,MATCH(COLUMNS($P$1006:R1006),$P$1006:$S$1006,0))&gt;=100000), " ",IF(INDEX($P$2:$S$1001,MATCH(ROWS($I$2:I617),$I$2:$I$1001,0),MATCH(COLUMNS($P$1006:R1006),$P$1006:$S$1006,0)), HYPERLINK("#",""), HYPERLINK(CONCATENATE("#metadata!", ADDRESS(INDEX($K$2:$K$1001,MATCH(ROWS($I$2:I617),$I$2:$I$1001,0),0), INDEX($P$1004:$S$1004,1,MATCH(COLUMNS($P$1006:R1006),$P$1006:$S$1006,0)))),"Fix")))</f>
        <v>0</v>
      </c>
      <c r="E617" s="3">
        <f>IF(OR(INDEX($J$2:$J$1001,MATCH(ROWS($I$2:I617),$I$2:$I$1001,0),1)&gt;=100000,INDEX($P$1005:$S$1005,1,MATCH(COLUMNS($P$1006:S1006),$P$1006:$S$1006,0))&gt;=100000), " ",IF(INDEX($P$2:$S$1001,MATCH(ROWS($I$2:I617),$I$2:$I$1001,0),MATCH(COLUMNS($P$1006:S1006),$P$1006:$S$1006,0)), HYPERLINK("#",""), HYPERLINK(CONCATENATE("#metadata!", ADDRESS(INDEX($K$2:$K$1001,MATCH(ROWS($I$2:I617),$I$2:$I$1001,0),0), INDEX($P$1004:$S$1004,1,MATCH(COLUMNS($P$1006:S1006),$P$1006:$S$1006,0)))),"Fix")))</f>
        <v>0</v>
      </c>
      <c r="I617">
        <v>0</v>
      </c>
      <c r="J617">
        <v>0</v>
      </c>
      <c r="K617">
        <v>0</v>
      </c>
      <c r="L617">
        <f>IF(M617,TRUE,AND(P617:S617))</f>
        <v>0</v>
      </c>
      <c r="M617">
        <f>COUNTBLANK(metadata!B617:E617)=COLUMNS(metadata!B617:E617)</f>
        <v>0</v>
      </c>
      <c r="N617">
        <v>0</v>
      </c>
      <c r="P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Q617">
        <f>AND(IF(metadata!C617="",FALSE,TRUE),exact(metadata!C617,"other"))</f>
        <v>0</v>
      </c>
      <c r="R617">
        <f>AND(IF(metadata!D617="",FALSE,TRUE),exact(metadata!D617,"metagenome"))</f>
        <v>0</v>
      </c>
      <c r="S617">
        <f>AND(IF(metadata!E617="",FALSE,TRUE),exact(metadata!E617,"256318"))</f>
        <v>0</v>
      </c>
    </row>
    <row r="618" spans="1:19">
      <c r="A618" s="4">
        <f>IF(B618=" "," ",HYPERLINK(CONCATENATE("#metadata!",ADDRESS(INDEX($K$2:$K$1001,MATCH(ROWS($I$2:I618),$I$2:$I$1001,0),0),1)),INDEX($N$2:$N$1001,MATCH(ROWS($I$2:I618),$I$2:$I$1001,0),0)))</f>
        <v>0</v>
      </c>
      <c r="B618" s="3">
        <f>IF(OR(INDEX($J$2:$J$1001,MATCH(ROWS($I$2:I618),$I$2:$I$1001,0),1)&gt;=100000,INDEX($P$1005:$S$1005,1,MATCH(COLUMNS($P$1006:P1006),$P$1006:$S$1006,0))&gt;=100000), " ",IF(INDEX($P$2:$S$1001,MATCH(ROWS($I$2:I618),$I$2:$I$1001,0),MATCH(COLUMNS($P$1006:P1006),$P$1006:$S$1006,0)), HYPERLINK("#",""), HYPERLINK(CONCATENATE("#metadata!", ADDRESS(INDEX($K$2:$K$1001,MATCH(ROWS($I$2:I618),$I$2:$I$1001,0),0), INDEX($P$1004:$S$1004,1,MATCH(COLUMNS($P$1006:P1006),$P$1006:$S$1006,0)))),"Fix")))</f>
        <v>0</v>
      </c>
      <c r="C618" s="3">
        <f>IF(OR(INDEX($J$2:$J$1001,MATCH(ROWS($I$2:I618),$I$2:$I$1001,0),1)&gt;=100000,INDEX($P$1005:$S$1005,1,MATCH(COLUMNS($P$1006:Q1006),$P$1006:$S$1006,0))&gt;=100000), " ",IF(INDEX($P$2:$S$1001,MATCH(ROWS($I$2:I618),$I$2:$I$1001,0),MATCH(COLUMNS($P$1006:Q1006),$P$1006:$S$1006,0)), HYPERLINK("#",""), HYPERLINK(CONCATENATE("#metadata!", ADDRESS(INDEX($K$2:$K$1001,MATCH(ROWS($I$2:I618),$I$2:$I$1001,0),0), INDEX($P$1004:$S$1004,1,MATCH(COLUMNS($P$1006:Q1006),$P$1006:$S$1006,0)))),"Fix")))</f>
        <v>0</v>
      </c>
      <c r="D618" s="3">
        <f>IF(OR(INDEX($J$2:$J$1001,MATCH(ROWS($I$2:I618),$I$2:$I$1001,0),1)&gt;=100000,INDEX($P$1005:$S$1005,1,MATCH(COLUMNS($P$1006:R1006),$P$1006:$S$1006,0))&gt;=100000), " ",IF(INDEX($P$2:$S$1001,MATCH(ROWS($I$2:I618),$I$2:$I$1001,0),MATCH(COLUMNS($P$1006:R1006),$P$1006:$S$1006,0)), HYPERLINK("#",""), HYPERLINK(CONCATENATE("#metadata!", ADDRESS(INDEX($K$2:$K$1001,MATCH(ROWS($I$2:I618),$I$2:$I$1001,0),0), INDEX($P$1004:$S$1004,1,MATCH(COLUMNS($P$1006:R1006),$P$1006:$S$1006,0)))),"Fix")))</f>
        <v>0</v>
      </c>
      <c r="E618" s="3">
        <f>IF(OR(INDEX($J$2:$J$1001,MATCH(ROWS($I$2:I618),$I$2:$I$1001,0),1)&gt;=100000,INDEX($P$1005:$S$1005,1,MATCH(COLUMNS($P$1006:S1006),$P$1006:$S$1006,0))&gt;=100000), " ",IF(INDEX($P$2:$S$1001,MATCH(ROWS($I$2:I618),$I$2:$I$1001,0),MATCH(COLUMNS($P$1006:S1006),$P$1006:$S$1006,0)), HYPERLINK("#",""), HYPERLINK(CONCATENATE("#metadata!", ADDRESS(INDEX($K$2:$K$1001,MATCH(ROWS($I$2:I618),$I$2:$I$1001,0),0), INDEX($P$1004:$S$1004,1,MATCH(COLUMNS($P$1006:S1006),$P$1006:$S$1006,0)))),"Fix")))</f>
        <v>0</v>
      </c>
      <c r="I618">
        <v>0</v>
      </c>
      <c r="J618">
        <v>0</v>
      </c>
      <c r="K618">
        <v>0</v>
      </c>
      <c r="L618">
        <f>IF(M618,TRUE,AND(P618:S618))</f>
        <v>0</v>
      </c>
      <c r="M618">
        <f>COUNTBLANK(metadata!B618:E618)=COLUMNS(metadata!B618:E618)</f>
        <v>0</v>
      </c>
      <c r="N618">
        <v>0</v>
      </c>
      <c r="P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Q618">
        <f>AND(IF(metadata!C618="",FALSE,TRUE),exact(metadata!C618,"other"))</f>
        <v>0</v>
      </c>
      <c r="R618">
        <f>AND(IF(metadata!D618="",FALSE,TRUE),exact(metadata!D618,"metagenome"))</f>
        <v>0</v>
      </c>
      <c r="S618">
        <f>AND(IF(metadata!E618="",FALSE,TRUE),exact(metadata!E618,"256318"))</f>
        <v>0</v>
      </c>
    </row>
    <row r="619" spans="1:19">
      <c r="A619" s="4">
        <f>IF(B619=" "," ",HYPERLINK(CONCATENATE("#metadata!",ADDRESS(INDEX($K$2:$K$1001,MATCH(ROWS($I$2:I619),$I$2:$I$1001,0),0),1)),INDEX($N$2:$N$1001,MATCH(ROWS($I$2:I619),$I$2:$I$1001,0),0)))</f>
        <v>0</v>
      </c>
      <c r="B619" s="3">
        <f>IF(OR(INDEX($J$2:$J$1001,MATCH(ROWS($I$2:I619),$I$2:$I$1001,0),1)&gt;=100000,INDEX($P$1005:$S$1005,1,MATCH(COLUMNS($P$1006:P1006),$P$1006:$S$1006,0))&gt;=100000), " ",IF(INDEX($P$2:$S$1001,MATCH(ROWS($I$2:I619),$I$2:$I$1001,0),MATCH(COLUMNS($P$1006:P1006),$P$1006:$S$1006,0)), HYPERLINK("#",""), HYPERLINK(CONCATENATE("#metadata!", ADDRESS(INDEX($K$2:$K$1001,MATCH(ROWS($I$2:I619),$I$2:$I$1001,0),0), INDEX($P$1004:$S$1004,1,MATCH(COLUMNS($P$1006:P1006),$P$1006:$S$1006,0)))),"Fix")))</f>
        <v>0</v>
      </c>
      <c r="C619" s="3">
        <f>IF(OR(INDEX($J$2:$J$1001,MATCH(ROWS($I$2:I619),$I$2:$I$1001,0),1)&gt;=100000,INDEX($P$1005:$S$1005,1,MATCH(COLUMNS($P$1006:Q1006),$P$1006:$S$1006,0))&gt;=100000), " ",IF(INDEX($P$2:$S$1001,MATCH(ROWS($I$2:I619),$I$2:$I$1001,0),MATCH(COLUMNS($P$1006:Q1006),$P$1006:$S$1006,0)), HYPERLINK("#",""), HYPERLINK(CONCATENATE("#metadata!", ADDRESS(INDEX($K$2:$K$1001,MATCH(ROWS($I$2:I619),$I$2:$I$1001,0),0), INDEX($P$1004:$S$1004,1,MATCH(COLUMNS($P$1006:Q1006),$P$1006:$S$1006,0)))),"Fix")))</f>
        <v>0</v>
      </c>
      <c r="D619" s="3">
        <f>IF(OR(INDEX($J$2:$J$1001,MATCH(ROWS($I$2:I619),$I$2:$I$1001,0),1)&gt;=100000,INDEX($P$1005:$S$1005,1,MATCH(COLUMNS($P$1006:R1006),$P$1006:$S$1006,0))&gt;=100000), " ",IF(INDEX($P$2:$S$1001,MATCH(ROWS($I$2:I619),$I$2:$I$1001,0),MATCH(COLUMNS($P$1006:R1006),$P$1006:$S$1006,0)), HYPERLINK("#",""), HYPERLINK(CONCATENATE("#metadata!", ADDRESS(INDEX($K$2:$K$1001,MATCH(ROWS($I$2:I619),$I$2:$I$1001,0),0), INDEX($P$1004:$S$1004,1,MATCH(COLUMNS($P$1006:R1006),$P$1006:$S$1006,0)))),"Fix")))</f>
        <v>0</v>
      </c>
      <c r="E619" s="3">
        <f>IF(OR(INDEX($J$2:$J$1001,MATCH(ROWS($I$2:I619),$I$2:$I$1001,0),1)&gt;=100000,INDEX($P$1005:$S$1005,1,MATCH(COLUMNS($P$1006:S1006),$P$1006:$S$1006,0))&gt;=100000), " ",IF(INDEX($P$2:$S$1001,MATCH(ROWS($I$2:I619),$I$2:$I$1001,0),MATCH(COLUMNS($P$1006:S1006),$P$1006:$S$1006,0)), HYPERLINK("#",""), HYPERLINK(CONCATENATE("#metadata!", ADDRESS(INDEX($K$2:$K$1001,MATCH(ROWS($I$2:I619),$I$2:$I$1001,0),0), INDEX($P$1004:$S$1004,1,MATCH(COLUMNS($P$1006:S1006),$P$1006:$S$1006,0)))),"Fix")))</f>
        <v>0</v>
      </c>
      <c r="I619">
        <v>0</v>
      </c>
      <c r="J619">
        <v>0</v>
      </c>
      <c r="K619">
        <v>0</v>
      </c>
      <c r="L619">
        <f>IF(M619,TRUE,AND(P619:S619))</f>
        <v>0</v>
      </c>
      <c r="M619">
        <f>COUNTBLANK(metadata!B619:E619)=COLUMNS(metadata!B619:E619)</f>
        <v>0</v>
      </c>
      <c r="N619">
        <v>0</v>
      </c>
      <c r="P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Q619">
        <f>AND(IF(metadata!C619="",FALSE,TRUE),exact(metadata!C619,"other"))</f>
        <v>0</v>
      </c>
      <c r="R619">
        <f>AND(IF(metadata!D619="",FALSE,TRUE),exact(metadata!D619,"metagenome"))</f>
        <v>0</v>
      </c>
      <c r="S619">
        <f>AND(IF(metadata!E619="",FALSE,TRUE),exact(metadata!E619,"256318"))</f>
        <v>0</v>
      </c>
    </row>
    <row r="620" spans="1:19">
      <c r="A620" s="4">
        <f>IF(B620=" "," ",HYPERLINK(CONCATENATE("#metadata!",ADDRESS(INDEX($K$2:$K$1001,MATCH(ROWS($I$2:I620),$I$2:$I$1001,0),0),1)),INDEX($N$2:$N$1001,MATCH(ROWS($I$2:I620),$I$2:$I$1001,0),0)))</f>
        <v>0</v>
      </c>
      <c r="B620" s="3">
        <f>IF(OR(INDEX($J$2:$J$1001,MATCH(ROWS($I$2:I620),$I$2:$I$1001,0),1)&gt;=100000,INDEX($P$1005:$S$1005,1,MATCH(COLUMNS($P$1006:P1006),$P$1006:$S$1006,0))&gt;=100000), " ",IF(INDEX($P$2:$S$1001,MATCH(ROWS($I$2:I620),$I$2:$I$1001,0),MATCH(COLUMNS($P$1006:P1006),$P$1006:$S$1006,0)), HYPERLINK("#",""), HYPERLINK(CONCATENATE("#metadata!", ADDRESS(INDEX($K$2:$K$1001,MATCH(ROWS($I$2:I620),$I$2:$I$1001,0),0), INDEX($P$1004:$S$1004,1,MATCH(COLUMNS($P$1006:P1006),$P$1006:$S$1006,0)))),"Fix")))</f>
        <v>0</v>
      </c>
      <c r="C620" s="3">
        <f>IF(OR(INDEX($J$2:$J$1001,MATCH(ROWS($I$2:I620),$I$2:$I$1001,0),1)&gt;=100000,INDEX($P$1005:$S$1005,1,MATCH(COLUMNS($P$1006:Q1006),$P$1006:$S$1006,0))&gt;=100000), " ",IF(INDEX($P$2:$S$1001,MATCH(ROWS($I$2:I620),$I$2:$I$1001,0),MATCH(COLUMNS($P$1006:Q1006),$P$1006:$S$1006,0)), HYPERLINK("#",""), HYPERLINK(CONCATENATE("#metadata!", ADDRESS(INDEX($K$2:$K$1001,MATCH(ROWS($I$2:I620),$I$2:$I$1001,0),0), INDEX($P$1004:$S$1004,1,MATCH(COLUMNS($P$1006:Q1006),$P$1006:$S$1006,0)))),"Fix")))</f>
        <v>0</v>
      </c>
      <c r="D620" s="3">
        <f>IF(OR(INDEX($J$2:$J$1001,MATCH(ROWS($I$2:I620),$I$2:$I$1001,0),1)&gt;=100000,INDEX($P$1005:$S$1005,1,MATCH(COLUMNS($P$1006:R1006),$P$1006:$S$1006,0))&gt;=100000), " ",IF(INDEX($P$2:$S$1001,MATCH(ROWS($I$2:I620),$I$2:$I$1001,0),MATCH(COLUMNS($P$1006:R1006),$P$1006:$S$1006,0)), HYPERLINK("#",""), HYPERLINK(CONCATENATE("#metadata!", ADDRESS(INDEX($K$2:$K$1001,MATCH(ROWS($I$2:I620),$I$2:$I$1001,0),0), INDEX($P$1004:$S$1004,1,MATCH(COLUMNS($P$1006:R1006),$P$1006:$S$1006,0)))),"Fix")))</f>
        <v>0</v>
      </c>
      <c r="E620" s="3">
        <f>IF(OR(INDEX($J$2:$J$1001,MATCH(ROWS($I$2:I620),$I$2:$I$1001,0),1)&gt;=100000,INDEX($P$1005:$S$1005,1,MATCH(COLUMNS($P$1006:S1006),$P$1006:$S$1006,0))&gt;=100000), " ",IF(INDEX($P$2:$S$1001,MATCH(ROWS($I$2:I620),$I$2:$I$1001,0),MATCH(COLUMNS($P$1006:S1006),$P$1006:$S$1006,0)), HYPERLINK("#",""), HYPERLINK(CONCATENATE("#metadata!", ADDRESS(INDEX($K$2:$K$1001,MATCH(ROWS($I$2:I620),$I$2:$I$1001,0),0), INDEX($P$1004:$S$1004,1,MATCH(COLUMNS($P$1006:S1006),$P$1006:$S$1006,0)))),"Fix")))</f>
        <v>0</v>
      </c>
      <c r="I620">
        <v>0</v>
      </c>
      <c r="J620">
        <v>0</v>
      </c>
      <c r="K620">
        <v>0</v>
      </c>
      <c r="L620">
        <f>IF(M620,TRUE,AND(P620:S620))</f>
        <v>0</v>
      </c>
      <c r="M620">
        <f>COUNTBLANK(metadata!B620:E620)=COLUMNS(metadata!B620:E620)</f>
        <v>0</v>
      </c>
      <c r="N620">
        <v>0</v>
      </c>
      <c r="P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Q620">
        <f>AND(IF(metadata!C620="",FALSE,TRUE),exact(metadata!C620,"other"))</f>
        <v>0</v>
      </c>
      <c r="R620">
        <f>AND(IF(metadata!D620="",FALSE,TRUE),exact(metadata!D620,"metagenome"))</f>
        <v>0</v>
      </c>
      <c r="S620">
        <f>AND(IF(metadata!E620="",FALSE,TRUE),exact(metadata!E620,"256318"))</f>
        <v>0</v>
      </c>
    </row>
    <row r="621" spans="1:19">
      <c r="A621" s="4">
        <f>IF(B621=" "," ",HYPERLINK(CONCATENATE("#metadata!",ADDRESS(INDEX($K$2:$K$1001,MATCH(ROWS($I$2:I621),$I$2:$I$1001,0),0),1)),INDEX($N$2:$N$1001,MATCH(ROWS($I$2:I621),$I$2:$I$1001,0),0)))</f>
        <v>0</v>
      </c>
      <c r="B621" s="3">
        <f>IF(OR(INDEX($J$2:$J$1001,MATCH(ROWS($I$2:I621),$I$2:$I$1001,0),1)&gt;=100000,INDEX($P$1005:$S$1005,1,MATCH(COLUMNS($P$1006:P1006),$P$1006:$S$1006,0))&gt;=100000), " ",IF(INDEX($P$2:$S$1001,MATCH(ROWS($I$2:I621),$I$2:$I$1001,0),MATCH(COLUMNS($P$1006:P1006),$P$1006:$S$1006,0)), HYPERLINK("#",""), HYPERLINK(CONCATENATE("#metadata!", ADDRESS(INDEX($K$2:$K$1001,MATCH(ROWS($I$2:I621),$I$2:$I$1001,0),0), INDEX($P$1004:$S$1004,1,MATCH(COLUMNS($P$1006:P1006),$P$1006:$S$1006,0)))),"Fix")))</f>
        <v>0</v>
      </c>
      <c r="C621" s="3">
        <f>IF(OR(INDEX($J$2:$J$1001,MATCH(ROWS($I$2:I621),$I$2:$I$1001,0),1)&gt;=100000,INDEX($P$1005:$S$1005,1,MATCH(COLUMNS($P$1006:Q1006),$P$1006:$S$1006,0))&gt;=100000), " ",IF(INDEX($P$2:$S$1001,MATCH(ROWS($I$2:I621),$I$2:$I$1001,0),MATCH(COLUMNS($P$1006:Q1006),$P$1006:$S$1006,0)), HYPERLINK("#",""), HYPERLINK(CONCATENATE("#metadata!", ADDRESS(INDEX($K$2:$K$1001,MATCH(ROWS($I$2:I621),$I$2:$I$1001,0),0), INDEX($P$1004:$S$1004,1,MATCH(COLUMNS($P$1006:Q1006),$P$1006:$S$1006,0)))),"Fix")))</f>
        <v>0</v>
      </c>
      <c r="D621" s="3">
        <f>IF(OR(INDEX($J$2:$J$1001,MATCH(ROWS($I$2:I621),$I$2:$I$1001,0),1)&gt;=100000,INDEX($P$1005:$S$1005,1,MATCH(COLUMNS($P$1006:R1006),$P$1006:$S$1006,0))&gt;=100000), " ",IF(INDEX($P$2:$S$1001,MATCH(ROWS($I$2:I621),$I$2:$I$1001,0),MATCH(COLUMNS($P$1006:R1006),$P$1006:$S$1006,0)), HYPERLINK("#",""), HYPERLINK(CONCATENATE("#metadata!", ADDRESS(INDEX($K$2:$K$1001,MATCH(ROWS($I$2:I621),$I$2:$I$1001,0),0), INDEX($P$1004:$S$1004,1,MATCH(COLUMNS($P$1006:R1006),$P$1006:$S$1006,0)))),"Fix")))</f>
        <v>0</v>
      </c>
      <c r="E621" s="3">
        <f>IF(OR(INDEX($J$2:$J$1001,MATCH(ROWS($I$2:I621),$I$2:$I$1001,0),1)&gt;=100000,INDEX($P$1005:$S$1005,1,MATCH(COLUMNS($P$1006:S1006),$P$1006:$S$1006,0))&gt;=100000), " ",IF(INDEX($P$2:$S$1001,MATCH(ROWS($I$2:I621),$I$2:$I$1001,0),MATCH(COLUMNS($P$1006:S1006),$P$1006:$S$1006,0)), HYPERLINK("#",""), HYPERLINK(CONCATENATE("#metadata!", ADDRESS(INDEX($K$2:$K$1001,MATCH(ROWS($I$2:I621),$I$2:$I$1001,0),0), INDEX($P$1004:$S$1004,1,MATCH(COLUMNS($P$1006:S1006),$P$1006:$S$1006,0)))),"Fix")))</f>
        <v>0</v>
      </c>
      <c r="I621">
        <v>0</v>
      </c>
      <c r="J621">
        <v>0</v>
      </c>
      <c r="K621">
        <v>0</v>
      </c>
      <c r="L621">
        <f>IF(M621,TRUE,AND(P621:S621))</f>
        <v>0</v>
      </c>
      <c r="M621">
        <f>COUNTBLANK(metadata!B621:E621)=COLUMNS(metadata!B621:E621)</f>
        <v>0</v>
      </c>
      <c r="N621">
        <v>0</v>
      </c>
      <c r="P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Q621">
        <f>AND(IF(metadata!C621="",FALSE,TRUE),exact(metadata!C621,"other"))</f>
        <v>0</v>
      </c>
      <c r="R621">
        <f>AND(IF(metadata!D621="",FALSE,TRUE),exact(metadata!D621,"metagenome"))</f>
        <v>0</v>
      </c>
      <c r="S621">
        <f>AND(IF(metadata!E621="",FALSE,TRUE),exact(metadata!E621,"256318"))</f>
        <v>0</v>
      </c>
    </row>
    <row r="622" spans="1:19">
      <c r="A622" s="4">
        <f>IF(B622=" "," ",HYPERLINK(CONCATENATE("#metadata!",ADDRESS(INDEX($K$2:$K$1001,MATCH(ROWS($I$2:I622),$I$2:$I$1001,0),0),1)),INDEX($N$2:$N$1001,MATCH(ROWS($I$2:I622),$I$2:$I$1001,0),0)))</f>
        <v>0</v>
      </c>
      <c r="B622" s="3">
        <f>IF(OR(INDEX($J$2:$J$1001,MATCH(ROWS($I$2:I622),$I$2:$I$1001,0),1)&gt;=100000,INDEX($P$1005:$S$1005,1,MATCH(COLUMNS($P$1006:P1006),$P$1006:$S$1006,0))&gt;=100000), " ",IF(INDEX($P$2:$S$1001,MATCH(ROWS($I$2:I622),$I$2:$I$1001,0),MATCH(COLUMNS($P$1006:P1006),$P$1006:$S$1006,0)), HYPERLINK("#",""), HYPERLINK(CONCATENATE("#metadata!", ADDRESS(INDEX($K$2:$K$1001,MATCH(ROWS($I$2:I622),$I$2:$I$1001,0),0), INDEX($P$1004:$S$1004,1,MATCH(COLUMNS($P$1006:P1006),$P$1006:$S$1006,0)))),"Fix")))</f>
        <v>0</v>
      </c>
      <c r="C622" s="3">
        <f>IF(OR(INDEX($J$2:$J$1001,MATCH(ROWS($I$2:I622),$I$2:$I$1001,0),1)&gt;=100000,INDEX($P$1005:$S$1005,1,MATCH(COLUMNS($P$1006:Q1006),$P$1006:$S$1006,0))&gt;=100000), " ",IF(INDEX($P$2:$S$1001,MATCH(ROWS($I$2:I622),$I$2:$I$1001,0),MATCH(COLUMNS($P$1006:Q1006),$P$1006:$S$1006,0)), HYPERLINK("#",""), HYPERLINK(CONCATENATE("#metadata!", ADDRESS(INDEX($K$2:$K$1001,MATCH(ROWS($I$2:I622),$I$2:$I$1001,0),0), INDEX($P$1004:$S$1004,1,MATCH(COLUMNS($P$1006:Q1006),$P$1006:$S$1006,0)))),"Fix")))</f>
        <v>0</v>
      </c>
      <c r="D622" s="3">
        <f>IF(OR(INDEX($J$2:$J$1001,MATCH(ROWS($I$2:I622),$I$2:$I$1001,0),1)&gt;=100000,INDEX($P$1005:$S$1005,1,MATCH(COLUMNS($P$1006:R1006),$P$1006:$S$1006,0))&gt;=100000), " ",IF(INDEX($P$2:$S$1001,MATCH(ROWS($I$2:I622),$I$2:$I$1001,0),MATCH(COLUMNS($P$1006:R1006),$P$1006:$S$1006,0)), HYPERLINK("#",""), HYPERLINK(CONCATENATE("#metadata!", ADDRESS(INDEX($K$2:$K$1001,MATCH(ROWS($I$2:I622),$I$2:$I$1001,0),0), INDEX($P$1004:$S$1004,1,MATCH(COLUMNS($P$1006:R1006),$P$1006:$S$1006,0)))),"Fix")))</f>
        <v>0</v>
      </c>
      <c r="E622" s="3">
        <f>IF(OR(INDEX($J$2:$J$1001,MATCH(ROWS($I$2:I622),$I$2:$I$1001,0),1)&gt;=100000,INDEX($P$1005:$S$1005,1,MATCH(COLUMNS($P$1006:S1006),$P$1006:$S$1006,0))&gt;=100000), " ",IF(INDEX($P$2:$S$1001,MATCH(ROWS($I$2:I622),$I$2:$I$1001,0),MATCH(COLUMNS($P$1006:S1006),$P$1006:$S$1006,0)), HYPERLINK("#",""), HYPERLINK(CONCATENATE("#metadata!", ADDRESS(INDEX($K$2:$K$1001,MATCH(ROWS($I$2:I622),$I$2:$I$1001,0),0), INDEX($P$1004:$S$1004,1,MATCH(COLUMNS($P$1006:S1006),$P$1006:$S$1006,0)))),"Fix")))</f>
        <v>0</v>
      </c>
      <c r="I622">
        <v>0</v>
      </c>
      <c r="J622">
        <v>0</v>
      </c>
      <c r="K622">
        <v>0</v>
      </c>
      <c r="L622">
        <f>IF(M622,TRUE,AND(P622:S622))</f>
        <v>0</v>
      </c>
      <c r="M622">
        <f>COUNTBLANK(metadata!B622:E622)=COLUMNS(metadata!B622:E622)</f>
        <v>0</v>
      </c>
      <c r="N622">
        <v>0</v>
      </c>
      <c r="P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Q622">
        <f>AND(IF(metadata!C622="",FALSE,TRUE),exact(metadata!C622,"other"))</f>
        <v>0</v>
      </c>
      <c r="R622">
        <f>AND(IF(metadata!D622="",FALSE,TRUE),exact(metadata!D622,"metagenome"))</f>
        <v>0</v>
      </c>
      <c r="S622">
        <f>AND(IF(metadata!E622="",FALSE,TRUE),exact(metadata!E622,"256318"))</f>
        <v>0</v>
      </c>
    </row>
    <row r="623" spans="1:19">
      <c r="A623" s="4">
        <f>IF(B623=" "," ",HYPERLINK(CONCATENATE("#metadata!",ADDRESS(INDEX($K$2:$K$1001,MATCH(ROWS($I$2:I623),$I$2:$I$1001,0),0),1)),INDEX($N$2:$N$1001,MATCH(ROWS($I$2:I623),$I$2:$I$1001,0),0)))</f>
        <v>0</v>
      </c>
      <c r="B623" s="3">
        <f>IF(OR(INDEX($J$2:$J$1001,MATCH(ROWS($I$2:I623),$I$2:$I$1001,0),1)&gt;=100000,INDEX($P$1005:$S$1005,1,MATCH(COLUMNS($P$1006:P1006),$P$1006:$S$1006,0))&gt;=100000), " ",IF(INDEX($P$2:$S$1001,MATCH(ROWS($I$2:I623),$I$2:$I$1001,0),MATCH(COLUMNS($P$1006:P1006),$P$1006:$S$1006,0)), HYPERLINK("#",""), HYPERLINK(CONCATENATE("#metadata!", ADDRESS(INDEX($K$2:$K$1001,MATCH(ROWS($I$2:I623),$I$2:$I$1001,0),0), INDEX($P$1004:$S$1004,1,MATCH(COLUMNS($P$1006:P1006),$P$1006:$S$1006,0)))),"Fix")))</f>
        <v>0</v>
      </c>
      <c r="C623" s="3">
        <f>IF(OR(INDEX($J$2:$J$1001,MATCH(ROWS($I$2:I623),$I$2:$I$1001,0),1)&gt;=100000,INDEX($P$1005:$S$1005,1,MATCH(COLUMNS($P$1006:Q1006),$P$1006:$S$1006,0))&gt;=100000), " ",IF(INDEX($P$2:$S$1001,MATCH(ROWS($I$2:I623),$I$2:$I$1001,0),MATCH(COLUMNS($P$1006:Q1006),$P$1006:$S$1006,0)), HYPERLINK("#",""), HYPERLINK(CONCATENATE("#metadata!", ADDRESS(INDEX($K$2:$K$1001,MATCH(ROWS($I$2:I623),$I$2:$I$1001,0),0), INDEX($P$1004:$S$1004,1,MATCH(COLUMNS($P$1006:Q1006),$P$1006:$S$1006,0)))),"Fix")))</f>
        <v>0</v>
      </c>
      <c r="D623" s="3">
        <f>IF(OR(INDEX($J$2:$J$1001,MATCH(ROWS($I$2:I623),$I$2:$I$1001,0),1)&gt;=100000,INDEX($P$1005:$S$1005,1,MATCH(COLUMNS($P$1006:R1006),$P$1006:$S$1006,0))&gt;=100000), " ",IF(INDEX($P$2:$S$1001,MATCH(ROWS($I$2:I623),$I$2:$I$1001,0),MATCH(COLUMNS($P$1006:R1006),$P$1006:$S$1006,0)), HYPERLINK("#",""), HYPERLINK(CONCATENATE("#metadata!", ADDRESS(INDEX($K$2:$K$1001,MATCH(ROWS($I$2:I623),$I$2:$I$1001,0),0), INDEX($P$1004:$S$1004,1,MATCH(COLUMNS($P$1006:R1006),$P$1006:$S$1006,0)))),"Fix")))</f>
        <v>0</v>
      </c>
      <c r="E623" s="3">
        <f>IF(OR(INDEX($J$2:$J$1001,MATCH(ROWS($I$2:I623),$I$2:$I$1001,0),1)&gt;=100000,INDEX($P$1005:$S$1005,1,MATCH(COLUMNS($P$1006:S1006),$P$1006:$S$1006,0))&gt;=100000), " ",IF(INDEX($P$2:$S$1001,MATCH(ROWS($I$2:I623),$I$2:$I$1001,0),MATCH(COLUMNS($P$1006:S1006),$P$1006:$S$1006,0)), HYPERLINK("#",""), HYPERLINK(CONCATENATE("#metadata!", ADDRESS(INDEX($K$2:$K$1001,MATCH(ROWS($I$2:I623),$I$2:$I$1001,0),0), INDEX($P$1004:$S$1004,1,MATCH(COLUMNS($P$1006:S1006),$P$1006:$S$1006,0)))),"Fix")))</f>
        <v>0</v>
      </c>
      <c r="I623">
        <v>0</v>
      </c>
      <c r="J623">
        <v>0</v>
      </c>
      <c r="K623">
        <v>0</v>
      </c>
      <c r="L623">
        <f>IF(M623,TRUE,AND(P623:S623))</f>
        <v>0</v>
      </c>
      <c r="M623">
        <f>COUNTBLANK(metadata!B623:E623)=COLUMNS(metadata!B623:E623)</f>
        <v>0</v>
      </c>
      <c r="N623">
        <v>0</v>
      </c>
      <c r="P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Q623">
        <f>AND(IF(metadata!C623="",FALSE,TRUE),exact(metadata!C623,"other"))</f>
        <v>0</v>
      </c>
      <c r="R623">
        <f>AND(IF(metadata!D623="",FALSE,TRUE),exact(metadata!D623,"metagenome"))</f>
        <v>0</v>
      </c>
      <c r="S623">
        <f>AND(IF(metadata!E623="",FALSE,TRUE),exact(metadata!E623,"256318"))</f>
        <v>0</v>
      </c>
    </row>
    <row r="624" spans="1:19">
      <c r="A624" s="4">
        <f>IF(B624=" "," ",HYPERLINK(CONCATENATE("#metadata!",ADDRESS(INDEX($K$2:$K$1001,MATCH(ROWS($I$2:I624),$I$2:$I$1001,0),0),1)),INDEX($N$2:$N$1001,MATCH(ROWS($I$2:I624),$I$2:$I$1001,0),0)))</f>
        <v>0</v>
      </c>
      <c r="B624" s="3">
        <f>IF(OR(INDEX($J$2:$J$1001,MATCH(ROWS($I$2:I624),$I$2:$I$1001,0),1)&gt;=100000,INDEX($P$1005:$S$1005,1,MATCH(COLUMNS($P$1006:P1006),$P$1006:$S$1006,0))&gt;=100000), " ",IF(INDEX($P$2:$S$1001,MATCH(ROWS($I$2:I624),$I$2:$I$1001,0),MATCH(COLUMNS($P$1006:P1006),$P$1006:$S$1006,0)), HYPERLINK("#",""), HYPERLINK(CONCATENATE("#metadata!", ADDRESS(INDEX($K$2:$K$1001,MATCH(ROWS($I$2:I624),$I$2:$I$1001,0),0), INDEX($P$1004:$S$1004,1,MATCH(COLUMNS($P$1006:P1006),$P$1006:$S$1006,0)))),"Fix")))</f>
        <v>0</v>
      </c>
      <c r="C624" s="3">
        <f>IF(OR(INDEX($J$2:$J$1001,MATCH(ROWS($I$2:I624),$I$2:$I$1001,0),1)&gt;=100000,INDEX($P$1005:$S$1005,1,MATCH(COLUMNS($P$1006:Q1006),$P$1006:$S$1006,0))&gt;=100000), " ",IF(INDEX($P$2:$S$1001,MATCH(ROWS($I$2:I624),$I$2:$I$1001,0),MATCH(COLUMNS($P$1006:Q1006),$P$1006:$S$1006,0)), HYPERLINK("#",""), HYPERLINK(CONCATENATE("#metadata!", ADDRESS(INDEX($K$2:$K$1001,MATCH(ROWS($I$2:I624),$I$2:$I$1001,0),0), INDEX($P$1004:$S$1004,1,MATCH(COLUMNS($P$1006:Q1006),$P$1006:$S$1006,0)))),"Fix")))</f>
        <v>0</v>
      </c>
      <c r="D624" s="3">
        <f>IF(OR(INDEX($J$2:$J$1001,MATCH(ROWS($I$2:I624),$I$2:$I$1001,0),1)&gt;=100000,INDEX($P$1005:$S$1005,1,MATCH(COLUMNS($P$1006:R1006),$P$1006:$S$1006,0))&gt;=100000), " ",IF(INDEX($P$2:$S$1001,MATCH(ROWS($I$2:I624),$I$2:$I$1001,0),MATCH(COLUMNS($P$1006:R1006),$P$1006:$S$1006,0)), HYPERLINK("#",""), HYPERLINK(CONCATENATE("#metadata!", ADDRESS(INDEX($K$2:$K$1001,MATCH(ROWS($I$2:I624),$I$2:$I$1001,0),0), INDEX($P$1004:$S$1004,1,MATCH(COLUMNS($P$1006:R1006),$P$1006:$S$1006,0)))),"Fix")))</f>
        <v>0</v>
      </c>
      <c r="E624" s="3">
        <f>IF(OR(INDEX($J$2:$J$1001,MATCH(ROWS($I$2:I624),$I$2:$I$1001,0),1)&gt;=100000,INDEX($P$1005:$S$1005,1,MATCH(COLUMNS($P$1006:S1006),$P$1006:$S$1006,0))&gt;=100000), " ",IF(INDEX($P$2:$S$1001,MATCH(ROWS($I$2:I624),$I$2:$I$1001,0),MATCH(COLUMNS($P$1006:S1006),$P$1006:$S$1006,0)), HYPERLINK("#",""), HYPERLINK(CONCATENATE("#metadata!", ADDRESS(INDEX($K$2:$K$1001,MATCH(ROWS($I$2:I624),$I$2:$I$1001,0),0), INDEX($P$1004:$S$1004,1,MATCH(COLUMNS($P$1006:S1006),$P$1006:$S$1006,0)))),"Fix")))</f>
        <v>0</v>
      </c>
      <c r="I624">
        <v>0</v>
      </c>
      <c r="J624">
        <v>0</v>
      </c>
      <c r="K624">
        <v>0</v>
      </c>
      <c r="L624">
        <f>IF(M624,TRUE,AND(P624:S624))</f>
        <v>0</v>
      </c>
      <c r="M624">
        <f>COUNTBLANK(metadata!B624:E624)=COLUMNS(metadata!B624:E624)</f>
        <v>0</v>
      </c>
      <c r="N624">
        <v>0</v>
      </c>
      <c r="P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Q624">
        <f>AND(IF(metadata!C624="",FALSE,TRUE),exact(metadata!C624,"other"))</f>
        <v>0</v>
      </c>
      <c r="R624">
        <f>AND(IF(metadata!D624="",FALSE,TRUE),exact(metadata!D624,"metagenome"))</f>
        <v>0</v>
      </c>
      <c r="S624">
        <f>AND(IF(metadata!E624="",FALSE,TRUE),exact(metadata!E624,"256318"))</f>
        <v>0</v>
      </c>
    </row>
    <row r="625" spans="1:19">
      <c r="A625" s="4">
        <f>IF(B625=" "," ",HYPERLINK(CONCATENATE("#metadata!",ADDRESS(INDEX($K$2:$K$1001,MATCH(ROWS($I$2:I625),$I$2:$I$1001,0),0),1)),INDEX($N$2:$N$1001,MATCH(ROWS($I$2:I625),$I$2:$I$1001,0),0)))</f>
        <v>0</v>
      </c>
      <c r="B625" s="3">
        <f>IF(OR(INDEX($J$2:$J$1001,MATCH(ROWS($I$2:I625),$I$2:$I$1001,0),1)&gt;=100000,INDEX($P$1005:$S$1005,1,MATCH(COLUMNS($P$1006:P1006),$P$1006:$S$1006,0))&gt;=100000), " ",IF(INDEX($P$2:$S$1001,MATCH(ROWS($I$2:I625),$I$2:$I$1001,0),MATCH(COLUMNS($P$1006:P1006),$P$1006:$S$1006,0)), HYPERLINK("#",""), HYPERLINK(CONCATENATE("#metadata!", ADDRESS(INDEX($K$2:$K$1001,MATCH(ROWS($I$2:I625),$I$2:$I$1001,0),0), INDEX($P$1004:$S$1004,1,MATCH(COLUMNS($P$1006:P1006),$P$1006:$S$1006,0)))),"Fix")))</f>
        <v>0</v>
      </c>
      <c r="C625" s="3">
        <f>IF(OR(INDEX($J$2:$J$1001,MATCH(ROWS($I$2:I625),$I$2:$I$1001,0),1)&gt;=100000,INDEX($P$1005:$S$1005,1,MATCH(COLUMNS($P$1006:Q1006),$P$1006:$S$1006,0))&gt;=100000), " ",IF(INDEX($P$2:$S$1001,MATCH(ROWS($I$2:I625),$I$2:$I$1001,0),MATCH(COLUMNS($P$1006:Q1006),$P$1006:$S$1006,0)), HYPERLINK("#",""), HYPERLINK(CONCATENATE("#metadata!", ADDRESS(INDEX($K$2:$K$1001,MATCH(ROWS($I$2:I625),$I$2:$I$1001,0),0), INDEX($P$1004:$S$1004,1,MATCH(COLUMNS($P$1006:Q1006),$P$1006:$S$1006,0)))),"Fix")))</f>
        <v>0</v>
      </c>
      <c r="D625" s="3">
        <f>IF(OR(INDEX($J$2:$J$1001,MATCH(ROWS($I$2:I625),$I$2:$I$1001,0),1)&gt;=100000,INDEX($P$1005:$S$1005,1,MATCH(COLUMNS($P$1006:R1006),$P$1006:$S$1006,0))&gt;=100000), " ",IF(INDEX($P$2:$S$1001,MATCH(ROWS($I$2:I625),$I$2:$I$1001,0),MATCH(COLUMNS($P$1006:R1006),$P$1006:$S$1006,0)), HYPERLINK("#",""), HYPERLINK(CONCATENATE("#metadata!", ADDRESS(INDEX($K$2:$K$1001,MATCH(ROWS($I$2:I625),$I$2:$I$1001,0),0), INDEX($P$1004:$S$1004,1,MATCH(COLUMNS($P$1006:R1006),$P$1006:$S$1006,0)))),"Fix")))</f>
        <v>0</v>
      </c>
      <c r="E625" s="3">
        <f>IF(OR(INDEX($J$2:$J$1001,MATCH(ROWS($I$2:I625),$I$2:$I$1001,0),1)&gt;=100000,INDEX($P$1005:$S$1005,1,MATCH(COLUMNS($P$1006:S1006),$P$1006:$S$1006,0))&gt;=100000), " ",IF(INDEX($P$2:$S$1001,MATCH(ROWS($I$2:I625),$I$2:$I$1001,0),MATCH(COLUMNS($P$1006:S1006),$P$1006:$S$1006,0)), HYPERLINK("#",""), HYPERLINK(CONCATENATE("#metadata!", ADDRESS(INDEX($K$2:$K$1001,MATCH(ROWS($I$2:I625),$I$2:$I$1001,0),0), INDEX($P$1004:$S$1004,1,MATCH(COLUMNS($P$1006:S1006),$P$1006:$S$1006,0)))),"Fix")))</f>
        <v>0</v>
      </c>
      <c r="I625">
        <v>0</v>
      </c>
      <c r="J625">
        <v>0</v>
      </c>
      <c r="K625">
        <v>0</v>
      </c>
      <c r="L625">
        <f>IF(M625,TRUE,AND(P625:S625))</f>
        <v>0</v>
      </c>
      <c r="M625">
        <f>COUNTBLANK(metadata!B625:E625)=COLUMNS(metadata!B625:E625)</f>
        <v>0</v>
      </c>
      <c r="N625">
        <v>0</v>
      </c>
      <c r="P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Q625">
        <f>AND(IF(metadata!C625="",FALSE,TRUE),exact(metadata!C625,"other"))</f>
        <v>0</v>
      </c>
      <c r="R625">
        <f>AND(IF(metadata!D625="",FALSE,TRUE),exact(metadata!D625,"metagenome"))</f>
        <v>0</v>
      </c>
      <c r="S625">
        <f>AND(IF(metadata!E625="",FALSE,TRUE),exact(metadata!E625,"256318"))</f>
        <v>0</v>
      </c>
    </row>
    <row r="626" spans="1:19">
      <c r="A626" s="4">
        <f>IF(B626=" "," ",HYPERLINK(CONCATENATE("#metadata!",ADDRESS(INDEX($K$2:$K$1001,MATCH(ROWS($I$2:I626),$I$2:$I$1001,0),0),1)),INDEX($N$2:$N$1001,MATCH(ROWS($I$2:I626),$I$2:$I$1001,0),0)))</f>
        <v>0</v>
      </c>
      <c r="B626" s="3">
        <f>IF(OR(INDEX($J$2:$J$1001,MATCH(ROWS($I$2:I626),$I$2:$I$1001,0),1)&gt;=100000,INDEX($P$1005:$S$1005,1,MATCH(COLUMNS($P$1006:P1006),$P$1006:$S$1006,0))&gt;=100000), " ",IF(INDEX($P$2:$S$1001,MATCH(ROWS($I$2:I626),$I$2:$I$1001,0),MATCH(COLUMNS($P$1006:P1006),$P$1006:$S$1006,0)), HYPERLINK("#",""), HYPERLINK(CONCATENATE("#metadata!", ADDRESS(INDEX($K$2:$K$1001,MATCH(ROWS($I$2:I626),$I$2:$I$1001,0),0), INDEX($P$1004:$S$1004,1,MATCH(COLUMNS($P$1006:P1006),$P$1006:$S$1006,0)))),"Fix")))</f>
        <v>0</v>
      </c>
      <c r="C626" s="3">
        <f>IF(OR(INDEX($J$2:$J$1001,MATCH(ROWS($I$2:I626),$I$2:$I$1001,0),1)&gt;=100000,INDEX($P$1005:$S$1005,1,MATCH(COLUMNS($P$1006:Q1006),$P$1006:$S$1006,0))&gt;=100000), " ",IF(INDEX($P$2:$S$1001,MATCH(ROWS($I$2:I626),$I$2:$I$1001,0),MATCH(COLUMNS($P$1006:Q1006),$P$1006:$S$1006,0)), HYPERLINK("#",""), HYPERLINK(CONCATENATE("#metadata!", ADDRESS(INDEX($K$2:$K$1001,MATCH(ROWS($I$2:I626),$I$2:$I$1001,0),0), INDEX($P$1004:$S$1004,1,MATCH(COLUMNS($P$1006:Q1006),$P$1006:$S$1006,0)))),"Fix")))</f>
        <v>0</v>
      </c>
      <c r="D626" s="3">
        <f>IF(OR(INDEX($J$2:$J$1001,MATCH(ROWS($I$2:I626),$I$2:$I$1001,0),1)&gt;=100000,INDEX($P$1005:$S$1005,1,MATCH(COLUMNS($P$1006:R1006),$P$1006:$S$1006,0))&gt;=100000), " ",IF(INDEX($P$2:$S$1001,MATCH(ROWS($I$2:I626),$I$2:$I$1001,0),MATCH(COLUMNS($P$1006:R1006),$P$1006:$S$1006,0)), HYPERLINK("#",""), HYPERLINK(CONCATENATE("#metadata!", ADDRESS(INDEX($K$2:$K$1001,MATCH(ROWS($I$2:I626),$I$2:$I$1001,0),0), INDEX($P$1004:$S$1004,1,MATCH(COLUMNS($P$1006:R1006),$P$1006:$S$1006,0)))),"Fix")))</f>
        <v>0</v>
      </c>
      <c r="E626" s="3">
        <f>IF(OR(INDEX($J$2:$J$1001,MATCH(ROWS($I$2:I626),$I$2:$I$1001,0),1)&gt;=100000,INDEX($P$1005:$S$1005,1,MATCH(COLUMNS($P$1006:S1006),$P$1006:$S$1006,0))&gt;=100000), " ",IF(INDEX($P$2:$S$1001,MATCH(ROWS($I$2:I626),$I$2:$I$1001,0),MATCH(COLUMNS($P$1006:S1006),$P$1006:$S$1006,0)), HYPERLINK("#",""), HYPERLINK(CONCATENATE("#metadata!", ADDRESS(INDEX($K$2:$K$1001,MATCH(ROWS($I$2:I626),$I$2:$I$1001,0),0), INDEX($P$1004:$S$1004,1,MATCH(COLUMNS($P$1006:S1006),$P$1006:$S$1006,0)))),"Fix")))</f>
        <v>0</v>
      </c>
      <c r="I626">
        <v>0</v>
      </c>
      <c r="J626">
        <v>0</v>
      </c>
      <c r="K626">
        <v>0</v>
      </c>
      <c r="L626">
        <f>IF(M626,TRUE,AND(P626:S626))</f>
        <v>0</v>
      </c>
      <c r="M626">
        <f>COUNTBLANK(metadata!B626:E626)=COLUMNS(metadata!B626:E626)</f>
        <v>0</v>
      </c>
      <c r="N626">
        <v>0</v>
      </c>
      <c r="P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Q626">
        <f>AND(IF(metadata!C626="",FALSE,TRUE),exact(metadata!C626,"other"))</f>
        <v>0</v>
      </c>
      <c r="R626">
        <f>AND(IF(metadata!D626="",FALSE,TRUE),exact(metadata!D626,"metagenome"))</f>
        <v>0</v>
      </c>
      <c r="S626">
        <f>AND(IF(metadata!E626="",FALSE,TRUE),exact(metadata!E626,"256318"))</f>
        <v>0</v>
      </c>
    </row>
    <row r="627" spans="1:19">
      <c r="A627" s="4">
        <f>IF(B627=" "," ",HYPERLINK(CONCATENATE("#metadata!",ADDRESS(INDEX($K$2:$K$1001,MATCH(ROWS($I$2:I627),$I$2:$I$1001,0),0),1)),INDEX($N$2:$N$1001,MATCH(ROWS($I$2:I627),$I$2:$I$1001,0),0)))</f>
        <v>0</v>
      </c>
      <c r="B627" s="3">
        <f>IF(OR(INDEX($J$2:$J$1001,MATCH(ROWS($I$2:I627),$I$2:$I$1001,0),1)&gt;=100000,INDEX($P$1005:$S$1005,1,MATCH(COLUMNS($P$1006:P1006),$P$1006:$S$1006,0))&gt;=100000), " ",IF(INDEX($P$2:$S$1001,MATCH(ROWS($I$2:I627),$I$2:$I$1001,0),MATCH(COLUMNS($P$1006:P1006),$P$1006:$S$1006,0)), HYPERLINK("#",""), HYPERLINK(CONCATENATE("#metadata!", ADDRESS(INDEX($K$2:$K$1001,MATCH(ROWS($I$2:I627),$I$2:$I$1001,0),0), INDEX($P$1004:$S$1004,1,MATCH(COLUMNS($P$1006:P1006),$P$1006:$S$1006,0)))),"Fix")))</f>
        <v>0</v>
      </c>
      <c r="C627" s="3">
        <f>IF(OR(INDEX($J$2:$J$1001,MATCH(ROWS($I$2:I627),$I$2:$I$1001,0),1)&gt;=100000,INDEX($P$1005:$S$1005,1,MATCH(COLUMNS($P$1006:Q1006),$P$1006:$S$1006,0))&gt;=100000), " ",IF(INDEX($P$2:$S$1001,MATCH(ROWS($I$2:I627),$I$2:$I$1001,0),MATCH(COLUMNS($P$1006:Q1006),$P$1006:$S$1006,0)), HYPERLINK("#",""), HYPERLINK(CONCATENATE("#metadata!", ADDRESS(INDEX($K$2:$K$1001,MATCH(ROWS($I$2:I627),$I$2:$I$1001,0),0), INDEX($P$1004:$S$1004,1,MATCH(COLUMNS($P$1006:Q1006),$P$1006:$S$1006,0)))),"Fix")))</f>
        <v>0</v>
      </c>
      <c r="D627" s="3">
        <f>IF(OR(INDEX($J$2:$J$1001,MATCH(ROWS($I$2:I627),$I$2:$I$1001,0),1)&gt;=100000,INDEX($P$1005:$S$1005,1,MATCH(COLUMNS($P$1006:R1006),$P$1006:$S$1006,0))&gt;=100000), " ",IF(INDEX($P$2:$S$1001,MATCH(ROWS($I$2:I627),$I$2:$I$1001,0),MATCH(COLUMNS($P$1006:R1006),$P$1006:$S$1006,0)), HYPERLINK("#",""), HYPERLINK(CONCATENATE("#metadata!", ADDRESS(INDEX($K$2:$K$1001,MATCH(ROWS($I$2:I627),$I$2:$I$1001,0),0), INDEX($P$1004:$S$1004,1,MATCH(COLUMNS($P$1006:R1006),$P$1006:$S$1006,0)))),"Fix")))</f>
        <v>0</v>
      </c>
      <c r="E627" s="3">
        <f>IF(OR(INDEX($J$2:$J$1001,MATCH(ROWS($I$2:I627),$I$2:$I$1001,0),1)&gt;=100000,INDEX($P$1005:$S$1005,1,MATCH(COLUMNS($P$1006:S1006),$P$1006:$S$1006,0))&gt;=100000), " ",IF(INDEX($P$2:$S$1001,MATCH(ROWS($I$2:I627),$I$2:$I$1001,0),MATCH(COLUMNS($P$1006:S1006),$P$1006:$S$1006,0)), HYPERLINK("#",""), HYPERLINK(CONCATENATE("#metadata!", ADDRESS(INDEX($K$2:$K$1001,MATCH(ROWS($I$2:I627),$I$2:$I$1001,0),0), INDEX($P$1004:$S$1004,1,MATCH(COLUMNS($P$1006:S1006),$P$1006:$S$1006,0)))),"Fix")))</f>
        <v>0</v>
      </c>
      <c r="I627">
        <v>0</v>
      </c>
      <c r="J627">
        <v>0</v>
      </c>
      <c r="K627">
        <v>0</v>
      </c>
      <c r="L627">
        <f>IF(M627,TRUE,AND(P627:S627))</f>
        <v>0</v>
      </c>
      <c r="M627">
        <f>COUNTBLANK(metadata!B627:E627)=COLUMNS(metadata!B627:E627)</f>
        <v>0</v>
      </c>
      <c r="N627">
        <v>0</v>
      </c>
      <c r="P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Q627">
        <f>AND(IF(metadata!C627="",FALSE,TRUE),exact(metadata!C627,"other"))</f>
        <v>0</v>
      </c>
      <c r="R627">
        <f>AND(IF(metadata!D627="",FALSE,TRUE),exact(metadata!D627,"metagenome"))</f>
        <v>0</v>
      </c>
      <c r="S627">
        <f>AND(IF(metadata!E627="",FALSE,TRUE),exact(metadata!E627,"256318"))</f>
        <v>0</v>
      </c>
    </row>
    <row r="628" spans="1:19">
      <c r="A628" s="4">
        <f>IF(B628=" "," ",HYPERLINK(CONCATENATE("#metadata!",ADDRESS(INDEX($K$2:$K$1001,MATCH(ROWS($I$2:I628),$I$2:$I$1001,0),0),1)),INDEX($N$2:$N$1001,MATCH(ROWS($I$2:I628),$I$2:$I$1001,0),0)))</f>
        <v>0</v>
      </c>
      <c r="B628" s="3">
        <f>IF(OR(INDEX($J$2:$J$1001,MATCH(ROWS($I$2:I628),$I$2:$I$1001,0),1)&gt;=100000,INDEX($P$1005:$S$1005,1,MATCH(COLUMNS($P$1006:P1006),$P$1006:$S$1006,0))&gt;=100000), " ",IF(INDEX($P$2:$S$1001,MATCH(ROWS($I$2:I628),$I$2:$I$1001,0),MATCH(COLUMNS($P$1006:P1006),$P$1006:$S$1006,0)), HYPERLINK("#",""), HYPERLINK(CONCATENATE("#metadata!", ADDRESS(INDEX($K$2:$K$1001,MATCH(ROWS($I$2:I628),$I$2:$I$1001,0),0), INDEX($P$1004:$S$1004,1,MATCH(COLUMNS($P$1006:P1006),$P$1006:$S$1006,0)))),"Fix")))</f>
        <v>0</v>
      </c>
      <c r="C628" s="3">
        <f>IF(OR(INDEX($J$2:$J$1001,MATCH(ROWS($I$2:I628),$I$2:$I$1001,0),1)&gt;=100000,INDEX($P$1005:$S$1005,1,MATCH(COLUMNS($P$1006:Q1006),$P$1006:$S$1006,0))&gt;=100000), " ",IF(INDEX($P$2:$S$1001,MATCH(ROWS($I$2:I628),$I$2:$I$1001,0),MATCH(COLUMNS($P$1006:Q1006),$P$1006:$S$1006,0)), HYPERLINK("#",""), HYPERLINK(CONCATENATE("#metadata!", ADDRESS(INDEX($K$2:$K$1001,MATCH(ROWS($I$2:I628),$I$2:$I$1001,0),0), INDEX($P$1004:$S$1004,1,MATCH(COLUMNS($P$1006:Q1006),$P$1006:$S$1006,0)))),"Fix")))</f>
        <v>0</v>
      </c>
      <c r="D628" s="3">
        <f>IF(OR(INDEX($J$2:$J$1001,MATCH(ROWS($I$2:I628),$I$2:$I$1001,0),1)&gt;=100000,INDEX($P$1005:$S$1005,1,MATCH(COLUMNS($P$1006:R1006),$P$1006:$S$1006,0))&gt;=100000), " ",IF(INDEX($P$2:$S$1001,MATCH(ROWS($I$2:I628),$I$2:$I$1001,0),MATCH(COLUMNS($P$1006:R1006),$P$1006:$S$1006,0)), HYPERLINK("#",""), HYPERLINK(CONCATENATE("#metadata!", ADDRESS(INDEX($K$2:$K$1001,MATCH(ROWS($I$2:I628),$I$2:$I$1001,0),0), INDEX($P$1004:$S$1004,1,MATCH(COLUMNS($P$1006:R1006),$P$1006:$S$1006,0)))),"Fix")))</f>
        <v>0</v>
      </c>
      <c r="E628" s="3">
        <f>IF(OR(INDEX($J$2:$J$1001,MATCH(ROWS($I$2:I628),$I$2:$I$1001,0),1)&gt;=100000,INDEX($P$1005:$S$1005,1,MATCH(COLUMNS($P$1006:S1006),$P$1006:$S$1006,0))&gt;=100000), " ",IF(INDEX($P$2:$S$1001,MATCH(ROWS($I$2:I628),$I$2:$I$1001,0),MATCH(COLUMNS($P$1006:S1006),$P$1006:$S$1006,0)), HYPERLINK("#",""), HYPERLINK(CONCATENATE("#metadata!", ADDRESS(INDEX($K$2:$K$1001,MATCH(ROWS($I$2:I628),$I$2:$I$1001,0),0), INDEX($P$1004:$S$1004,1,MATCH(COLUMNS($P$1006:S1006),$P$1006:$S$1006,0)))),"Fix")))</f>
        <v>0</v>
      </c>
      <c r="I628">
        <v>0</v>
      </c>
      <c r="J628">
        <v>0</v>
      </c>
      <c r="K628">
        <v>0</v>
      </c>
      <c r="L628">
        <f>IF(M628,TRUE,AND(P628:S628))</f>
        <v>0</v>
      </c>
      <c r="M628">
        <f>COUNTBLANK(metadata!B628:E628)=COLUMNS(metadata!B628:E628)</f>
        <v>0</v>
      </c>
      <c r="N628">
        <v>0</v>
      </c>
      <c r="P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Q628">
        <f>AND(IF(metadata!C628="",FALSE,TRUE),exact(metadata!C628,"other"))</f>
        <v>0</v>
      </c>
      <c r="R628">
        <f>AND(IF(metadata!D628="",FALSE,TRUE),exact(metadata!D628,"metagenome"))</f>
        <v>0</v>
      </c>
      <c r="S628">
        <f>AND(IF(metadata!E628="",FALSE,TRUE),exact(metadata!E628,"256318"))</f>
        <v>0</v>
      </c>
    </row>
    <row r="629" spans="1:19">
      <c r="A629" s="4">
        <f>IF(B629=" "," ",HYPERLINK(CONCATENATE("#metadata!",ADDRESS(INDEX($K$2:$K$1001,MATCH(ROWS($I$2:I629),$I$2:$I$1001,0),0),1)),INDEX($N$2:$N$1001,MATCH(ROWS($I$2:I629),$I$2:$I$1001,0),0)))</f>
        <v>0</v>
      </c>
      <c r="B629" s="3">
        <f>IF(OR(INDEX($J$2:$J$1001,MATCH(ROWS($I$2:I629),$I$2:$I$1001,0),1)&gt;=100000,INDEX($P$1005:$S$1005,1,MATCH(COLUMNS($P$1006:P1006),$P$1006:$S$1006,0))&gt;=100000), " ",IF(INDEX($P$2:$S$1001,MATCH(ROWS($I$2:I629),$I$2:$I$1001,0),MATCH(COLUMNS($P$1006:P1006),$P$1006:$S$1006,0)), HYPERLINK("#",""), HYPERLINK(CONCATENATE("#metadata!", ADDRESS(INDEX($K$2:$K$1001,MATCH(ROWS($I$2:I629),$I$2:$I$1001,0),0), INDEX($P$1004:$S$1004,1,MATCH(COLUMNS($P$1006:P1006),$P$1006:$S$1006,0)))),"Fix")))</f>
        <v>0</v>
      </c>
      <c r="C629" s="3">
        <f>IF(OR(INDEX($J$2:$J$1001,MATCH(ROWS($I$2:I629),$I$2:$I$1001,0),1)&gt;=100000,INDEX($P$1005:$S$1005,1,MATCH(COLUMNS($P$1006:Q1006),$P$1006:$S$1006,0))&gt;=100000), " ",IF(INDEX($P$2:$S$1001,MATCH(ROWS($I$2:I629),$I$2:$I$1001,0),MATCH(COLUMNS($P$1006:Q1006),$P$1006:$S$1006,0)), HYPERLINK("#",""), HYPERLINK(CONCATENATE("#metadata!", ADDRESS(INDEX($K$2:$K$1001,MATCH(ROWS($I$2:I629),$I$2:$I$1001,0),0), INDEX($P$1004:$S$1004,1,MATCH(COLUMNS($P$1006:Q1006),$P$1006:$S$1006,0)))),"Fix")))</f>
        <v>0</v>
      </c>
      <c r="D629" s="3">
        <f>IF(OR(INDEX($J$2:$J$1001,MATCH(ROWS($I$2:I629),$I$2:$I$1001,0),1)&gt;=100000,INDEX($P$1005:$S$1005,1,MATCH(COLUMNS($P$1006:R1006),$P$1006:$S$1006,0))&gt;=100000), " ",IF(INDEX($P$2:$S$1001,MATCH(ROWS($I$2:I629),$I$2:$I$1001,0),MATCH(COLUMNS($P$1006:R1006),$P$1006:$S$1006,0)), HYPERLINK("#",""), HYPERLINK(CONCATENATE("#metadata!", ADDRESS(INDEX($K$2:$K$1001,MATCH(ROWS($I$2:I629),$I$2:$I$1001,0),0), INDEX($P$1004:$S$1004,1,MATCH(COLUMNS($P$1006:R1006),$P$1006:$S$1006,0)))),"Fix")))</f>
        <v>0</v>
      </c>
      <c r="E629" s="3">
        <f>IF(OR(INDEX($J$2:$J$1001,MATCH(ROWS($I$2:I629),$I$2:$I$1001,0),1)&gt;=100000,INDEX($P$1005:$S$1005,1,MATCH(COLUMNS($P$1006:S1006),$P$1006:$S$1006,0))&gt;=100000), " ",IF(INDEX($P$2:$S$1001,MATCH(ROWS($I$2:I629),$I$2:$I$1001,0),MATCH(COLUMNS($P$1006:S1006),$P$1006:$S$1006,0)), HYPERLINK("#",""), HYPERLINK(CONCATENATE("#metadata!", ADDRESS(INDEX($K$2:$K$1001,MATCH(ROWS($I$2:I629),$I$2:$I$1001,0),0), INDEX($P$1004:$S$1004,1,MATCH(COLUMNS($P$1006:S1006),$P$1006:$S$1006,0)))),"Fix")))</f>
        <v>0</v>
      </c>
      <c r="I629">
        <v>0</v>
      </c>
      <c r="J629">
        <v>0</v>
      </c>
      <c r="K629">
        <v>0</v>
      </c>
      <c r="L629">
        <f>IF(M629,TRUE,AND(P629:S629))</f>
        <v>0</v>
      </c>
      <c r="M629">
        <f>COUNTBLANK(metadata!B629:E629)=COLUMNS(metadata!B629:E629)</f>
        <v>0</v>
      </c>
      <c r="N629">
        <v>0</v>
      </c>
      <c r="P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Q629">
        <f>AND(IF(metadata!C629="",FALSE,TRUE),exact(metadata!C629,"other"))</f>
        <v>0</v>
      </c>
      <c r="R629">
        <f>AND(IF(metadata!D629="",FALSE,TRUE),exact(metadata!D629,"metagenome"))</f>
        <v>0</v>
      </c>
      <c r="S629">
        <f>AND(IF(metadata!E629="",FALSE,TRUE),exact(metadata!E629,"256318"))</f>
        <v>0</v>
      </c>
    </row>
    <row r="630" spans="1:19">
      <c r="A630" s="4">
        <f>IF(B630=" "," ",HYPERLINK(CONCATENATE("#metadata!",ADDRESS(INDEX($K$2:$K$1001,MATCH(ROWS($I$2:I630),$I$2:$I$1001,0),0),1)),INDEX($N$2:$N$1001,MATCH(ROWS($I$2:I630),$I$2:$I$1001,0),0)))</f>
        <v>0</v>
      </c>
      <c r="B630" s="3">
        <f>IF(OR(INDEX($J$2:$J$1001,MATCH(ROWS($I$2:I630),$I$2:$I$1001,0),1)&gt;=100000,INDEX($P$1005:$S$1005,1,MATCH(COLUMNS($P$1006:P1006),$P$1006:$S$1006,0))&gt;=100000), " ",IF(INDEX($P$2:$S$1001,MATCH(ROWS($I$2:I630),$I$2:$I$1001,0),MATCH(COLUMNS($P$1006:P1006),$P$1006:$S$1006,0)), HYPERLINK("#",""), HYPERLINK(CONCATENATE("#metadata!", ADDRESS(INDEX($K$2:$K$1001,MATCH(ROWS($I$2:I630),$I$2:$I$1001,0),0), INDEX($P$1004:$S$1004,1,MATCH(COLUMNS($P$1006:P1006),$P$1006:$S$1006,0)))),"Fix")))</f>
        <v>0</v>
      </c>
      <c r="C630" s="3">
        <f>IF(OR(INDEX($J$2:$J$1001,MATCH(ROWS($I$2:I630),$I$2:$I$1001,0),1)&gt;=100000,INDEX($P$1005:$S$1005,1,MATCH(COLUMNS($P$1006:Q1006),$P$1006:$S$1006,0))&gt;=100000), " ",IF(INDEX($P$2:$S$1001,MATCH(ROWS($I$2:I630),$I$2:$I$1001,0),MATCH(COLUMNS($P$1006:Q1006),$P$1006:$S$1006,0)), HYPERLINK("#",""), HYPERLINK(CONCATENATE("#metadata!", ADDRESS(INDEX($K$2:$K$1001,MATCH(ROWS($I$2:I630),$I$2:$I$1001,0),0), INDEX($P$1004:$S$1004,1,MATCH(COLUMNS($P$1006:Q1006),$P$1006:$S$1006,0)))),"Fix")))</f>
        <v>0</v>
      </c>
      <c r="D630" s="3">
        <f>IF(OR(INDEX($J$2:$J$1001,MATCH(ROWS($I$2:I630),$I$2:$I$1001,0),1)&gt;=100000,INDEX($P$1005:$S$1005,1,MATCH(COLUMNS($P$1006:R1006),$P$1006:$S$1006,0))&gt;=100000), " ",IF(INDEX($P$2:$S$1001,MATCH(ROWS($I$2:I630),$I$2:$I$1001,0),MATCH(COLUMNS($P$1006:R1006),$P$1006:$S$1006,0)), HYPERLINK("#",""), HYPERLINK(CONCATENATE("#metadata!", ADDRESS(INDEX($K$2:$K$1001,MATCH(ROWS($I$2:I630),$I$2:$I$1001,0),0), INDEX($P$1004:$S$1004,1,MATCH(COLUMNS($P$1006:R1006),$P$1006:$S$1006,0)))),"Fix")))</f>
        <v>0</v>
      </c>
      <c r="E630" s="3">
        <f>IF(OR(INDEX($J$2:$J$1001,MATCH(ROWS($I$2:I630),$I$2:$I$1001,0),1)&gt;=100000,INDEX($P$1005:$S$1005,1,MATCH(COLUMNS($P$1006:S1006),$P$1006:$S$1006,0))&gt;=100000), " ",IF(INDEX($P$2:$S$1001,MATCH(ROWS($I$2:I630),$I$2:$I$1001,0),MATCH(COLUMNS($P$1006:S1006),$P$1006:$S$1006,0)), HYPERLINK("#",""), HYPERLINK(CONCATENATE("#metadata!", ADDRESS(INDEX($K$2:$K$1001,MATCH(ROWS($I$2:I630),$I$2:$I$1001,0),0), INDEX($P$1004:$S$1004,1,MATCH(COLUMNS($P$1006:S1006),$P$1006:$S$1006,0)))),"Fix")))</f>
        <v>0</v>
      </c>
      <c r="I630">
        <v>0</v>
      </c>
      <c r="J630">
        <v>0</v>
      </c>
      <c r="K630">
        <v>0</v>
      </c>
      <c r="L630">
        <f>IF(M630,TRUE,AND(P630:S630))</f>
        <v>0</v>
      </c>
      <c r="M630">
        <f>COUNTBLANK(metadata!B630:E630)=COLUMNS(metadata!B630:E630)</f>
        <v>0</v>
      </c>
      <c r="N630">
        <v>0</v>
      </c>
      <c r="P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Q630">
        <f>AND(IF(metadata!C630="",FALSE,TRUE),exact(metadata!C630,"other"))</f>
        <v>0</v>
      </c>
      <c r="R630">
        <f>AND(IF(metadata!D630="",FALSE,TRUE),exact(metadata!D630,"metagenome"))</f>
        <v>0</v>
      </c>
      <c r="S630">
        <f>AND(IF(metadata!E630="",FALSE,TRUE),exact(metadata!E630,"256318"))</f>
        <v>0</v>
      </c>
    </row>
    <row r="631" spans="1:19">
      <c r="A631" s="4">
        <f>IF(B631=" "," ",HYPERLINK(CONCATENATE("#metadata!",ADDRESS(INDEX($K$2:$K$1001,MATCH(ROWS($I$2:I631),$I$2:$I$1001,0),0),1)),INDEX($N$2:$N$1001,MATCH(ROWS($I$2:I631),$I$2:$I$1001,0),0)))</f>
        <v>0</v>
      </c>
      <c r="B631" s="3">
        <f>IF(OR(INDEX($J$2:$J$1001,MATCH(ROWS($I$2:I631),$I$2:$I$1001,0),1)&gt;=100000,INDEX($P$1005:$S$1005,1,MATCH(COLUMNS($P$1006:P1006),$P$1006:$S$1006,0))&gt;=100000), " ",IF(INDEX($P$2:$S$1001,MATCH(ROWS($I$2:I631),$I$2:$I$1001,0),MATCH(COLUMNS($P$1006:P1006),$P$1006:$S$1006,0)), HYPERLINK("#",""), HYPERLINK(CONCATENATE("#metadata!", ADDRESS(INDEX($K$2:$K$1001,MATCH(ROWS($I$2:I631),$I$2:$I$1001,0),0), INDEX($P$1004:$S$1004,1,MATCH(COLUMNS($P$1006:P1006),$P$1006:$S$1006,0)))),"Fix")))</f>
        <v>0</v>
      </c>
      <c r="C631" s="3">
        <f>IF(OR(INDEX($J$2:$J$1001,MATCH(ROWS($I$2:I631),$I$2:$I$1001,0),1)&gt;=100000,INDEX($P$1005:$S$1005,1,MATCH(COLUMNS($P$1006:Q1006),$P$1006:$S$1006,0))&gt;=100000), " ",IF(INDEX($P$2:$S$1001,MATCH(ROWS($I$2:I631),$I$2:$I$1001,0),MATCH(COLUMNS($P$1006:Q1006),$P$1006:$S$1006,0)), HYPERLINK("#",""), HYPERLINK(CONCATENATE("#metadata!", ADDRESS(INDEX($K$2:$K$1001,MATCH(ROWS($I$2:I631),$I$2:$I$1001,0),0), INDEX($P$1004:$S$1004,1,MATCH(COLUMNS($P$1006:Q1006),$P$1006:$S$1006,0)))),"Fix")))</f>
        <v>0</v>
      </c>
      <c r="D631" s="3">
        <f>IF(OR(INDEX($J$2:$J$1001,MATCH(ROWS($I$2:I631),$I$2:$I$1001,0),1)&gt;=100000,INDEX($P$1005:$S$1005,1,MATCH(COLUMNS($P$1006:R1006),$P$1006:$S$1006,0))&gt;=100000), " ",IF(INDEX($P$2:$S$1001,MATCH(ROWS($I$2:I631),$I$2:$I$1001,0),MATCH(COLUMNS($P$1006:R1006),$P$1006:$S$1006,0)), HYPERLINK("#",""), HYPERLINK(CONCATENATE("#metadata!", ADDRESS(INDEX($K$2:$K$1001,MATCH(ROWS($I$2:I631),$I$2:$I$1001,0),0), INDEX($P$1004:$S$1004,1,MATCH(COLUMNS($P$1006:R1006),$P$1006:$S$1006,0)))),"Fix")))</f>
        <v>0</v>
      </c>
      <c r="E631" s="3">
        <f>IF(OR(INDEX($J$2:$J$1001,MATCH(ROWS($I$2:I631),$I$2:$I$1001,0),1)&gt;=100000,INDEX($P$1005:$S$1005,1,MATCH(COLUMNS($P$1006:S1006),$P$1006:$S$1006,0))&gt;=100000), " ",IF(INDEX($P$2:$S$1001,MATCH(ROWS($I$2:I631),$I$2:$I$1001,0),MATCH(COLUMNS($P$1006:S1006),$P$1006:$S$1006,0)), HYPERLINK("#",""), HYPERLINK(CONCATENATE("#metadata!", ADDRESS(INDEX($K$2:$K$1001,MATCH(ROWS($I$2:I631),$I$2:$I$1001,0),0), INDEX($P$1004:$S$1004,1,MATCH(COLUMNS($P$1006:S1006),$P$1006:$S$1006,0)))),"Fix")))</f>
        <v>0</v>
      </c>
      <c r="I631">
        <v>0</v>
      </c>
      <c r="J631">
        <v>0</v>
      </c>
      <c r="K631">
        <v>0</v>
      </c>
      <c r="L631">
        <f>IF(M631,TRUE,AND(P631:S631))</f>
        <v>0</v>
      </c>
      <c r="M631">
        <f>COUNTBLANK(metadata!B631:E631)=COLUMNS(metadata!B631:E631)</f>
        <v>0</v>
      </c>
      <c r="N631">
        <v>0</v>
      </c>
      <c r="P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Q631">
        <f>AND(IF(metadata!C631="",FALSE,TRUE),exact(metadata!C631,"other"))</f>
        <v>0</v>
      </c>
      <c r="R631">
        <f>AND(IF(metadata!D631="",FALSE,TRUE),exact(metadata!D631,"metagenome"))</f>
        <v>0</v>
      </c>
      <c r="S631">
        <f>AND(IF(metadata!E631="",FALSE,TRUE),exact(metadata!E631,"256318"))</f>
        <v>0</v>
      </c>
    </row>
    <row r="632" spans="1:19">
      <c r="A632" s="4">
        <f>IF(B632=" "," ",HYPERLINK(CONCATENATE("#metadata!",ADDRESS(INDEX($K$2:$K$1001,MATCH(ROWS($I$2:I632),$I$2:$I$1001,0),0),1)),INDEX($N$2:$N$1001,MATCH(ROWS($I$2:I632),$I$2:$I$1001,0),0)))</f>
        <v>0</v>
      </c>
      <c r="B632" s="3">
        <f>IF(OR(INDEX($J$2:$J$1001,MATCH(ROWS($I$2:I632),$I$2:$I$1001,0),1)&gt;=100000,INDEX($P$1005:$S$1005,1,MATCH(COLUMNS($P$1006:P1006),$P$1006:$S$1006,0))&gt;=100000), " ",IF(INDEX($P$2:$S$1001,MATCH(ROWS($I$2:I632),$I$2:$I$1001,0),MATCH(COLUMNS($P$1006:P1006),$P$1006:$S$1006,0)), HYPERLINK("#",""), HYPERLINK(CONCATENATE("#metadata!", ADDRESS(INDEX($K$2:$K$1001,MATCH(ROWS($I$2:I632),$I$2:$I$1001,0),0), INDEX($P$1004:$S$1004,1,MATCH(COLUMNS($P$1006:P1006),$P$1006:$S$1006,0)))),"Fix")))</f>
        <v>0</v>
      </c>
      <c r="C632" s="3">
        <f>IF(OR(INDEX($J$2:$J$1001,MATCH(ROWS($I$2:I632),$I$2:$I$1001,0),1)&gt;=100000,INDEX($P$1005:$S$1005,1,MATCH(COLUMNS($P$1006:Q1006),$P$1006:$S$1006,0))&gt;=100000), " ",IF(INDEX($P$2:$S$1001,MATCH(ROWS($I$2:I632),$I$2:$I$1001,0),MATCH(COLUMNS($P$1006:Q1006),$P$1006:$S$1006,0)), HYPERLINK("#",""), HYPERLINK(CONCATENATE("#metadata!", ADDRESS(INDEX($K$2:$K$1001,MATCH(ROWS($I$2:I632),$I$2:$I$1001,0),0), INDEX($P$1004:$S$1004,1,MATCH(COLUMNS($P$1006:Q1006),$P$1006:$S$1006,0)))),"Fix")))</f>
        <v>0</v>
      </c>
      <c r="D632" s="3">
        <f>IF(OR(INDEX($J$2:$J$1001,MATCH(ROWS($I$2:I632),$I$2:$I$1001,0),1)&gt;=100000,INDEX($P$1005:$S$1005,1,MATCH(COLUMNS($P$1006:R1006),$P$1006:$S$1006,0))&gt;=100000), " ",IF(INDEX($P$2:$S$1001,MATCH(ROWS($I$2:I632),$I$2:$I$1001,0),MATCH(COLUMNS($P$1006:R1006),$P$1006:$S$1006,0)), HYPERLINK("#",""), HYPERLINK(CONCATENATE("#metadata!", ADDRESS(INDEX($K$2:$K$1001,MATCH(ROWS($I$2:I632),$I$2:$I$1001,0),0), INDEX($P$1004:$S$1004,1,MATCH(COLUMNS($P$1006:R1006),$P$1006:$S$1006,0)))),"Fix")))</f>
        <v>0</v>
      </c>
      <c r="E632" s="3">
        <f>IF(OR(INDEX($J$2:$J$1001,MATCH(ROWS($I$2:I632),$I$2:$I$1001,0),1)&gt;=100000,INDEX($P$1005:$S$1005,1,MATCH(COLUMNS($P$1006:S1006),$P$1006:$S$1006,0))&gt;=100000), " ",IF(INDEX($P$2:$S$1001,MATCH(ROWS($I$2:I632),$I$2:$I$1001,0),MATCH(COLUMNS($P$1006:S1006),$P$1006:$S$1006,0)), HYPERLINK("#",""), HYPERLINK(CONCATENATE("#metadata!", ADDRESS(INDEX($K$2:$K$1001,MATCH(ROWS($I$2:I632),$I$2:$I$1001,0),0), INDEX($P$1004:$S$1004,1,MATCH(COLUMNS($P$1006:S1006),$P$1006:$S$1006,0)))),"Fix")))</f>
        <v>0</v>
      </c>
      <c r="I632">
        <v>0</v>
      </c>
      <c r="J632">
        <v>0</v>
      </c>
      <c r="K632">
        <v>0</v>
      </c>
      <c r="L632">
        <f>IF(M632,TRUE,AND(P632:S632))</f>
        <v>0</v>
      </c>
      <c r="M632">
        <f>COUNTBLANK(metadata!B632:E632)=COLUMNS(metadata!B632:E632)</f>
        <v>0</v>
      </c>
      <c r="N632">
        <v>0</v>
      </c>
      <c r="P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Q632">
        <f>AND(IF(metadata!C632="",FALSE,TRUE),exact(metadata!C632,"other"))</f>
        <v>0</v>
      </c>
      <c r="R632">
        <f>AND(IF(metadata!D632="",FALSE,TRUE),exact(metadata!D632,"metagenome"))</f>
        <v>0</v>
      </c>
      <c r="S632">
        <f>AND(IF(metadata!E632="",FALSE,TRUE),exact(metadata!E632,"256318"))</f>
        <v>0</v>
      </c>
    </row>
    <row r="633" spans="1:19">
      <c r="A633" s="4">
        <f>IF(B633=" "," ",HYPERLINK(CONCATENATE("#metadata!",ADDRESS(INDEX($K$2:$K$1001,MATCH(ROWS($I$2:I633),$I$2:$I$1001,0),0),1)),INDEX($N$2:$N$1001,MATCH(ROWS($I$2:I633),$I$2:$I$1001,0),0)))</f>
        <v>0</v>
      </c>
      <c r="B633" s="3">
        <f>IF(OR(INDEX($J$2:$J$1001,MATCH(ROWS($I$2:I633),$I$2:$I$1001,0),1)&gt;=100000,INDEX($P$1005:$S$1005,1,MATCH(COLUMNS($P$1006:P1006),$P$1006:$S$1006,0))&gt;=100000), " ",IF(INDEX($P$2:$S$1001,MATCH(ROWS($I$2:I633),$I$2:$I$1001,0),MATCH(COLUMNS($P$1006:P1006),$P$1006:$S$1006,0)), HYPERLINK("#",""), HYPERLINK(CONCATENATE("#metadata!", ADDRESS(INDEX($K$2:$K$1001,MATCH(ROWS($I$2:I633),$I$2:$I$1001,0),0), INDEX($P$1004:$S$1004,1,MATCH(COLUMNS($P$1006:P1006),$P$1006:$S$1006,0)))),"Fix")))</f>
        <v>0</v>
      </c>
      <c r="C633" s="3">
        <f>IF(OR(INDEX($J$2:$J$1001,MATCH(ROWS($I$2:I633),$I$2:$I$1001,0),1)&gt;=100000,INDEX($P$1005:$S$1005,1,MATCH(COLUMNS($P$1006:Q1006),$P$1006:$S$1006,0))&gt;=100000), " ",IF(INDEX($P$2:$S$1001,MATCH(ROWS($I$2:I633),$I$2:$I$1001,0),MATCH(COLUMNS($P$1006:Q1006),$P$1006:$S$1006,0)), HYPERLINK("#",""), HYPERLINK(CONCATENATE("#metadata!", ADDRESS(INDEX($K$2:$K$1001,MATCH(ROWS($I$2:I633),$I$2:$I$1001,0),0), INDEX($P$1004:$S$1004,1,MATCH(COLUMNS($P$1006:Q1006),$P$1006:$S$1006,0)))),"Fix")))</f>
        <v>0</v>
      </c>
      <c r="D633" s="3">
        <f>IF(OR(INDEX($J$2:$J$1001,MATCH(ROWS($I$2:I633),$I$2:$I$1001,0),1)&gt;=100000,INDEX($P$1005:$S$1005,1,MATCH(COLUMNS($P$1006:R1006),$P$1006:$S$1006,0))&gt;=100000), " ",IF(INDEX($P$2:$S$1001,MATCH(ROWS($I$2:I633),$I$2:$I$1001,0),MATCH(COLUMNS($P$1006:R1006),$P$1006:$S$1006,0)), HYPERLINK("#",""), HYPERLINK(CONCATENATE("#metadata!", ADDRESS(INDEX($K$2:$K$1001,MATCH(ROWS($I$2:I633),$I$2:$I$1001,0),0), INDEX($P$1004:$S$1004,1,MATCH(COLUMNS($P$1006:R1006),$P$1006:$S$1006,0)))),"Fix")))</f>
        <v>0</v>
      </c>
      <c r="E633" s="3">
        <f>IF(OR(INDEX($J$2:$J$1001,MATCH(ROWS($I$2:I633),$I$2:$I$1001,0),1)&gt;=100000,INDEX($P$1005:$S$1005,1,MATCH(COLUMNS($P$1006:S1006),$P$1006:$S$1006,0))&gt;=100000), " ",IF(INDEX($P$2:$S$1001,MATCH(ROWS($I$2:I633),$I$2:$I$1001,0),MATCH(COLUMNS($P$1006:S1006),$P$1006:$S$1006,0)), HYPERLINK("#",""), HYPERLINK(CONCATENATE("#metadata!", ADDRESS(INDEX($K$2:$K$1001,MATCH(ROWS($I$2:I633),$I$2:$I$1001,0),0), INDEX($P$1004:$S$1004,1,MATCH(COLUMNS($P$1006:S1006),$P$1006:$S$1006,0)))),"Fix")))</f>
        <v>0</v>
      </c>
      <c r="I633">
        <v>0</v>
      </c>
      <c r="J633">
        <v>0</v>
      </c>
      <c r="K633">
        <v>0</v>
      </c>
      <c r="L633">
        <f>IF(M633,TRUE,AND(P633:S633))</f>
        <v>0</v>
      </c>
      <c r="M633">
        <f>COUNTBLANK(metadata!B633:E633)=COLUMNS(metadata!B633:E633)</f>
        <v>0</v>
      </c>
      <c r="N633">
        <v>0</v>
      </c>
      <c r="P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Q633">
        <f>AND(IF(metadata!C633="",FALSE,TRUE),exact(metadata!C633,"other"))</f>
        <v>0</v>
      </c>
      <c r="R633">
        <f>AND(IF(metadata!D633="",FALSE,TRUE),exact(metadata!D633,"metagenome"))</f>
        <v>0</v>
      </c>
      <c r="S633">
        <f>AND(IF(metadata!E633="",FALSE,TRUE),exact(metadata!E633,"256318"))</f>
        <v>0</v>
      </c>
    </row>
    <row r="634" spans="1:19">
      <c r="A634" s="4">
        <f>IF(B634=" "," ",HYPERLINK(CONCATENATE("#metadata!",ADDRESS(INDEX($K$2:$K$1001,MATCH(ROWS($I$2:I634),$I$2:$I$1001,0),0),1)),INDEX($N$2:$N$1001,MATCH(ROWS($I$2:I634),$I$2:$I$1001,0),0)))</f>
        <v>0</v>
      </c>
      <c r="B634" s="3">
        <f>IF(OR(INDEX($J$2:$J$1001,MATCH(ROWS($I$2:I634),$I$2:$I$1001,0),1)&gt;=100000,INDEX($P$1005:$S$1005,1,MATCH(COLUMNS($P$1006:P1006),$P$1006:$S$1006,0))&gt;=100000), " ",IF(INDEX($P$2:$S$1001,MATCH(ROWS($I$2:I634),$I$2:$I$1001,0),MATCH(COLUMNS($P$1006:P1006),$P$1006:$S$1006,0)), HYPERLINK("#",""), HYPERLINK(CONCATENATE("#metadata!", ADDRESS(INDEX($K$2:$K$1001,MATCH(ROWS($I$2:I634),$I$2:$I$1001,0),0), INDEX($P$1004:$S$1004,1,MATCH(COLUMNS($P$1006:P1006),$P$1006:$S$1006,0)))),"Fix")))</f>
        <v>0</v>
      </c>
      <c r="C634" s="3">
        <f>IF(OR(INDEX($J$2:$J$1001,MATCH(ROWS($I$2:I634),$I$2:$I$1001,0),1)&gt;=100000,INDEX($P$1005:$S$1005,1,MATCH(COLUMNS($P$1006:Q1006),$P$1006:$S$1006,0))&gt;=100000), " ",IF(INDEX($P$2:$S$1001,MATCH(ROWS($I$2:I634),$I$2:$I$1001,0),MATCH(COLUMNS($P$1006:Q1006),$P$1006:$S$1006,0)), HYPERLINK("#",""), HYPERLINK(CONCATENATE("#metadata!", ADDRESS(INDEX($K$2:$K$1001,MATCH(ROWS($I$2:I634),$I$2:$I$1001,0),0), INDEX($P$1004:$S$1004,1,MATCH(COLUMNS($P$1006:Q1006),$P$1006:$S$1006,0)))),"Fix")))</f>
        <v>0</v>
      </c>
      <c r="D634" s="3">
        <f>IF(OR(INDEX($J$2:$J$1001,MATCH(ROWS($I$2:I634),$I$2:$I$1001,0),1)&gt;=100000,INDEX($P$1005:$S$1005,1,MATCH(COLUMNS($P$1006:R1006),$P$1006:$S$1006,0))&gt;=100000), " ",IF(INDEX($P$2:$S$1001,MATCH(ROWS($I$2:I634),$I$2:$I$1001,0),MATCH(COLUMNS($P$1006:R1006),$P$1006:$S$1006,0)), HYPERLINK("#",""), HYPERLINK(CONCATENATE("#metadata!", ADDRESS(INDEX($K$2:$K$1001,MATCH(ROWS($I$2:I634),$I$2:$I$1001,0),0), INDEX($P$1004:$S$1004,1,MATCH(COLUMNS($P$1006:R1006),$P$1006:$S$1006,0)))),"Fix")))</f>
        <v>0</v>
      </c>
      <c r="E634" s="3">
        <f>IF(OR(INDEX($J$2:$J$1001,MATCH(ROWS($I$2:I634),$I$2:$I$1001,0),1)&gt;=100000,INDEX($P$1005:$S$1005,1,MATCH(COLUMNS($P$1006:S1006),$P$1006:$S$1006,0))&gt;=100000), " ",IF(INDEX($P$2:$S$1001,MATCH(ROWS($I$2:I634),$I$2:$I$1001,0),MATCH(COLUMNS($P$1006:S1006),$P$1006:$S$1006,0)), HYPERLINK("#",""), HYPERLINK(CONCATENATE("#metadata!", ADDRESS(INDEX($K$2:$K$1001,MATCH(ROWS($I$2:I634),$I$2:$I$1001,0),0), INDEX($P$1004:$S$1004,1,MATCH(COLUMNS($P$1006:S1006),$P$1006:$S$1006,0)))),"Fix")))</f>
        <v>0</v>
      </c>
      <c r="I634">
        <v>0</v>
      </c>
      <c r="J634">
        <v>0</v>
      </c>
      <c r="K634">
        <v>0</v>
      </c>
      <c r="L634">
        <f>IF(M634,TRUE,AND(P634:S634))</f>
        <v>0</v>
      </c>
      <c r="M634">
        <f>COUNTBLANK(metadata!B634:E634)=COLUMNS(metadata!B634:E634)</f>
        <v>0</v>
      </c>
      <c r="N634">
        <v>0</v>
      </c>
      <c r="P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Q634">
        <f>AND(IF(metadata!C634="",FALSE,TRUE),exact(metadata!C634,"other"))</f>
        <v>0</v>
      </c>
      <c r="R634">
        <f>AND(IF(metadata!D634="",FALSE,TRUE),exact(metadata!D634,"metagenome"))</f>
        <v>0</v>
      </c>
      <c r="S634">
        <f>AND(IF(metadata!E634="",FALSE,TRUE),exact(metadata!E634,"256318"))</f>
        <v>0</v>
      </c>
    </row>
    <row r="635" spans="1:19">
      <c r="A635" s="4">
        <f>IF(B635=" "," ",HYPERLINK(CONCATENATE("#metadata!",ADDRESS(INDEX($K$2:$K$1001,MATCH(ROWS($I$2:I635),$I$2:$I$1001,0),0),1)),INDEX($N$2:$N$1001,MATCH(ROWS($I$2:I635),$I$2:$I$1001,0),0)))</f>
        <v>0</v>
      </c>
      <c r="B635" s="3">
        <f>IF(OR(INDEX($J$2:$J$1001,MATCH(ROWS($I$2:I635),$I$2:$I$1001,0),1)&gt;=100000,INDEX($P$1005:$S$1005,1,MATCH(COLUMNS($P$1006:P1006),$P$1006:$S$1006,0))&gt;=100000), " ",IF(INDEX($P$2:$S$1001,MATCH(ROWS($I$2:I635),$I$2:$I$1001,0),MATCH(COLUMNS($P$1006:P1006),$P$1006:$S$1006,0)), HYPERLINK("#",""), HYPERLINK(CONCATENATE("#metadata!", ADDRESS(INDEX($K$2:$K$1001,MATCH(ROWS($I$2:I635),$I$2:$I$1001,0),0), INDEX($P$1004:$S$1004,1,MATCH(COLUMNS($P$1006:P1006),$P$1006:$S$1006,0)))),"Fix")))</f>
        <v>0</v>
      </c>
      <c r="C635" s="3">
        <f>IF(OR(INDEX($J$2:$J$1001,MATCH(ROWS($I$2:I635),$I$2:$I$1001,0),1)&gt;=100000,INDEX($P$1005:$S$1005,1,MATCH(COLUMNS($P$1006:Q1006),$P$1006:$S$1006,0))&gt;=100000), " ",IF(INDEX($P$2:$S$1001,MATCH(ROWS($I$2:I635),$I$2:$I$1001,0),MATCH(COLUMNS($P$1006:Q1006),$P$1006:$S$1006,0)), HYPERLINK("#",""), HYPERLINK(CONCATENATE("#metadata!", ADDRESS(INDEX($K$2:$K$1001,MATCH(ROWS($I$2:I635),$I$2:$I$1001,0),0), INDEX($P$1004:$S$1004,1,MATCH(COLUMNS($P$1006:Q1006),$P$1006:$S$1006,0)))),"Fix")))</f>
        <v>0</v>
      </c>
      <c r="D635" s="3">
        <f>IF(OR(INDEX($J$2:$J$1001,MATCH(ROWS($I$2:I635),$I$2:$I$1001,0),1)&gt;=100000,INDEX($P$1005:$S$1005,1,MATCH(COLUMNS($P$1006:R1006),$P$1006:$S$1006,0))&gt;=100000), " ",IF(INDEX($P$2:$S$1001,MATCH(ROWS($I$2:I635),$I$2:$I$1001,0),MATCH(COLUMNS($P$1006:R1006),$P$1006:$S$1006,0)), HYPERLINK("#",""), HYPERLINK(CONCATENATE("#metadata!", ADDRESS(INDEX($K$2:$K$1001,MATCH(ROWS($I$2:I635),$I$2:$I$1001,0),0), INDEX($P$1004:$S$1004,1,MATCH(COLUMNS($P$1006:R1006),$P$1006:$S$1006,0)))),"Fix")))</f>
        <v>0</v>
      </c>
      <c r="E635" s="3">
        <f>IF(OR(INDEX($J$2:$J$1001,MATCH(ROWS($I$2:I635),$I$2:$I$1001,0),1)&gt;=100000,INDEX($P$1005:$S$1005,1,MATCH(COLUMNS($P$1006:S1006),$P$1006:$S$1006,0))&gt;=100000), " ",IF(INDEX($P$2:$S$1001,MATCH(ROWS($I$2:I635),$I$2:$I$1001,0),MATCH(COLUMNS($P$1006:S1006),$P$1006:$S$1006,0)), HYPERLINK("#",""), HYPERLINK(CONCATENATE("#metadata!", ADDRESS(INDEX($K$2:$K$1001,MATCH(ROWS($I$2:I635),$I$2:$I$1001,0),0), INDEX($P$1004:$S$1004,1,MATCH(COLUMNS($P$1006:S1006),$P$1006:$S$1006,0)))),"Fix")))</f>
        <v>0</v>
      </c>
      <c r="I635">
        <v>0</v>
      </c>
      <c r="J635">
        <v>0</v>
      </c>
      <c r="K635">
        <v>0</v>
      </c>
      <c r="L635">
        <f>IF(M635,TRUE,AND(P635:S635))</f>
        <v>0</v>
      </c>
      <c r="M635">
        <f>COUNTBLANK(metadata!B635:E635)=COLUMNS(metadata!B635:E635)</f>
        <v>0</v>
      </c>
      <c r="N635">
        <v>0</v>
      </c>
      <c r="P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Q635">
        <f>AND(IF(metadata!C635="",FALSE,TRUE),exact(metadata!C635,"other"))</f>
        <v>0</v>
      </c>
      <c r="R635">
        <f>AND(IF(metadata!D635="",FALSE,TRUE),exact(metadata!D635,"metagenome"))</f>
        <v>0</v>
      </c>
      <c r="S635">
        <f>AND(IF(metadata!E635="",FALSE,TRUE),exact(metadata!E635,"256318"))</f>
        <v>0</v>
      </c>
    </row>
    <row r="636" spans="1:19">
      <c r="A636" s="4">
        <f>IF(B636=" "," ",HYPERLINK(CONCATENATE("#metadata!",ADDRESS(INDEX($K$2:$K$1001,MATCH(ROWS($I$2:I636),$I$2:$I$1001,0),0),1)),INDEX($N$2:$N$1001,MATCH(ROWS($I$2:I636),$I$2:$I$1001,0),0)))</f>
        <v>0</v>
      </c>
      <c r="B636" s="3">
        <f>IF(OR(INDEX($J$2:$J$1001,MATCH(ROWS($I$2:I636),$I$2:$I$1001,0),1)&gt;=100000,INDEX($P$1005:$S$1005,1,MATCH(COLUMNS($P$1006:P1006),$P$1006:$S$1006,0))&gt;=100000), " ",IF(INDEX($P$2:$S$1001,MATCH(ROWS($I$2:I636),$I$2:$I$1001,0),MATCH(COLUMNS($P$1006:P1006),$P$1006:$S$1006,0)), HYPERLINK("#",""), HYPERLINK(CONCATENATE("#metadata!", ADDRESS(INDEX($K$2:$K$1001,MATCH(ROWS($I$2:I636),$I$2:$I$1001,0),0), INDEX($P$1004:$S$1004,1,MATCH(COLUMNS($P$1006:P1006),$P$1006:$S$1006,0)))),"Fix")))</f>
        <v>0</v>
      </c>
      <c r="C636" s="3">
        <f>IF(OR(INDEX($J$2:$J$1001,MATCH(ROWS($I$2:I636),$I$2:$I$1001,0),1)&gt;=100000,INDEX($P$1005:$S$1005,1,MATCH(COLUMNS($P$1006:Q1006),$P$1006:$S$1006,0))&gt;=100000), " ",IF(INDEX($P$2:$S$1001,MATCH(ROWS($I$2:I636),$I$2:$I$1001,0),MATCH(COLUMNS($P$1006:Q1006),$P$1006:$S$1006,0)), HYPERLINK("#",""), HYPERLINK(CONCATENATE("#metadata!", ADDRESS(INDEX($K$2:$K$1001,MATCH(ROWS($I$2:I636),$I$2:$I$1001,0),0), INDEX($P$1004:$S$1004,1,MATCH(COLUMNS($P$1006:Q1006),$P$1006:$S$1006,0)))),"Fix")))</f>
        <v>0</v>
      </c>
      <c r="D636" s="3">
        <f>IF(OR(INDEX($J$2:$J$1001,MATCH(ROWS($I$2:I636),$I$2:$I$1001,0),1)&gt;=100000,INDEX($P$1005:$S$1005,1,MATCH(COLUMNS($P$1006:R1006),$P$1006:$S$1006,0))&gt;=100000), " ",IF(INDEX($P$2:$S$1001,MATCH(ROWS($I$2:I636),$I$2:$I$1001,0),MATCH(COLUMNS($P$1006:R1006),$P$1006:$S$1006,0)), HYPERLINK("#",""), HYPERLINK(CONCATENATE("#metadata!", ADDRESS(INDEX($K$2:$K$1001,MATCH(ROWS($I$2:I636),$I$2:$I$1001,0),0), INDEX($P$1004:$S$1004,1,MATCH(COLUMNS($P$1006:R1006),$P$1006:$S$1006,0)))),"Fix")))</f>
        <v>0</v>
      </c>
      <c r="E636" s="3">
        <f>IF(OR(INDEX($J$2:$J$1001,MATCH(ROWS($I$2:I636),$I$2:$I$1001,0),1)&gt;=100000,INDEX($P$1005:$S$1005,1,MATCH(COLUMNS($P$1006:S1006),$P$1006:$S$1006,0))&gt;=100000), " ",IF(INDEX($P$2:$S$1001,MATCH(ROWS($I$2:I636),$I$2:$I$1001,0),MATCH(COLUMNS($P$1006:S1006),$P$1006:$S$1006,0)), HYPERLINK("#",""), HYPERLINK(CONCATENATE("#metadata!", ADDRESS(INDEX($K$2:$K$1001,MATCH(ROWS($I$2:I636),$I$2:$I$1001,0),0), INDEX($P$1004:$S$1004,1,MATCH(COLUMNS($P$1006:S1006),$P$1006:$S$1006,0)))),"Fix")))</f>
        <v>0</v>
      </c>
      <c r="I636">
        <v>0</v>
      </c>
      <c r="J636">
        <v>0</v>
      </c>
      <c r="K636">
        <v>0</v>
      </c>
      <c r="L636">
        <f>IF(M636,TRUE,AND(P636:S636))</f>
        <v>0</v>
      </c>
      <c r="M636">
        <f>COUNTBLANK(metadata!B636:E636)=COLUMNS(metadata!B636:E636)</f>
        <v>0</v>
      </c>
      <c r="N636">
        <v>0</v>
      </c>
      <c r="P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Q636">
        <f>AND(IF(metadata!C636="",FALSE,TRUE),exact(metadata!C636,"other"))</f>
        <v>0</v>
      </c>
      <c r="R636">
        <f>AND(IF(metadata!D636="",FALSE,TRUE),exact(metadata!D636,"metagenome"))</f>
        <v>0</v>
      </c>
      <c r="S636">
        <f>AND(IF(metadata!E636="",FALSE,TRUE),exact(metadata!E636,"256318"))</f>
        <v>0</v>
      </c>
    </row>
    <row r="637" spans="1:19">
      <c r="A637" s="4">
        <f>IF(B637=" "," ",HYPERLINK(CONCATENATE("#metadata!",ADDRESS(INDEX($K$2:$K$1001,MATCH(ROWS($I$2:I637),$I$2:$I$1001,0),0),1)),INDEX($N$2:$N$1001,MATCH(ROWS($I$2:I637),$I$2:$I$1001,0),0)))</f>
        <v>0</v>
      </c>
      <c r="B637" s="3">
        <f>IF(OR(INDEX($J$2:$J$1001,MATCH(ROWS($I$2:I637),$I$2:$I$1001,0),1)&gt;=100000,INDEX($P$1005:$S$1005,1,MATCH(COLUMNS($P$1006:P1006),$P$1006:$S$1006,0))&gt;=100000), " ",IF(INDEX($P$2:$S$1001,MATCH(ROWS($I$2:I637),$I$2:$I$1001,0),MATCH(COLUMNS($P$1006:P1006),$P$1006:$S$1006,0)), HYPERLINK("#",""), HYPERLINK(CONCATENATE("#metadata!", ADDRESS(INDEX($K$2:$K$1001,MATCH(ROWS($I$2:I637),$I$2:$I$1001,0),0), INDEX($P$1004:$S$1004,1,MATCH(COLUMNS($P$1006:P1006),$P$1006:$S$1006,0)))),"Fix")))</f>
        <v>0</v>
      </c>
      <c r="C637" s="3">
        <f>IF(OR(INDEX($J$2:$J$1001,MATCH(ROWS($I$2:I637),$I$2:$I$1001,0),1)&gt;=100000,INDEX($P$1005:$S$1005,1,MATCH(COLUMNS($P$1006:Q1006),$P$1006:$S$1006,0))&gt;=100000), " ",IF(INDEX($P$2:$S$1001,MATCH(ROWS($I$2:I637),$I$2:$I$1001,0),MATCH(COLUMNS($P$1006:Q1006),$P$1006:$S$1006,0)), HYPERLINK("#",""), HYPERLINK(CONCATENATE("#metadata!", ADDRESS(INDEX($K$2:$K$1001,MATCH(ROWS($I$2:I637),$I$2:$I$1001,0),0), INDEX($P$1004:$S$1004,1,MATCH(COLUMNS($P$1006:Q1006),$P$1006:$S$1006,0)))),"Fix")))</f>
        <v>0</v>
      </c>
      <c r="D637" s="3">
        <f>IF(OR(INDEX($J$2:$J$1001,MATCH(ROWS($I$2:I637),$I$2:$I$1001,0),1)&gt;=100000,INDEX($P$1005:$S$1005,1,MATCH(COLUMNS($P$1006:R1006),$P$1006:$S$1006,0))&gt;=100000), " ",IF(INDEX($P$2:$S$1001,MATCH(ROWS($I$2:I637),$I$2:$I$1001,0),MATCH(COLUMNS($P$1006:R1006),$P$1006:$S$1006,0)), HYPERLINK("#",""), HYPERLINK(CONCATENATE("#metadata!", ADDRESS(INDEX($K$2:$K$1001,MATCH(ROWS($I$2:I637),$I$2:$I$1001,0),0), INDEX($P$1004:$S$1004,1,MATCH(COLUMNS($P$1006:R1006),$P$1006:$S$1006,0)))),"Fix")))</f>
        <v>0</v>
      </c>
      <c r="E637" s="3">
        <f>IF(OR(INDEX($J$2:$J$1001,MATCH(ROWS($I$2:I637),$I$2:$I$1001,0),1)&gt;=100000,INDEX($P$1005:$S$1005,1,MATCH(COLUMNS($P$1006:S1006),$P$1006:$S$1006,0))&gt;=100000), " ",IF(INDEX($P$2:$S$1001,MATCH(ROWS($I$2:I637),$I$2:$I$1001,0),MATCH(COLUMNS($P$1006:S1006),$P$1006:$S$1006,0)), HYPERLINK("#",""), HYPERLINK(CONCATENATE("#metadata!", ADDRESS(INDEX($K$2:$K$1001,MATCH(ROWS($I$2:I637),$I$2:$I$1001,0),0), INDEX($P$1004:$S$1004,1,MATCH(COLUMNS($P$1006:S1006),$P$1006:$S$1006,0)))),"Fix")))</f>
        <v>0</v>
      </c>
      <c r="I637">
        <v>0</v>
      </c>
      <c r="J637">
        <v>0</v>
      </c>
      <c r="K637">
        <v>0</v>
      </c>
      <c r="L637">
        <f>IF(M637,TRUE,AND(P637:S637))</f>
        <v>0</v>
      </c>
      <c r="M637">
        <f>COUNTBLANK(metadata!B637:E637)=COLUMNS(metadata!B637:E637)</f>
        <v>0</v>
      </c>
      <c r="N637">
        <v>0</v>
      </c>
      <c r="P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Q637">
        <f>AND(IF(metadata!C637="",FALSE,TRUE),exact(metadata!C637,"other"))</f>
        <v>0</v>
      </c>
      <c r="R637">
        <f>AND(IF(metadata!D637="",FALSE,TRUE),exact(metadata!D637,"metagenome"))</f>
        <v>0</v>
      </c>
      <c r="S637">
        <f>AND(IF(metadata!E637="",FALSE,TRUE),exact(metadata!E637,"256318"))</f>
        <v>0</v>
      </c>
    </row>
    <row r="638" spans="1:19">
      <c r="A638" s="4">
        <f>IF(B638=" "," ",HYPERLINK(CONCATENATE("#metadata!",ADDRESS(INDEX($K$2:$K$1001,MATCH(ROWS($I$2:I638),$I$2:$I$1001,0),0),1)),INDEX($N$2:$N$1001,MATCH(ROWS($I$2:I638),$I$2:$I$1001,0),0)))</f>
        <v>0</v>
      </c>
      <c r="B638" s="3">
        <f>IF(OR(INDEX($J$2:$J$1001,MATCH(ROWS($I$2:I638),$I$2:$I$1001,0),1)&gt;=100000,INDEX($P$1005:$S$1005,1,MATCH(COLUMNS($P$1006:P1006),$P$1006:$S$1006,0))&gt;=100000), " ",IF(INDEX($P$2:$S$1001,MATCH(ROWS($I$2:I638),$I$2:$I$1001,0),MATCH(COLUMNS($P$1006:P1006),$P$1006:$S$1006,0)), HYPERLINK("#",""), HYPERLINK(CONCATENATE("#metadata!", ADDRESS(INDEX($K$2:$K$1001,MATCH(ROWS($I$2:I638),$I$2:$I$1001,0),0), INDEX($P$1004:$S$1004,1,MATCH(COLUMNS($P$1006:P1006),$P$1006:$S$1006,0)))),"Fix")))</f>
        <v>0</v>
      </c>
      <c r="C638" s="3">
        <f>IF(OR(INDEX($J$2:$J$1001,MATCH(ROWS($I$2:I638),$I$2:$I$1001,0),1)&gt;=100000,INDEX($P$1005:$S$1005,1,MATCH(COLUMNS($P$1006:Q1006),$P$1006:$S$1006,0))&gt;=100000), " ",IF(INDEX($P$2:$S$1001,MATCH(ROWS($I$2:I638),$I$2:$I$1001,0),MATCH(COLUMNS($P$1006:Q1006),$P$1006:$S$1006,0)), HYPERLINK("#",""), HYPERLINK(CONCATENATE("#metadata!", ADDRESS(INDEX($K$2:$K$1001,MATCH(ROWS($I$2:I638),$I$2:$I$1001,0),0), INDEX($P$1004:$S$1004,1,MATCH(COLUMNS($P$1006:Q1006),$P$1006:$S$1006,0)))),"Fix")))</f>
        <v>0</v>
      </c>
      <c r="D638" s="3">
        <f>IF(OR(INDEX($J$2:$J$1001,MATCH(ROWS($I$2:I638),$I$2:$I$1001,0),1)&gt;=100000,INDEX($P$1005:$S$1005,1,MATCH(COLUMNS($P$1006:R1006),$P$1006:$S$1006,0))&gt;=100000), " ",IF(INDEX($P$2:$S$1001,MATCH(ROWS($I$2:I638),$I$2:$I$1001,0),MATCH(COLUMNS($P$1006:R1006),$P$1006:$S$1006,0)), HYPERLINK("#",""), HYPERLINK(CONCATENATE("#metadata!", ADDRESS(INDEX($K$2:$K$1001,MATCH(ROWS($I$2:I638),$I$2:$I$1001,0),0), INDEX($P$1004:$S$1004,1,MATCH(COLUMNS($P$1006:R1006),$P$1006:$S$1006,0)))),"Fix")))</f>
        <v>0</v>
      </c>
      <c r="E638" s="3">
        <f>IF(OR(INDEX($J$2:$J$1001,MATCH(ROWS($I$2:I638),$I$2:$I$1001,0),1)&gt;=100000,INDEX($P$1005:$S$1005,1,MATCH(COLUMNS($P$1006:S1006),$P$1006:$S$1006,0))&gt;=100000), " ",IF(INDEX($P$2:$S$1001,MATCH(ROWS($I$2:I638),$I$2:$I$1001,0),MATCH(COLUMNS($P$1006:S1006),$P$1006:$S$1006,0)), HYPERLINK("#",""), HYPERLINK(CONCATENATE("#metadata!", ADDRESS(INDEX($K$2:$K$1001,MATCH(ROWS($I$2:I638),$I$2:$I$1001,0),0), INDEX($P$1004:$S$1004,1,MATCH(COLUMNS($P$1006:S1006),$P$1006:$S$1006,0)))),"Fix")))</f>
        <v>0</v>
      </c>
      <c r="I638">
        <v>0</v>
      </c>
      <c r="J638">
        <v>0</v>
      </c>
      <c r="K638">
        <v>0</v>
      </c>
      <c r="L638">
        <f>IF(M638,TRUE,AND(P638:S638))</f>
        <v>0</v>
      </c>
      <c r="M638">
        <f>COUNTBLANK(metadata!B638:E638)=COLUMNS(metadata!B638:E638)</f>
        <v>0</v>
      </c>
      <c r="N638">
        <v>0</v>
      </c>
      <c r="P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Q638">
        <f>AND(IF(metadata!C638="",FALSE,TRUE),exact(metadata!C638,"other"))</f>
        <v>0</v>
      </c>
      <c r="R638">
        <f>AND(IF(metadata!D638="",FALSE,TRUE),exact(metadata!D638,"metagenome"))</f>
        <v>0</v>
      </c>
      <c r="S638">
        <f>AND(IF(metadata!E638="",FALSE,TRUE),exact(metadata!E638,"256318"))</f>
        <v>0</v>
      </c>
    </row>
    <row r="639" spans="1:19">
      <c r="A639" s="4">
        <f>IF(B639=" "," ",HYPERLINK(CONCATENATE("#metadata!",ADDRESS(INDEX($K$2:$K$1001,MATCH(ROWS($I$2:I639),$I$2:$I$1001,0),0),1)),INDEX($N$2:$N$1001,MATCH(ROWS($I$2:I639),$I$2:$I$1001,0),0)))</f>
        <v>0</v>
      </c>
      <c r="B639" s="3">
        <f>IF(OR(INDEX($J$2:$J$1001,MATCH(ROWS($I$2:I639),$I$2:$I$1001,0),1)&gt;=100000,INDEX($P$1005:$S$1005,1,MATCH(COLUMNS($P$1006:P1006),$P$1006:$S$1006,0))&gt;=100000), " ",IF(INDEX($P$2:$S$1001,MATCH(ROWS($I$2:I639),$I$2:$I$1001,0),MATCH(COLUMNS($P$1006:P1006),$P$1006:$S$1006,0)), HYPERLINK("#",""), HYPERLINK(CONCATENATE("#metadata!", ADDRESS(INDEX($K$2:$K$1001,MATCH(ROWS($I$2:I639),$I$2:$I$1001,0),0), INDEX($P$1004:$S$1004,1,MATCH(COLUMNS($P$1006:P1006),$P$1006:$S$1006,0)))),"Fix")))</f>
        <v>0</v>
      </c>
      <c r="C639" s="3">
        <f>IF(OR(INDEX($J$2:$J$1001,MATCH(ROWS($I$2:I639),$I$2:$I$1001,0),1)&gt;=100000,INDEX($P$1005:$S$1005,1,MATCH(COLUMNS($P$1006:Q1006),$P$1006:$S$1006,0))&gt;=100000), " ",IF(INDEX($P$2:$S$1001,MATCH(ROWS($I$2:I639),$I$2:$I$1001,0),MATCH(COLUMNS($P$1006:Q1006),$P$1006:$S$1006,0)), HYPERLINK("#",""), HYPERLINK(CONCATENATE("#metadata!", ADDRESS(INDEX($K$2:$K$1001,MATCH(ROWS($I$2:I639),$I$2:$I$1001,0),0), INDEX($P$1004:$S$1004,1,MATCH(COLUMNS($P$1006:Q1006),$P$1006:$S$1006,0)))),"Fix")))</f>
        <v>0</v>
      </c>
      <c r="D639" s="3">
        <f>IF(OR(INDEX($J$2:$J$1001,MATCH(ROWS($I$2:I639),$I$2:$I$1001,0),1)&gt;=100000,INDEX($P$1005:$S$1005,1,MATCH(COLUMNS($P$1006:R1006),$P$1006:$S$1006,0))&gt;=100000), " ",IF(INDEX($P$2:$S$1001,MATCH(ROWS($I$2:I639),$I$2:$I$1001,0),MATCH(COLUMNS($P$1006:R1006),$P$1006:$S$1006,0)), HYPERLINK("#",""), HYPERLINK(CONCATENATE("#metadata!", ADDRESS(INDEX($K$2:$K$1001,MATCH(ROWS($I$2:I639),$I$2:$I$1001,0),0), INDEX($P$1004:$S$1004,1,MATCH(COLUMNS($P$1006:R1006),$P$1006:$S$1006,0)))),"Fix")))</f>
        <v>0</v>
      </c>
      <c r="E639" s="3">
        <f>IF(OR(INDEX($J$2:$J$1001,MATCH(ROWS($I$2:I639),$I$2:$I$1001,0),1)&gt;=100000,INDEX($P$1005:$S$1005,1,MATCH(COLUMNS($P$1006:S1006),$P$1006:$S$1006,0))&gt;=100000), " ",IF(INDEX($P$2:$S$1001,MATCH(ROWS($I$2:I639),$I$2:$I$1001,0),MATCH(COLUMNS($P$1006:S1006),$P$1006:$S$1006,0)), HYPERLINK("#",""), HYPERLINK(CONCATENATE("#metadata!", ADDRESS(INDEX($K$2:$K$1001,MATCH(ROWS($I$2:I639),$I$2:$I$1001,0),0), INDEX($P$1004:$S$1004,1,MATCH(COLUMNS($P$1006:S1006),$P$1006:$S$1006,0)))),"Fix")))</f>
        <v>0</v>
      </c>
      <c r="I639">
        <v>0</v>
      </c>
      <c r="J639">
        <v>0</v>
      </c>
      <c r="K639">
        <v>0</v>
      </c>
      <c r="L639">
        <f>IF(M639,TRUE,AND(P639:S639))</f>
        <v>0</v>
      </c>
      <c r="M639">
        <f>COUNTBLANK(metadata!B639:E639)=COLUMNS(metadata!B639:E639)</f>
        <v>0</v>
      </c>
      <c r="N639">
        <v>0</v>
      </c>
      <c r="P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Q639">
        <f>AND(IF(metadata!C639="",FALSE,TRUE),exact(metadata!C639,"other"))</f>
        <v>0</v>
      </c>
      <c r="R639">
        <f>AND(IF(metadata!D639="",FALSE,TRUE),exact(metadata!D639,"metagenome"))</f>
        <v>0</v>
      </c>
      <c r="S639">
        <f>AND(IF(metadata!E639="",FALSE,TRUE),exact(metadata!E639,"256318"))</f>
        <v>0</v>
      </c>
    </row>
    <row r="640" spans="1:19">
      <c r="A640" s="4">
        <f>IF(B640=" "," ",HYPERLINK(CONCATENATE("#metadata!",ADDRESS(INDEX($K$2:$K$1001,MATCH(ROWS($I$2:I640),$I$2:$I$1001,0),0),1)),INDEX($N$2:$N$1001,MATCH(ROWS($I$2:I640),$I$2:$I$1001,0),0)))</f>
        <v>0</v>
      </c>
      <c r="B640" s="3">
        <f>IF(OR(INDEX($J$2:$J$1001,MATCH(ROWS($I$2:I640),$I$2:$I$1001,0),1)&gt;=100000,INDEX($P$1005:$S$1005,1,MATCH(COLUMNS($P$1006:P1006),$P$1006:$S$1006,0))&gt;=100000), " ",IF(INDEX($P$2:$S$1001,MATCH(ROWS($I$2:I640),$I$2:$I$1001,0),MATCH(COLUMNS($P$1006:P1006),$P$1006:$S$1006,0)), HYPERLINK("#",""), HYPERLINK(CONCATENATE("#metadata!", ADDRESS(INDEX($K$2:$K$1001,MATCH(ROWS($I$2:I640),$I$2:$I$1001,0),0), INDEX($P$1004:$S$1004,1,MATCH(COLUMNS($P$1006:P1006),$P$1006:$S$1006,0)))),"Fix")))</f>
        <v>0</v>
      </c>
      <c r="C640" s="3">
        <f>IF(OR(INDEX($J$2:$J$1001,MATCH(ROWS($I$2:I640),$I$2:$I$1001,0),1)&gt;=100000,INDEX($P$1005:$S$1005,1,MATCH(COLUMNS($P$1006:Q1006),$P$1006:$S$1006,0))&gt;=100000), " ",IF(INDEX($P$2:$S$1001,MATCH(ROWS($I$2:I640),$I$2:$I$1001,0),MATCH(COLUMNS($P$1006:Q1006),$P$1006:$S$1006,0)), HYPERLINK("#",""), HYPERLINK(CONCATENATE("#metadata!", ADDRESS(INDEX($K$2:$K$1001,MATCH(ROWS($I$2:I640),$I$2:$I$1001,0),0), INDEX($P$1004:$S$1004,1,MATCH(COLUMNS($P$1006:Q1006),$P$1006:$S$1006,0)))),"Fix")))</f>
        <v>0</v>
      </c>
      <c r="D640" s="3">
        <f>IF(OR(INDEX($J$2:$J$1001,MATCH(ROWS($I$2:I640),$I$2:$I$1001,0),1)&gt;=100000,INDEX($P$1005:$S$1005,1,MATCH(COLUMNS($P$1006:R1006),$P$1006:$S$1006,0))&gt;=100000), " ",IF(INDEX($P$2:$S$1001,MATCH(ROWS($I$2:I640),$I$2:$I$1001,0),MATCH(COLUMNS($P$1006:R1006),$P$1006:$S$1006,0)), HYPERLINK("#",""), HYPERLINK(CONCATENATE("#metadata!", ADDRESS(INDEX($K$2:$K$1001,MATCH(ROWS($I$2:I640),$I$2:$I$1001,0),0), INDEX($P$1004:$S$1004,1,MATCH(COLUMNS($P$1006:R1006),$P$1006:$S$1006,0)))),"Fix")))</f>
        <v>0</v>
      </c>
      <c r="E640" s="3">
        <f>IF(OR(INDEX($J$2:$J$1001,MATCH(ROWS($I$2:I640),$I$2:$I$1001,0),1)&gt;=100000,INDEX($P$1005:$S$1005,1,MATCH(COLUMNS($P$1006:S1006),$P$1006:$S$1006,0))&gt;=100000), " ",IF(INDEX($P$2:$S$1001,MATCH(ROWS($I$2:I640),$I$2:$I$1001,0),MATCH(COLUMNS($P$1006:S1006),$P$1006:$S$1006,0)), HYPERLINK("#",""), HYPERLINK(CONCATENATE("#metadata!", ADDRESS(INDEX($K$2:$K$1001,MATCH(ROWS($I$2:I640),$I$2:$I$1001,0),0), INDEX($P$1004:$S$1004,1,MATCH(COLUMNS($P$1006:S1006),$P$1006:$S$1006,0)))),"Fix")))</f>
        <v>0</v>
      </c>
      <c r="I640">
        <v>0</v>
      </c>
      <c r="J640">
        <v>0</v>
      </c>
      <c r="K640">
        <v>0</v>
      </c>
      <c r="L640">
        <f>IF(M640,TRUE,AND(P640:S640))</f>
        <v>0</v>
      </c>
      <c r="M640">
        <f>COUNTBLANK(metadata!B640:E640)=COLUMNS(metadata!B640:E640)</f>
        <v>0</v>
      </c>
      <c r="N640">
        <v>0</v>
      </c>
      <c r="P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Q640">
        <f>AND(IF(metadata!C640="",FALSE,TRUE),exact(metadata!C640,"other"))</f>
        <v>0</v>
      </c>
      <c r="R640">
        <f>AND(IF(metadata!D640="",FALSE,TRUE),exact(metadata!D640,"metagenome"))</f>
        <v>0</v>
      </c>
      <c r="S640">
        <f>AND(IF(metadata!E640="",FALSE,TRUE),exact(metadata!E640,"256318"))</f>
        <v>0</v>
      </c>
    </row>
    <row r="641" spans="1:19">
      <c r="A641" s="4">
        <f>IF(B641=" "," ",HYPERLINK(CONCATENATE("#metadata!",ADDRESS(INDEX($K$2:$K$1001,MATCH(ROWS($I$2:I641),$I$2:$I$1001,0),0),1)),INDEX($N$2:$N$1001,MATCH(ROWS($I$2:I641),$I$2:$I$1001,0),0)))</f>
        <v>0</v>
      </c>
      <c r="B641" s="3">
        <f>IF(OR(INDEX($J$2:$J$1001,MATCH(ROWS($I$2:I641),$I$2:$I$1001,0),1)&gt;=100000,INDEX($P$1005:$S$1005,1,MATCH(COLUMNS($P$1006:P1006),$P$1006:$S$1006,0))&gt;=100000), " ",IF(INDEX($P$2:$S$1001,MATCH(ROWS($I$2:I641),$I$2:$I$1001,0),MATCH(COLUMNS($P$1006:P1006),$P$1006:$S$1006,0)), HYPERLINK("#",""), HYPERLINK(CONCATENATE("#metadata!", ADDRESS(INDEX($K$2:$K$1001,MATCH(ROWS($I$2:I641),$I$2:$I$1001,0),0), INDEX($P$1004:$S$1004,1,MATCH(COLUMNS($P$1006:P1006),$P$1006:$S$1006,0)))),"Fix")))</f>
        <v>0</v>
      </c>
      <c r="C641" s="3">
        <f>IF(OR(INDEX($J$2:$J$1001,MATCH(ROWS($I$2:I641),$I$2:$I$1001,0),1)&gt;=100000,INDEX($P$1005:$S$1005,1,MATCH(COLUMNS($P$1006:Q1006),$P$1006:$S$1006,0))&gt;=100000), " ",IF(INDEX($P$2:$S$1001,MATCH(ROWS($I$2:I641),$I$2:$I$1001,0),MATCH(COLUMNS($P$1006:Q1006),$P$1006:$S$1006,0)), HYPERLINK("#",""), HYPERLINK(CONCATENATE("#metadata!", ADDRESS(INDEX($K$2:$K$1001,MATCH(ROWS($I$2:I641),$I$2:$I$1001,0),0), INDEX($P$1004:$S$1004,1,MATCH(COLUMNS($P$1006:Q1006),$P$1006:$S$1006,0)))),"Fix")))</f>
        <v>0</v>
      </c>
      <c r="D641" s="3">
        <f>IF(OR(INDEX($J$2:$J$1001,MATCH(ROWS($I$2:I641),$I$2:$I$1001,0),1)&gt;=100000,INDEX($P$1005:$S$1005,1,MATCH(COLUMNS($P$1006:R1006),$P$1006:$S$1006,0))&gt;=100000), " ",IF(INDEX($P$2:$S$1001,MATCH(ROWS($I$2:I641),$I$2:$I$1001,0),MATCH(COLUMNS($P$1006:R1006),$P$1006:$S$1006,0)), HYPERLINK("#",""), HYPERLINK(CONCATENATE("#metadata!", ADDRESS(INDEX($K$2:$K$1001,MATCH(ROWS($I$2:I641),$I$2:$I$1001,0),0), INDEX($P$1004:$S$1004,1,MATCH(COLUMNS($P$1006:R1006),$P$1006:$S$1006,0)))),"Fix")))</f>
        <v>0</v>
      </c>
      <c r="E641" s="3">
        <f>IF(OR(INDEX($J$2:$J$1001,MATCH(ROWS($I$2:I641),$I$2:$I$1001,0),1)&gt;=100000,INDEX($P$1005:$S$1005,1,MATCH(COLUMNS($P$1006:S1006),$P$1006:$S$1006,0))&gt;=100000), " ",IF(INDEX($P$2:$S$1001,MATCH(ROWS($I$2:I641),$I$2:$I$1001,0),MATCH(COLUMNS($P$1006:S1006),$P$1006:$S$1006,0)), HYPERLINK("#",""), HYPERLINK(CONCATENATE("#metadata!", ADDRESS(INDEX($K$2:$K$1001,MATCH(ROWS($I$2:I641),$I$2:$I$1001,0),0), INDEX($P$1004:$S$1004,1,MATCH(COLUMNS($P$1006:S1006),$P$1006:$S$1006,0)))),"Fix")))</f>
        <v>0</v>
      </c>
      <c r="I641">
        <v>0</v>
      </c>
      <c r="J641">
        <v>0</v>
      </c>
      <c r="K641">
        <v>0</v>
      </c>
      <c r="L641">
        <f>IF(M641,TRUE,AND(P641:S641))</f>
        <v>0</v>
      </c>
      <c r="M641">
        <f>COUNTBLANK(metadata!B641:E641)=COLUMNS(metadata!B641:E641)</f>
        <v>0</v>
      </c>
      <c r="N641">
        <v>0</v>
      </c>
      <c r="P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Q641">
        <f>AND(IF(metadata!C641="",FALSE,TRUE),exact(metadata!C641,"other"))</f>
        <v>0</v>
      </c>
      <c r="R641">
        <f>AND(IF(metadata!D641="",FALSE,TRUE),exact(metadata!D641,"metagenome"))</f>
        <v>0</v>
      </c>
      <c r="S641">
        <f>AND(IF(metadata!E641="",FALSE,TRUE),exact(metadata!E641,"256318"))</f>
        <v>0</v>
      </c>
    </row>
    <row r="642" spans="1:19">
      <c r="A642" s="4">
        <f>IF(B642=" "," ",HYPERLINK(CONCATENATE("#metadata!",ADDRESS(INDEX($K$2:$K$1001,MATCH(ROWS($I$2:I642),$I$2:$I$1001,0),0),1)),INDEX($N$2:$N$1001,MATCH(ROWS($I$2:I642),$I$2:$I$1001,0),0)))</f>
        <v>0</v>
      </c>
      <c r="B642" s="3">
        <f>IF(OR(INDEX($J$2:$J$1001,MATCH(ROWS($I$2:I642),$I$2:$I$1001,0),1)&gt;=100000,INDEX($P$1005:$S$1005,1,MATCH(COLUMNS($P$1006:P1006),$P$1006:$S$1006,0))&gt;=100000), " ",IF(INDEX($P$2:$S$1001,MATCH(ROWS($I$2:I642),$I$2:$I$1001,0),MATCH(COLUMNS($P$1006:P1006),$P$1006:$S$1006,0)), HYPERLINK("#",""), HYPERLINK(CONCATENATE("#metadata!", ADDRESS(INDEX($K$2:$K$1001,MATCH(ROWS($I$2:I642),$I$2:$I$1001,0),0), INDEX($P$1004:$S$1004,1,MATCH(COLUMNS($P$1006:P1006),$P$1006:$S$1006,0)))),"Fix")))</f>
        <v>0</v>
      </c>
      <c r="C642" s="3">
        <f>IF(OR(INDEX($J$2:$J$1001,MATCH(ROWS($I$2:I642),$I$2:$I$1001,0),1)&gt;=100000,INDEX($P$1005:$S$1005,1,MATCH(COLUMNS($P$1006:Q1006),$P$1006:$S$1006,0))&gt;=100000), " ",IF(INDEX($P$2:$S$1001,MATCH(ROWS($I$2:I642),$I$2:$I$1001,0),MATCH(COLUMNS($P$1006:Q1006),$P$1006:$S$1006,0)), HYPERLINK("#",""), HYPERLINK(CONCATENATE("#metadata!", ADDRESS(INDEX($K$2:$K$1001,MATCH(ROWS($I$2:I642),$I$2:$I$1001,0),0), INDEX($P$1004:$S$1004,1,MATCH(COLUMNS($P$1006:Q1006),$P$1006:$S$1006,0)))),"Fix")))</f>
        <v>0</v>
      </c>
      <c r="D642" s="3">
        <f>IF(OR(INDEX($J$2:$J$1001,MATCH(ROWS($I$2:I642),$I$2:$I$1001,0),1)&gt;=100000,INDEX($P$1005:$S$1005,1,MATCH(COLUMNS($P$1006:R1006),$P$1006:$S$1006,0))&gt;=100000), " ",IF(INDEX($P$2:$S$1001,MATCH(ROWS($I$2:I642),$I$2:$I$1001,0),MATCH(COLUMNS($P$1006:R1006),$P$1006:$S$1006,0)), HYPERLINK("#",""), HYPERLINK(CONCATENATE("#metadata!", ADDRESS(INDEX($K$2:$K$1001,MATCH(ROWS($I$2:I642),$I$2:$I$1001,0),0), INDEX($P$1004:$S$1004,1,MATCH(COLUMNS($P$1006:R1006),$P$1006:$S$1006,0)))),"Fix")))</f>
        <v>0</v>
      </c>
      <c r="E642" s="3">
        <f>IF(OR(INDEX($J$2:$J$1001,MATCH(ROWS($I$2:I642),$I$2:$I$1001,0),1)&gt;=100000,INDEX($P$1005:$S$1005,1,MATCH(COLUMNS($P$1006:S1006),$P$1006:$S$1006,0))&gt;=100000), " ",IF(INDEX($P$2:$S$1001,MATCH(ROWS($I$2:I642),$I$2:$I$1001,0),MATCH(COLUMNS($P$1006:S1006),$P$1006:$S$1006,0)), HYPERLINK("#",""), HYPERLINK(CONCATENATE("#metadata!", ADDRESS(INDEX($K$2:$K$1001,MATCH(ROWS($I$2:I642),$I$2:$I$1001,0),0), INDEX($P$1004:$S$1004,1,MATCH(COLUMNS($P$1006:S1006),$P$1006:$S$1006,0)))),"Fix")))</f>
        <v>0</v>
      </c>
      <c r="I642">
        <v>0</v>
      </c>
      <c r="J642">
        <v>0</v>
      </c>
      <c r="K642">
        <v>0</v>
      </c>
      <c r="L642">
        <f>IF(M642,TRUE,AND(P642:S642))</f>
        <v>0</v>
      </c>
      <c r="M642">
        <f>COUNTBLANK(metadata!B642:E642)=COLUMNS(metadata!B642:E642)</f>
        <v>0</v>
      </c>
      <c r="N642">
        <v>0</v>
      </c>
      <c r="P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Q642">
        <f>AND(IF(metadata!C642="",FALSE,TRUE),exact(metadata!C642,"other"))</f>
        <v>0</v>
      </c>
      <c r="R642">
        <f>AND(IF(metadata!D642="",FALSE,TRUE),exact(metadata!D642,"metagenome"))</f>
        <v>0</v>
      </c>
      <c r="S642">
        <f>AND(IF(metadata!E642="",FALSE,TRUE),exact(metadata!E642,"256318"))</f>
        <v>0</v>
      </c>
    </row>
    <row r="643" spans="1:19">
      <c r="A643" s="4">
        <f>IF(B643=" "," ",HYPERLINK(CONCATENATE("#metadata!",ADDRESS(INDEX($K$2:$K$1001,MATCH(ROWS($I$2:I643),$I$2:$I$1001,0),0),1)),INDEX($N$2:$N$1001,MATCH(ROWS($I$2:I643),$I$2:$I$1001,0),0)))</f>
        <v>0</v>
      </c>
      <c r="B643" s="3">
        <f>IF(OR(INDEX($J$2:$J$1001,MATCH(ROWS($I$2:I643),$I$2:$I$1001,0),1)&gt;=100000,INDEX($P$1005:$S$1005,1,MATCH(COLUMNS($P$1006:P1006),$P$1006:$S$1006,0))&gt;=100000), " ",IF(INDEX($P$2:$S$1001,MATCH(ROWS($I$2:I643),$I$2:$I$1001,0),MATCH(COLUMNS($P$1006:P1006),$P$1006:$S$1006,0)), HYPERLINK("#",""), HYPERLINK(CONCATENATE("#metadata!", ADDRESS(INDEX($K$2:$K$1001,MATCH(ROWS($I$2:I643),$I$2:$I$1001,0),0), INDEX($P$1004:$S$1004,1,MATCH(COLUMNS($P$1006:P1006),$P$1006:$S$1006,0)))),"Fix")))</f>
        <v>0</v>
      </c>
      <c r="C643" s="3">
        <f>IF(OR(INDEX($J$2:$J$1001,MATCH(ROWS($I$2:I643),$I$2:$I$1001,0),1)&gt;=100000,INDEX($P$1005:$S$1005,1,MATCH(COLUMNS($P$1006:Q1006),$P$1006:$S$1006,0))&gt;=100000), " ",IF(INDEX($P$2:$S$1001,MATCH(ROWS($I$2:I643),$I$2:$I$1001,0),MATCH(COLUMNS($P$1006:Q1006),$P$1006:$S$1006,0)), HYPERLINK("#",""), HYPERLINK(CONCATENATE("#metadata!", ADDRESS(INDEX($K$2:$K$1001,MATCH(ROWS($I$2:I643),$I$2:$I$1001,0),0), INDEX($P$1004:$S$1004,1,MATCH(COLUMNS($P$1006:Q1006),$P$1006:$S$1006,0)))),"Fix")))</f>
        <v>0</v>
      </c>
      <c r="D643" s="3">
        <f>IF(OR(INDEX($J$2:$J$1001,MATCH(ROWS($I$2:I643),$I$2:$I$1001,0),1)&gt;=100000,INDEX($P$1005:$S$1005,1,MATCH(COLUMNS($P$1006:R1006),$P$1006:$S$1006,0))&gt;=100000), " ",IF(INDEX($P$2:$S$1001,MATCH(ROWS($I$2:I643),$I$2:$I$1001,0),MATCH(COLUMNS($P$1006:R1006),$P$1006:$S$1006,0)), HYPERLINK("#",""), HYPERLINK(CONCATENATE("#metadata!", ADDRESS(INDEX($K$2:$K$1001,MATCH(ROWS($I$2:I643),$I$2:$I$1001,0),0), INDEX($P$1004:$S$1004,1,MATCH(COLUMNS($P$1006:R1006),$P$1006:$S$1006,0)))),"Fix")))</f>
        <v>0</v>
      </c>
      <c r="E643" s="3">
        <f>IF(OR(INDEX($J$2:$J$1001,MATCH(ROWS($I$2:I643),$I$2:$I$1001,0),1)&gt;=100000,INDEX($P$1005:$S$1005,1,MATCH(COLUMNS($P$1006:S1006),$P$1006:$S$1006,0))&gt;=100000), " ",IF(INDEX($P$2:$S$1001,MATCH(ROWS($I$2:I643),$I$2:$I$1001,0),MATCH(COLUMNS($P$1006:S1006),$P$1006:$S$1006,0)), HYPERLINK("#",""), HYPERLINK(CONCATENATE("#metadata!", ADDRESS(INDEX($K$2:$K$1001,MATCH(ROWS($I$2:I643),$I$2:$I$1001,0),0), INDEX($P$1004:$S$1004,1,MATCH(COLUMNS($P$1006:S1006),$P$1006:$S$1006,0)))),"Fix")))</f>
        <v>0</v>
      </c>
      <c r="I643">
        <v>0</v>
      </c>
      <c r="J643">
        <v>0</v>
      </c>
      <c r="K643">
        <v>0</v>
      </c>
      <c r="L643">
        <f>IF(M643,TRUE,AND(P643:S643))</f>
        <v>0</v>
      </c>
      <c r="M643">
        <f>COUNTBLANK(metadata!B643:E643)=COLUMNS(metadata!B643:E643)</f>
        <v>0</v>
      </c>
      <c r="N643">
        <v>0</v>
      </c>
      <c r="P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Q643">
        <f>AND(IF(metadata!C643="",FALSE,TRUE),exact(metadata!C643,"other"))</f>
        <v>0</v>
      </c>
      <c r="R643">
        <f>AND(IF(metadata!D643="",FALSE,TRUE),exact(metadata!D643,"metagenome"))</f>
        <v>0</v>
      </c>
      <c r="S643">
        <f>AND(IF(metadata!E643="",FALSE,TRUE),exact(metadata!E643,"256318"))</f>
        <v>0</v>
      </c>
    </row>
    <row r="644" spans="1:19">
      <c r="A644" s="4">
        <f>IF(B644=" "," ",HYPERLINK(CONCATENATE("#metadata!",ADDRESS(INDEX($K$2:$K$1001,MATCH(ROWS($I$2:I644),$I$2:$I$1001,0),0),1)),INDEX($N$2:$N$1001,MATCH(ROWS($I$2:I644),$I$2:$I$1001,0),0)))</f>
        <v>0</v>
      </c>
      <c r="B644" s="3">
        <f>IF(OR(INDEX($J$2:$J$1001,MATCH(ROWS($I$2:I644),$I$2:$I$1001,0),1)&gt;=100000,INDEX($P$1005:$S$1005,1,MATCH(COLUMNS($P$1006:P1006),$P$1006:$S$1006,0))&gt;=100000), " ",IF(INDEX($P$2:$S$1001,MATCH(ROWS($I$2:I644),$I$2:$I$1001,0),MATCH(COLUMNS($P$1006:P1006),$P$1006:$S$1006,0)), HYPERLINK("#",""), HYPERLINK(CONCATENATE("#metadata!", ADDRESS(INDEX($K$2:$K$1001,MATCH(ROWS($I$2:I644),$I$2:$I$1001,0),0), INDEX($P$1004:$S$1004,1,MATCH(COLUMNS($P$1006:P1006),$P$1006:$S$1006,0)))),"Fix")))</f>
        <v>0</v>
      </c>
      <c r="C644" s="3">
        <f>IF(OR(INDEX($J$2:$J$1001,MATCH(ROWS($I$2:I644),$I$2:$I$1001,0),1)&gt;=100000,INDEX($P$1005:$S$1005,1,MATCH(COLUMNS($P$1006:Q1006),$P$1006:$S$1006,0))&gt;=100000), " ",IF(INDEX($P$2:$S$1001,MATCH(ROWS($I$2:I644),$I$2:$I$1001,0),MATCH(COLUMNS($P$1006:Q1006),$P$1006:$S$1006,0)), HYPERLINK("#",""), HYPERLINK(CONCATENATE("#metadata!", ADDRESS(INDEX($K$2:$K$1001,MATCH(ROWS($I$2:I644),$I$2:$I$1001,0),0), INDEX($P$1004:$S$1004,1,MATCH(COLUMNS($P$1006:Q1006),$P$1006:$S$1006,0)))),"Fix")))</f>
        <v>0</v>
      </c>
      <c r="D644" s="3">
        <f>IF(OR(INDEX($J$2:$J$1001,MATCH(ROWS($I$2:I644),$I$2:$I$1001,0),1)&gt;=100000,INDEX($P$1005:$S$1005,1,MATCH(COLUMNS($P$1006:R1006),$P$1006:$S$1006,0))&gt;=100000), " ",IF(INDEX($P$2:$S$1001,MATCH(ROWS($I$2:I644),$I$2:$I$1001,0),MATCH(COLUMNS($P$1006:R1006),$P$1006:$S$1006,0)), HYPERLINK("#",""), HYPERLINK(CONCATENATE("#metadata!", ADDRESS(INDEX($K$2:$K$1001,MATCH(ROWS($I$2:I644),$I$2:$I$1001,0),0), INDEX($P$1004:$S$1004,1,MATCH(COLUMNS($P$1006:R1006),$P$1006:$S$1006,0)))),"Fix")))</f>
        <v>0</v>
      </c>
      <c r="E644" s="3">
        <f>IF(OR(INDEX($J$2:$J$1001,MATCH(ROWS($I$2:I644),$I$2:$I$1001,0),1)&gt;=100000,INDEX($P$1005:$S$1005,1,MATCH(COLUMNS($P$1006:S1006),$P$1006:$S$1006,0))&gt;=100000), " ",IF(INDEX($P$2:$S$1001,MATCH(ROWS($I$2:I644),$I$2:$I$1001,0),MATCH(COLUMNS($P$1006:S1006),$P$1006:$S$1006,0)), HYPERLINK("#",""), HYPERLINK(CONCATENATE("#metadata!", ADDRESS(INDEX($K$2:$K$1001,MATCH(ROWS($I$2:I644),$I$2:$I$1001,0),0), INDEX($P$1004:$S$1004,1,MATCH(COLUMNS($P$1006:S1006),$P$1006:$S$1006,0)))),"Fix")))</f>
        <v>0</v>
      </c>
      <c r="I644">
        <v>0</v>
      </c>
      <c r="J644">
        <v>0</v>
      </c>
      <c r="K644">
        <v>0</v>
      </c>
      <c r="L644">
        <f>IF(M644,TRUE,AND(P644:S644))</f>
        <v>0</v>
      </c>
      <c r="M644">
        <f>COUNTBLANK(metadata!B644:E644)=COLUMNS(metadata!B644:E644)</f>
        <v>0</v>
      </c>
      <c r="N644">
        <v>0</v>
      </c>
      <c r="P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Q644">
        <f>AND(IF(metadata!C644="",FALSE,TRUE),exact(metadata!C644,"other"))</f>
        <v>0</v>
      </c>
      <c r="R644">
        <f>AND(IF(metadata!D644="",FALSE,TRUE),exact(metadata!D644,"metagenome"))</f>
        <v>0</v>
      </c>
      <c r="S644">
        <f>AND(IF(metadata!E644="",FALSE,TRUE),exact(metadata!E644,"256318"))</f>
        <v>0</v>
      </c>
    </row>
    <row r="645" spans="1:19">
      <c r="A645" s="4">
        <f>IF(B645=" "," ",HYPERLINK(CONCATENATE("#metadata!",ADDRESS(INDEX($K$2:$K$1001,MATCH(ROWS($I$2:I645),$I$2:$I$1001,0),0),1)),INDEX($N$2:$N$1001,MATCH(ROWS($I$2:I645),$I$2:$I$1001,0),0)))</f>
        <v>0</v>
      </c>
      <c r="B645" s="3">
        <f>IF(OR(INDEX($J$2:$J$1001,MATCH(ROWS($I$2:I645),$I$2:$I$1001,0),1)&gt;=100000,INDEX($P$1005:$S$1005,1,MATCH(COLUMNS($P$1006:P1006),$P$1006:$S$1006,0))&gt;=100000), " ",IF(INDEX($P$2:$S$1001,MATCH(ROWS($I$2:I645),$I$2:$I$1001,0),MATCH(COLUMNS($P$1006:P1006),$P$1006:$S$1006,0)), HYPERLINK("#",""), HYPERLINK(CONCATENATE("#metadata!", ADDRESS(INDEX($K$2:$K$1001,MATCH(ROWS($I$2:I645),$I$2:$I$1001,0),0), INDEX($P$1004:$S$1004,1,MATCH(COLUMNS($P$1006:P1006),$P$1006:$S$1006,0)))),"Fix")))</f>
        <v>0</v>
      </c>
      <c r="C645" s="3">
        <f>IF(OR(INDEX($J$2:$J$1001,MATCH(ROWS($I$2:I645),$I$2:$I$1001,0),1)&gt;=100000,INDEX($P$1005:$S$1005,1,MATCH(COLUMNS($P$1006:Q1006),$P$1006:$S$1006,0))&gt;=100000), " ",IF(INDEX($P$2:$S$1001,MATCH(ROWS($I$2:I645),$I$2:$I$1001,0),MATCH(COLUMNS($P$1006:Q1006),$P$1006:$S$1006,0)), HYPERLINK("#",""), HYPERLINK(CONCATENATE("#metadata!", ADDRESS(INDEX($K$2:$K$1001,MATCH(ROWS($I$2:I645),$I$2:$I$1001,0),0), INDEX($P$1004:$S$1004,1,MATCH(COLUMNS($P$1006:Q1006),$P$1006:$S$1006,0)))),"Fix")))</f>
        <v>0</v>
      </c>
      <c r="D645" s="3">
        <f>IF(OR(INDEX($J$2:$J$1001,MATCH(ROWS($I$2:I645),$I$2:$I$1001,0),1)&gt;=100000,INDEX($P$1005:$S$1005,1,MATCH(COLUMNS($P$1006:R1006),$P$1006:$S$1006,0))&gt;=100000), " ",IF(INDEX($P$2:$S$1001,MATCH(ROWS($I$2:I645),$I$2:$I$1001,0),MATCH(COLUMNS($P$1006:R1006),$P$1006:$S$1006,0)), HYPERLINK("#",""), HYPERLINK(CONCATENATE("#metadata!", ADDRESS(INDEX($K$2:$K$1001,MATCH(ROWS($I$2:I645),$I$2:$I$1001,0),0), INDEX($P$1004:$S$1004,1,MATCH(COLUMNS($P$1006:R1006),$P$1006:$S$1006,0)))),"Fix")))</f>
        <v>0</v>
      </c>
      <c r="E645" s="3">
        <f>IF(OR(INDEX($J$2:$J$1001,MATCH(ROWS($I$2:I645),$I$2:$I$1001,0),1)&gt;=100000,INDEX($P$1005:$S$1005,1,MATCH(COLUMNS($P$1006:S1006),$P$1006:$S$1006,0))&gt;=100000), " ",IF(INDEX($P$2:$S$1001,MATCH(ROWS($I$2:I645),$I$2:$I$1001,0),MATCH(COLUMNS($P$1006:S1006),$P$1006:$S$1006,0)), HYPERLINK("#",""), HYPERLINK(CONCATENATE("#metadata!", ADDRESS(INDEX($K$2:$K$1001,MATCH(ROWS($I$2:I645),$I$2:$I$1001,0),0), INDEX($P$1004:$S$1004,1,MATCH(COLUMNS($P$1006:S1006),$P$1006:$S$1006,0)))),"Fix")))</f>
        <v>0</v>
      </c>
      <c r="I645">
        <v>0</v>
      </c>
      <c r="J645">
        <v>0</v>
      </c>
      <c r="K645">
        <v>0</v>
      </c>
      <c r="L645">
        <f>IF(M645,TRUE,AND(P645:S645))</f>
        <v>0</v>
      </c>
      <c r="M645">
        <f>COUNTBLANK(metadata!B645:E645)=COLUMNS(metadata!B645:E645)</f>
        <v>0</v>
      </c>
      <c r="N645">
        <v>0</v>
      </c>
      <c r="P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Q645">
        <f>AND(IF(metadata!C645="",FALSE,TRUE),exact(metadata!C645,"other"))</f>
        <v>0</v>
      </c>
      <c r="R645">
        <f>AND(IF(metadata!D645="",FALSE,TRUE),exact(metadata!D645,"metagenome"))</f>
        <v>0</v>
      </c>
      <c r="S645">
        <f>AND(IF(metadata!E645="",FALSE,TRUE),exact(metadata!E645,"256318"))</f>
        <v>0</v>
      </c>
    </row>
    <row r="646" spans="1:19">
      <c r="A646" s="4">
        <f>IF(B646=" "," ",HYPERLINK(CONCATENATE("#metadata!",ADDRESS(INDEX($K$2:$K$1001,MATCH(ROWS($I$2:I646),$I$2:$I$1001,0),0),1)),INDEX($N$2:$N$1001,MATCH(ROWS($I$2:I646),$I$2:$I$1001,0),0)))</f>
        <v>0</v>
      </c>
      <c r="B646" s="3">
        <f>IF(OR(INDEX($J$2:$J$1001,MATCH(ROWS($I$2:I646),$I$2:$I$1001,0),1)&gt;=100000,INDEX($P$1005:$S$1005,1,MATCH(COLUMNS($P$1006:P1006),$P$1006:$S$1006,0))&gt;=100000), " ",IF(INDEX($P$2:$S$1001,MATCH(ROWS($I$2:I646),$I$2:$I$1001,0),MATCH(COLUMNS($P$1006:P1006),$P$1006:$S$1006,0)), HYPERLINK("#",""), HYPERLINK(CONCATENATE("#metadata!", ADDRESS(INDEX($K$2:$K$1001,MATCH(ROWS($I$2:I646),$I$2:$I$1001,0),0), INDEX($P$1004:$S$1004,1,MATCH(COLUMNS($P$1006:P1006),$P$1006:$S$1006,0)))),"Fix")))</f>
        <v>0</v>
      </c>
      <c r="C646" s="3">
        <f>IF(OR(INDEX($J$2:$J$1001,MATCH(ROWS($I$2:I646),$I$2:$I$1001,0),1)&gt;=100000,INDEX($P$1005:$S$1005,1,MATCH(COLUMNS($P$1006:Q1006),$P$1006:$S$1006,0))&gt;=100000), " ",IF(INDEX($P$2:$S$1001,MATCH(ROWS($I$2:I646),$I$2:$I$1001,0),MATCH(COLUMNS($P$1006:Q1006),$P$1006:$S$1006,0)), HYPERLINK("#",""), HYPERLINK(CONCATENATE("#metadata!", ADDRESS(INDEX($K$2:$K$1001,MATCH(ROWS($I$2:I646),$I$2:$I$1001,0),0), INDEX($P$1004:$S$1004,1,MATCH(COLUMNS($P$1006:Q1006),$P$1006:$S$1006,0)))),"Fix")))</f>
        <v>0</v>
      </c>
      <c r="D646" s="3">
        <f>IF(OR(INDEX($J$2:$J$1001,MATCH(ROWS($I$2:I646),$I$2:$I$1001,0),1)&gt;=100000,INDEX($P$1005:$S$1005,1,MATCH(COLUMNS($P$1006:R1006),$P$1006:$S$1006,0))&gt;=100000), " ",IF(INDEX($P$2:$S$1001,MATCH(ROWS($I$2:I646),$I$2:$I$1001,0),MATCH(COLUMNS($P$1006:R1006),$P$1006:$S$1006,0)), HYPERLINK("#",""), HYPERLINK(CONCATENATE("#metadata!", ADDRESS(INDEX($K$2:$K$1001,MATCH(ROWS($I$2:I646),$I$2:$I$1001,0),0), INDEX($P$1004:$S$1004,1,MATCH(COLUMNS($P$1006:R1006),$P$1006:$S$1006,0)))),"Fix")))</f>
        <v>0</v>
      </c>
      <c r="E646" s="3">
        <f>IF(OR(INDEX($J$2:$J$1001,MATCH(ROWS($I$2:I646),$I$2:$I$1001,0),1)&gt;=100000,INDEX($P$1005:$S$1005,1,MATCH(COLUMNS($P$1006:S1006),$P$1006:$S$1006,0))&gt;=100000), " ",IF(INDEX($P$2:$S$1001,MATCH(ROWS($I$2:I646),$I$2:$I$1001,0),MATCH(COLUMNS($P$1006:S1006),$P$1006:$S$1006,0)), HYPERLINK("#",""), HYPERLINK(CONCATENATE("#metadata!", ADDRESS(INDEX($K$2:$K$1001,MATCH(ROWS($I$2:I646),$I$2:$I$1001,0),0), INDEX($P$1004:$S$1004,1,MATCH(COLUMNS($P$1006:S1006),$P$1006:$S$1006,0)))),"Fix")))</f>
        <v>0</v>
      </c>
      <c r="I646">
        <v>0</v>
      </c>
      <c r="J646">
        <v>0</v>
      </c>
      <c r="K646">
        <v>0</v>
      </c>
      <c r="L646">
        <f>IF(M646,TRUE,AND(P646:S646))</f>
        <v>0</v>
      </c>
      <c r="M646">
        <f>COUNTBLANK(metadata!B646:E646)=COLUMNS(metadata!B646:E646)</f>
        <v>0</v>
      </c>
      <c r="N646">
        <v>0</v>
      </c>
      <c r="P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Q646">
        <f>AND(IF(metadata!C646="",FALSE,TRUE),exact(metadata!C646,"other"))</f>
        <v>0</v>
      </c>
      <c r="R646">
        <f>AND(IF(metadata!D646="",FALSE,TRUE),exact(metadata!D646,"metagenome"))</f>
        <v>0</v>
      </c>
      <c r="S646">
        <f>AND(IF(metadata!E646="",FALSE,TRUE),exact(metadata!E646,"256318"))</f>
        <v>0</v>
      </c>
    </row>
    <row r="647" spans="1:19">
      <c r="A647" s="4">
        <f>IF(B647=" "," ",HYPERLINK(CONCATENATE("#metadata!",ADDRESS(INDEX($K$2:$K$1001,MATCH(ROWS($I$2:I647),$I$2:$I$1001,0),0),1)),INDEX($N$2:$N$1001,MATCH(ROWS($I$2:I647),$I$2:$I$1001,0),0)))</f>
        <v>0</v>
      </c>
      <c r="B647" s="3">
        <f>IF(OR(INDEX($J$2:$J$1001,MATCH(ROWS($I$2:I647),$I$2:$I$1001,0),1)&gt;=100000,INDEX($P$1005:$S$1005,1,MATCH(COLUMNS($P$1006:P1006),$P$1006:$S$1006,0))&gt;=100000), " ",IF(INDEX($P$2:$S$1001,MATCH(ROWS($I$2:I647),$I$2:$I$1001,0),MATCH(COLUMNS($P$1006:P1006),$P$1006:$S$1006,0)), HYPERLINK("#",""), HYPERLINK(CONCATENATE("#metadata!", ADDRESS(INDEX($K$2:$K$1001,MATCH(ROWS($I$2:I647),$I$2:$I$1001,0),0), INDEX($P$1004:$S$1004,1,MATCH(COLUMNS($P$1006:P1006),$P$1006:$S$1006,0)))),"Fix")))</f>
        <v>0</v>
      </c>
      <c r="C647" s="3">
        <f>IF(OR(INDEX($J$2:$J$1001,MATCH(ROWS($I$2:I647),$I$2:$I$1001,0),1)&gt;=100000,INDEX($P$1005:$S$1005,1,MATCH(COLUMNS($P$1006:Q1006),$P$1006:$S$1006,0))&gt;=100000), " ",IF(INDEX($P$2:$S$1001,MATCH(ROWS($I$2:I647),$I$2:$I$1001,0),MATCH(COLUMNS($P$1006:Q1006),$P$1006:$S$1006,0)), HYPERLINK("#",""), HYPERLINK(CONCATENATE("#metadata!", ADDRESS(INDEX($K$2:$K$1001,MATCH(ROWS($I$2:I647),$I$2:$I$1001,0),0), INDEX($P$1004:$S$1004,1,MATCH(COLUMNS($P$1006:Q1006),$P$1006:$S$1006,0)))),"Fix")))</f>
        <v>0</v>
      </c>
      <c r="D647" s="3">
        <f>IF(OR(INDEX($J$2:$J$1001,MATCH(ROWS($I$2:I647),$I$2:$I$1001,0),1)&gt;=100000,INDEX($P$1005:$S$1005,1,MATCH(COLUMNS($P$1006:R1006),$P$1006:$S$1006,0))&gt;=100000), " ",IF(INDEX($P$2:$S$1001,MATCH(ROWS($I$2:I647),$I$2:$I$1001,0),MATCH(COLUMNS($P$1006:R1006),$P$1006:$S$1006,0)), HYPERLINK("#",""), HYPERLINK(CONCATENATE("#metadata!", ADDRESS(INDEX($K$2:$K$1001,MATCH(ROWS($I$2:I647),$I$2:$I$1001,0),0), INDEX($P$1004:$S$1004,1,MATCH(COLUMNS($P$1006:R1006),$P$1006:$S$1006,0)))),"Fix")))</f>
        <v>0</v>
      </c>
      <c r="E647" s="3">
        <f>IF(OR(INDEX($J$2:$J$1001,MATCH(ROWS($I$2:I647),$I$2:$I$1001,0),1)&gt;=100000,INDEX($P$1005:$S$1005,1,MATCH(COLUMNS($P$1006:S1006),$P$1006:$S$1006,0))&gt;=100000), " ",IF(INDEX($P$2:$S$1001,MATCH(ROWS($I$2:I647),$I$2:$I$1001,0),MATCH(COLUMNS($P$1006:S1006),$P$1006:$S$1006,0)), HYPERLINK("#",""), HYPERLINK(CONCATENATE("#metadata!", ADDRESS(INDEX($K$2:$K$1001,MATCH(ROWS($I$2:I647),$I$2:$I$1001,0),0), INDEX($P$1004:$S$1004,1,MATCH(COLUMNS($P$1006:S1006),$P$1006:$S$1006,0)))),"Fix")))</f>
        <v>0</v>
      </c>
      <c r="I647">
        <v>0</v>
      </c>
      <c r="J647">
        <v>0</v>
      </c>
      <c r="K647">
        <v>0</v>
      </c>
      <c r="L647">
        <f>IF(M647,TRUE,AND(P647:S647))</f>
        <v>0</v>
      </c>
      <c r="M647">
        <f>COUNTBLANK(metadata!B647:E647)=COLUMNS(metadata!B647:E647)</f>
        <v>0</v>
      </c>
      <c r="N647">
        <v>0</v>
      </c>
      <c r="P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Q647">
        <f>AND(IF(metadata!C647="",FALSE,TRUE),exact(metadata!C647,"other"))</f>
        <v>0</v>
      </c>
      <c r="R647">
        <f>AND(IF(metadata!D647="",FALSE,TRUE),exact(metadata!D647,"metagenome"))</f>
        <v>0</v>
      </c>
      <c r="S647">
        <f>AND(IF(metadata!E647="",FALSE,TRUE),exact(metadata!E647,"256318"))</f>
        <v>0</v>
      </c>
    </row>
    <row r="648" spans="1:19">
      <c r="A648" s="4">
        <f>IF(B648=" "," ",HYPERLINK(CONCATENATE("#metadata!",ADDRESS(INDEX($K$2:$K$1001,MATCH(ROWS($I$2:I648),$I$2:$I$1001,0),0),1)),INDEX($N$2:$N$1001,MATCH(ROWS($I$2:I648),$I$2:$I$1001,0),0)))</f>
        <v>0</v>
      </c>
      <c r="B648" s="3">
        <f>IF(OR(INDEX($J$2:$J$1001,MATCH(ROWS($I$2:I648),$I$2:$I$1001,0),1)&gt;=100000,INDEX($P$1005:$S$1005,1,MATCH(COLUMNS($P$1006:P1006),$P$1006:$S$1006,0))&gt;=100000), " ",IF(INDEX($P$2:$S$1001,MATCH(ROWS($I$2:I648),$I$2:$I$1001,0),MATCH(COLUMNS($P$1006:P1006),$P$1006:$S$1006,0)), HYPERLINK("#",""), HYPERLINK(CONCATENATE("#metadata!", ADDRESS(INDEX($K$2:$K$1001,MATCH(ROWS($I$2:I648),$I$2:$I$1001,0),0), INDEX($P$1004:$S$1004,1,MATCH(COLUMNS($P$1006:P1006),$P$1006:$S$1006,0)))),"Fix")))</f>
        <v>0</v>
      </c>
      <c r="C648" s="3">
        <f>IF(OR(INDEX($J$2:$J$1001,MATCH(ROWS($I$2:I648),$I$2:$I$1001,0),1)&gt;=100000,INDEX($P$1005:$S$1005,1,MATCH(COLUMNS($P$1006:Q1006),$P$1006:$S$1006,0))&gt;=100000), " ",IF(INDEX($P$2:$S$1001,MATCH(ROWS($I$2:I648),$I$2:$I$1001,0),MATCH(COLUMNS($P$1006:Q1006),$P$1006:$S$1006,0)), HYPERLINK("#",""), HYPERLINK(CONCATENATE("#metadata!", ADDRESS(INDEX($K$2:$K$1001,MATCH(ROWS($I$2:I648),$I$2:$I$1001,0),0), INDEX($P$1004:$S$1004,1,MATCH(COLUMNS($P$1006:Q1006),$P$1006:$S$1006,0)))),"Fix")))</f>
        <v>0</v>
      </c>
      <c r="D648" s="3">
        <f>IF(OR(INDEX($J$2:$J$1001,MATCH(ROWS($I$2:I648),$I$2:$I$1001,0),1)&gt;=100000,INDEX($P$1005:$S$1005,1,MATCH(COLUMNS($P$1006:R1006),$P$1006:$S$1006,0))&gt;=100000), " ",IF(INDEX($P$2:$S$1001,MATCH(ROWS($I$2:I648),$I$2:$I$1001,0),MATCH(COLUMNS($P$1006:R1006),$P$1006:$S$1006,0)), HYPERLINK("#",""), HYPERLINK(CONCATENATE("#metadata!", ADDRESS(INDEX($K$2:$K$1001,MATCH(ROWS($I$2:I648),$I$2:$I$1001,0),0), INDEX($P$1004:$S$1004,1,MATCH(COLUMNS($P$1006:R1006),$P$1006:$S$1006,0)))),"Fix")))</f>
        <v>0</v>
      </c>
      <c r="E648" s="3">
        <f>IF(OR(INDEX($J$2:$J$1001,MATCH(ROWS($I$2:I648),$I$2:$I$1001,0),1)&gt;=100000,INDEX($P$1005:$S$1005,1,MATCH(COLUMNS($P$1006:S1006),$P$1006:$S$1006,0))&gt;=100000), " ",IF(INDEX($P$2:$S$1001,MATCH(ROWS($I$2:I648),$I$2:$I$1001,0),MATCH(COLUMNS($P$1006:S1006),$P$1006:$S$1006,0)), HYPERLINK("#",""), HYPERLINK(CONCATENATE("#metadata!", ADDRESS(INDEX($K$2:$K$1001,MATCH(ROWS($I$2:I648),$I$2:$I$1001,0),0), INDEX($P$1004:$S$1004,1,MATCH(COLUMNS($P$1006:S1006),$P$1006:$S$1006,0)))),"Fix")))</f>
        <v>0</v>
      </c>
      <c r="I648">
        <v>0</v>
      </c>
      <c r="J648">
        <v>0</v>
      </c>
      <c r="K648">
        <v>0</v>
      </c>
      <c r="L648">
        <f>IF(M648,TRUE,AND(P648:S648))</f>
        <v>0</v>
      </c>
      <c r="M648">
        <f>COUNTBLANK(metadata!B648:E648)=COLUMNS(metadata!B648:E648)</f>
        <v>0</v>
      </c>
      <c r="N648">
        <v>0</v>
      </c>
      <c r="P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Q648">
        <f>AND(IF(metadata!C648="",FALSE,TRUE),exact(metadata!C648,"other"))</f>
        <v>0</v>
      </c>
      <c r="R648">
        <f>AND(IF(metadata!D648="",FALSE,TRUE),exact(metadata!D648,"metagenome"))</f>
        <v>0</v>
      </c>
      <c r="S648">
        <f>AND(IF(metadata!E648="",FALSE,TRUE),exact(metadata!E648,"256318"))</f>
        <v>0</v>
      </c>
    </row>
    <row r="649" spans="1:19">
      <c r="A649" s="4">
        <f>IF(B649=" "," ",HYPERLINK(CONCATENATE("#metadata!",ADDRESS(INDEX($K$2:$K$1001,MATCH(ROWS($I$2:I649),$I$2:$I$1001,0),0),1)),INDEX($N$2:$N$1001,MATCH(ROWS($I$2:I649),$I$2:$I$1001,0),0)))</f>
        <v>0</v>
      </c>
      <c r="B649" s="3">
        <f>IF(OR(INDEX($J$2:$J$1001,MATCH(ROWS($I$2:I649),$I$2:$I$1001,0),1)&gt;=100000,INDEX($P$1005:$S$1005,1,MATCH(COLUMNS($P$1006:P1006),$P$1006:$S$1006,0))&gt;=100000), " ",IF(INDEX($P$2:$S$1001,MATCH(ROWS($I$2:I649),$I$2:$I$1001,0),MATCH(COLUMNS($P$1006:P1006),$P$1006:$S$1006,0)), HYPERLINK("#",""), HYPERLINK(CONCATENATE("#metadata!", ADDRESS(INDEX($K$2:$K$1001,MATCH(ROWS($I$2:I649),$I$2:$I$1001,0),0), INDEX($P$1004:$S$1004,1,MATCH(COLUMNS($P$1006:P1006),$P$1006:$S$1006,0)))),"Fix")))</f>
        <v>0</v>
      </c>
      <c r="C649" s="3">
        <f>IF(OR(INDEX($J$2:$J$1001,MATCH(ROWS($I$2:I649),$I$2:$I$1001,0),1)&gt;=100000,INDEX($P$1005:$S$1005,1,MATCH(COLUMNS($P$1006:Q1006),$P$1006:$S$1006,0))&gt;=100000), " ",IF(INDEX($P$2:$S$1001,MATCH(ROWS($I$2:I649),$I$2:$I$1001,0),MATCH(COLUMNS($P$1006:Q1006),$P$1006:$S$1006,0)), HYPERLINK("#",""), HYPERLINK(CONCATENATE("#metadata!", ADDRESS(INDEX($K$2:$K$1001,MATCH(ROWS($I$2:I649),$I$2:$I$1001,0),0), INDEX($P$1004:$S$1004,1,MATCH(COLUMNS($P$1006:Q1006),$P$1006:$S$1006,0)))),"Fix")))</f>
        <v>0</v>
      </c>
      <c r="D649" s="3">
        <f>IF(OR(INDEX($J$2:$J$1001,MATCH(ROWS($I$2:I649),$I$2:$I$1001,0),1)&gt;=100000,INDEX($P$1005:$S$1005,1,MATCH(COLUMNS($P$1006:R1006),$P$1006:$S$1006,0))&gt;=100000), " ",IF(INDEX($P$2:$S$1001,MATCH(ROWS($I$2:I649),$I$2:$I$1001,0),MATCH(COLUMNS($P$1006:R1006),$P$1006:$S$1006,0)), HYPERLINK("#",""), HYPERLINK(CONCATENATE("#metadata!", ADDRESS(INDEX($K$2:$K$1001,MATCH(ROWS($I$2:I649),$I$2:$I$1001,0),0), INDEX($P$1004:$S$1004,1,MATCH(COLUMNS($P$1006:R1006),$P$1006:$S$1006,0)))),"Fix")))</f>
        <v>0</v>
      </c>
      <c r="E649" s="3">
        <f>IF(OR(INDEX($J$2:$J$1001,MATCH(ROWS($I$2:I649),$I$2:$I$1001,0),1)&gt;=100000,INDEX($P$1005:$S$1005,1,MATCH(COLUMNS($P$1006:S1006),$P$1006:$S$1006,0))&gt;=100000), " ",IF(INDEX($P$2:$S$1001,MATCH(ROWS($I$2:I649),$I$2:$I$1001,0),MATCH(COLUMNS($P$1006:S1006),$P$1006:$S$1006,0)), HYPERLINK("#",""), HYPERLINK(CONCATENATE("#metadata!", ADDRESS(INDEX($K$2:$K$1001,MATCH(ROWS($I$2:I649),$I$2:$I$1001,0),0), INDEX($P$1004:$S$1004,1,MATCH(COLUMNS($P$1006:S1006),$P$1006:$S$1006,0)))),"Fix")))</f>
        <v>0</v>
      </c>
      <c r="I649">
        <v>0</v>
      </c>
      <c r="J649">
        <v>0</v>
      </c>
      <c r="K649">
        <v>0</v>
      </c>
      <c r="L649">
        <f>IF(M649,TRUE,AND(P649:S649))</f>
        <v>0</v>
      </c>
      <c r="M649">
        <f>COUNTBLANK(metadata!B649:E649)=COLUMNS(metadata!B649:E649)</f>
        <v>0</v>
      </c>
      <c r="N649">
        <v>0</v>
      </c>
      <c r="P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Q649">
        <f>AND(IF(metadata!C649="",FALSE,TRUE),exact(metadata!C649,"other"))</f>
        <v>0</v>
      </c>
      <c r="R649">
        <f>AND(IF(metadata!D649="",FALSE,TRUE),exact(metadata!D649,"metagenome"))</f>
        <v>0</v>
      </c>
      <c r="S649">
        <f>AND(IF(metadata!E649="",FALSE,TRUE),exact(metadata!E649,"256318"))</f>
        <v>0</v>
      </c>
    </row>
    <row r="650" spans="1:19">
      <c r="A650" s="4">
        <f>IF(B650=" "," ",HYPERLINK(CONCATENATE("#metadata!",ADDRESS(INDEX($K$2:$K$1001,MATCH(ROWS($I$2:I650),$I$2:$I$1001,0),0),1)),INDEX($N$2:$N$1001,MATCH(ROWS($I$2:I650),$I$2:$I$1001,0),0)))</f>
        <v>0</v>
      </c>
      <c r="B650" s="3">
        <f>IF(OR(INDEX($J$2:$J$1001,MATCH(ROWS($I$2:I650),$I$2:$I$1001,0),1)&gt;=100000,INDEX($P$1005:$S$1005,1,MATCH(COLUMNS($P$1006:P1006),$P$1006:$S$1006,0))&gt;=100000), " ",IF(INDEX($P$2:$S$1001,MATCH(ROWS($I$2:I650),$I$2:$I$1001,0),MATCH(COLUMNS($P$1006:P1006),$P$1006:$S$1006,0)), HYPERLINK("#",""), HYPERLINK(CONCATENATE("#metadata!", ADDRESS(INDEX($K$2:$K$1001,MATCH(ROWS($I$2:I650),$I$2:$I$1001,0),0), INDEX($P$1004:$S$1004,1,MATCH(COLUMNS($P$1006:P1006),$P$1006:$S$1006,0)))),"Fix")))</f>
        <v>0</v>
      </c>
      <c r="C650" s="3">
        <f>IF(OR(INDEX($J$2:$J$1001,MATCH(ROWS($I$2:I650),$I$2:$I$1001,0),1)&gt;=100000,INDEX($P$1005:$S$1005,1,MATCH(COLUMNS($P$1006:Q1006),$P$1006:$S$1006,0))&gt;=100000), " ",IF(INDEX($P$2:$S$1001,MATCH(ROWS($I$2:I650),$I$2:$I$1001,0),MATCH(COLUMNS($P$1006:Q1006),$P$1006:$S$1006,0)), HYPERLINK("#",""), HYPERLINK(CONCATENATE("#metadata!", ADDRESS(INDEX($K$2:$K$1001,MATCH(ROWS($I$2:I650),$I$2:$I$1001,0),0), INDEX($P$1004:$S$1004,1,MATCH(COLUMNS($P$1006:Q1006),$P$1006:$S$1006,0)))),"Fix")))</f>
        <v>0</v>
      </c>
      <c r="D650" s="3">
        <f>IF(OR(INDEX($J$2:$J$1001,MATCH(ROWS($I$2:I650),$I$2:$I$1001,0),1)&gt;=100000,INDEX($P$1005:$S$1005,1,MATCH(COLUMNS($P$1006:R1006),$P$1006:$S$1006,0))&gt;=100000), " ",IF(INDEX($P$2:$S$1001,MATCH(ROWS($I$2:I650),$I$2:$I$1001,0),MATCH(COLUMNS($P$1006:R1006),$P$1006:$S$1006,0)), HYPERLINK("#",""), HYPERLINK(CONCATENATE("#metadata!", ADDRESS(INDEX($K$2:$K$1001,MATCH(ROWS($I$2:I650),$I$2:$I$1001,0),0), INDEX($P$1004:$S$1004,1,MATCH(COLUMNS($P$1006:R1006),$P$1006:$S$1006,0)))),"Fix")))</f>
        <v>0</v>
      </c>
      <c r="E650" s="3">
        <f>IF(OR(INDEX($J$2:$J$1001,MATCH(ROWS($I$2:I650),$I$2:$I$1001,0),1)&gt;=100000,INDEX($P$1005:$S$1005,1,MATCH(COLUMNS($P$1006:S1006),$P$1006:$S$1006,0))&gt;=100000), " ",IF(INDEX($P$2:$S$1001,MATCH(ROWS($I$2:I650),$I$2:$I$1001,0),MATCH(COLUMNS($P$1006:S1006),$P$1006:$S$1006,0)), HYPERLINK("#",""), HYPERLINK(CONCATENATE("#metadata!", ADDRESS(INDEX($K$2:$K$1001,MATCH(ROWS($I$2:I650),$I$2:$I$1001,0),0), INDEX($P$1004:$S$1004,1,MATCH(COLUMNS($P$1006:S1006),$P$1006:$S$1006,0)))),"Fix")))</f>
        <v>0</v>
      </c>
      <c r="I650">
        <v>0</v>
      </c>
      <c r="J650">
        <v>0</v>
      </c>
      <c r="K650">
        <v>0</v>
      </c>
      <c r="L650">
        <f>IF(M650,TRUE,AND(P650:S650))</f>
        <v>0</v>
      </c>
      <c r="M650">
        <f>COUNTBLANK(metadata!B650:E650)=COLUMNS(metadata!B650:E650)</f>
        <v>0</v>
      </c>
      <c r="N650">
        <v>0</v>
      </c>
      <c r="P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Q650">
        <f>AND(IF(metadata!C650="",FALSE,TRUE),exact(metadata!C650,"other"))</f>
        <v>0</v>
      </c>
      <c r="R650">
        <f>AND(IF(metadata!D650="",FALSE,TRUE),exact(metadata!D650,"metagenome"))</f>
        <v>0</v>
      </c>
      <c r="S650">
        <f>AND(IF(metadata!E650="",FALSE,TRUE),exact(metadata!E650,"256318"))</f>
        <v>0</v>
      </c>
    </row>
    <row r="651" spans="1:19">
      <c r="A651" s="4">
        <f>IF(B651=" "," ",HYPERLINK(CONCATENATE("#metadata!",ADDRESS(INDEX($K$2:$K$1001,MATCH(ROWS($I$2:I651),$I$2:$I$1001,0),0),1)),INDEX($N$2:$N$1001,MATCH(ROWS($I$2:I651),$I$2:$I$1001,0),0)))</f>
        <v>0</v>
      </c>
      <c r="B651" s="3">
        <f>IF(OR(INDEX($J$2:$J$1001,MATCH(ROWS($I$2:I651),$I$2:$I$1001,0),1)&gt;=100000,INDEX($P$1005:$S$1005,1,MATCH(COLUMNS($P$1006:P1006),$P$1006:$S$1006,0))&gt;=100000), " ",IF(INDEX($P$2:$S$1001,MATCH(ROWS($I$2:I651),$I$2:$I$1001,0),MATCH(COLUMNS($P$1006:P1006),$P$1006:$S$1006,0)), HYPERLINK("#",""), HYPERLINK(CONCATENATE("#metadata!", ADDRESS(INDEX($K$2:$K$1001,MATCH(ROWS($I$2:I651),$I$2:$I$1001,0),0), INDEX($P$1004:$S$1004,1,MATCH(COLUMNS($P$1006:P1006),$P$1006:$S$1006,0)))),"Fix")))</f>
        <v>0</v>
      </c>
      <c r="C651" s="3">
        <f>IF(OR(INDEX($J$2:$J$1001,MATCH(ROWS($I$2:I651),$I$2:$I$1001,0),1)&gt;=100000,INDEX($P$1005:$S$1005,1,MATCH(COLUMNS($P$1006:Q1006),$P$1006:$S$1006,0))&gt;=100000), " ",IF(INDEX($P$2:$S$1001,MATCH(ROWS($I$2:I651),$I$2:$I$1001,0),MATCH(COLUMNS($P$1006:Q1006),$P$1006:$S$1006,0)), HYPERLINK("#",""), HYPERLINK(CONCATENATE("#metadata!", ADDRESS(INDEX($K$2:$K$1001,MATCH(ROWS($I$2:I651),$I$2:$I$1001,0),0), INDEX($P$1004:$S$1004,1,MATCH(COLUMNS($P$1006:Q1006),$P$1006:$S$1006,0)))),"Fix")))</f>
        <v>0</v>
      </c>
      <c r="D651" s="3">
        <f>IF(OR(INDEX($J$2:$J$1001,MATCH(ROWS($I$2:I651),$I$2:$I$1001,0),1)&gt;=100000,INDEX($P$1005:$S$1005,1,MATCH(COLUMNS($P$1006:R1006),$P$1006:$S$1006,0))&gt;=100000), " ",IF(INDEX($P$2:$S$1001,MATCH(ROWS($I$2:I651),$I$2:$I$1001,0),MATCH(COLUMNS($P$1006:R1006),$P$1006:$S$1006,0)), HYPERLINK("#",""), HYPERLINK(CONCATENATE("#metadata!", ADDRESS(INDEX($K$2:$K$1001,MATCH(ROWS($I$2:I651),$I$2:$I$1001,0),0), INDEX($P$1004:$S$1004,1,MATCH(COLUMNS($P$1006:R1006),$P$1006:$S$1006,0)))),"Fix")))</f>
        <v>0</v>
      </c>
      <c r="E651" s="3">
        <f>IF(OR(INDEX($J$2:$J$1001,MATCH(ROWS($I$2:I651),$I$2:$I$1001,0),1)&gt;=100000,INDEX($P$1005:$S$1005,1,MATCH(COLUMNS($P$1006:S1006),$P$1006:$S$1006,0))&gt;=100000), " ",IF(INDEX($P$2:$S$1001,MATCH(ROWS($I$2:I651),$I$2:$I$1001,0),MATCH(COLUMNS($P$1006:S1006),$P$1006:$S$1006,0)), HYPERLINK("#",""), HYPERLINK(CONCATENATE("#metadata!", ADDRESS(INDEX($K$2:$K$1001,MATCH(ROWS($I$2:I651),$I$2:$I$1001,0),0), INDEX($P$1004:$S$1004,1,MATCH(COLUMNS($P$1006:S1006),$P$1006:$S$1006,0)))),"Fix")))</f>
        <v>0</v>
      </c>
      <c r="I651">
        <v>0</v>
      </c>
      <c r="J651">
        <v>0</v>
      </c>
      <c r="K651">
        <v>0</v>
      </c>
      <c r="L651">
        <f>IF(M651,TRUE,AND(P651:S651))</f>
        <v>0</v>
      </c>
      <c r="M651">
        <f>COUNTBLANK(metadata!B651:E651)=COLUMNS(metadata!B651:E651)</f>
        <v>0</v>
      </c>
      <c r="N651">
        <v>0</v>
      </c>
      <c r="P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Q651">
        <f>AND(IF(metadata!C651="",FALSE,TRUE),exact(metadata!C651,"other"))</f>
        <v>0</v>
      </c>
      <c r="R651">
        <f>AND(IF(metadata!D651="",FALSE,TRUE),exact(metadata!D651,"metagenome"))</f>
        <v>0</v>
      </c>
      <c r="S651">
        <f>AND(IF(metadata!E651="",FALSE,TRUE),exact(metadata!E651,"256318"))</f>
        <v>0</v>
      </c>
    </row>
    <row r="652" spans="1:19">
      <c r="A652" s="4">
        <f>IF(B652=" "," ",HYPERLINK(CONCATENATE("#metadata!",ADDRESS(INDEX($K$2:$K$1001,MATCH(ROWS($I$2:I652),$I$2:$I$1001,0),0),1)),INDEX($N$2:$N$1001,MATCH(ROWS($I$2:I652),$I$2:$I$1001,0),0)))</f>
        <v>0</v>
      </c>
      <c r="B652" s="3">
        <f>IF(OR(INDEX($J$2:$J$1001,MATCH(ROWS($I$2:I652),$I$2:$I$1001,0),1)&gt;=100000,INDEX($P$1005:$S$1005,1,MATCH(COLUMNS($P$1006:P1006),$P$1006:$S$1006,0))&gt;=100000), " ",IF(INDEX($P$2:$S$1001,MATCH(ROWS($I$2:I652),$I$2:$I$1001,0),MATCH(COLUMNS($P$1006:P1006),$P$1006:$S$1006,0)), HYPERLINK("#",""), HYPERLINK(CONCATENATE("#metadata!", ADDRESS(INDEX($K$2:$K$1001,MATCH(ROWS($I$2:I652),$I$2:$I$1001,0),0), INDEX($P$1004:$S$1004,1,MATCH(COLUMNS($P$1006:P1006),$P$1006:$S$1006,0)))),"Fix")))</f>
        <v>0</v>
      </c>
      <c r="C652" s="3">
        <f>IF(OR(INDEX($J$2:$J$1001,MATCH(ROWS($I$2:I652),$I$2:$I$1001,0),1)&gt;=100000,INDEX($P$1005:$S$1005,1,MATCH(COLUMNS($P$1006:Q1006),$P$1006:$S$1006,0))&gt;=100000), " ",IF(INDEX($P$2:$S$1001,MATCH(ROWS($I$2:I652),$I$2:$I$1001,0),MATCH(COLUMNS($P$1006:Q1006),$P$1006:$S$1006,0)), HYPERLINK("#",""), HYPERLINK(CONCATENATE("#metadata!", ADDRESS(INDEX($K$2:$K$1001,MATCH(ROWS($I$2:I652),$I$2:$I$1001,0),0), INDEX($P$1004:$S$1004,1,MATCH(COLUMNS($P$1006:Q1006),$P$1006:$S$1006,0)))),"Fix")))</f>
        <v>0</v>
      </c>
      <c r="D652" s="3">
        <f>IF(OR(INDEX($J$2:$J$1001,MATCH(ROWS($I$2:I652),$I$2:$I$1001,0),1)&gt;=100000,INDEX($P$1005:$S$1005,1,MATCH(COLUMNS($P$1006:R1006),$P$1006:$S$1006,0))&gt;=100000), " ",IF(INDEX($P$2:$S$1001,MATCH(ROWS($I$2:I652),$I$2:$I$1001,0),MATCH(COLUMNS($P$1006:R1006),$P$1006:$S$1006,0)), HYPERLINK("#",""), HYPERLINK(CONCATENATE("#metadata!", ADDRESS(INDEX($K$2:$K$1001,MATCH(ROWS($I$2:I652),$I$2:$I$1001,0),0), INDEX($P$1004:$S$1004,1,MATCH(COLUMNS($P$1006:R1006),$P$1006:$S$1006,0)))),"Fix")))</f>
        <v>0</v>
      </c>
      <c r="E652" s="3">
        <f>IF(OR(INDEX($J$2:$J$1001,MATCH(ROWS($I$2:I652),$I$2:$I$1001,0),1)&gt;=100000,INDEX($P$1005:$S$1005,1,MATCH(COLUMNS($P$1006:S1006),$P$1006:$S$1006,0))&gt;=100000), " ",IF(INDEX($P$2:$S$1001,MATCH(ROWS($I$2:I652),$I$2:$I$1001,0),MATCH(COLUMNS($P$1006:S1006),$P$1006:$S$1006,0)), HYPERLINK("#",""), HYPERLINK(CONCATENATE("#metadata!", ADDRESS(INDEX($K$2:$K$1001,MATCH(ROWS($I$2:I652),$I$2:$I$1001,0),0), INDEX($P$1004:$S$1004,1,MATCH(COLUMNS($P$1006:S1006),$P$1006:$S$1006,0)))),"Fix")))</f>
        <v>0</v>
      </c>
      <c r="I652">
        <v>0</v>
      </c>
      <c r="J652">
        <v>0</v>
      </c>
      <c r="K652">
        <v>0</v>
      </c>
      <c r="L652">
        <f>IF(M652,TRUE,AND(P652:S652))</f>
        <v>0</v>
      </c>
      <c r="M652">
        <f>COUNTBLANK(metadata!B652:E652)=COLUMNS(metadata!B652:E652)</f>
        <v>0</v>
      </c>
      <c r="N652">
        <v>0</v>
      </c>
      <c r="P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Q652">
        <f>AND(IF(metadata!C652="",FALSE,TRUE),exact(metadata!C652,"other"))</f>
        <v>0</v>
      </c>
      <c r="R652">
        <f>AND(IF(metadata!D652="",FALSE,TRUE),exact(metadata!D652,"metagenome"))</f>
        <v>0</v>
      </c>
      <c r="S652">
        <f>AND(IF(metadata!E652="",FALSE,TRUE),exact(metadata!E652,"256318"))</f>
        <v>0</v>
      </c>
    </row>
    <row r="653" spans="1:19">
      <c r="A653" s="4">
        <f>IF(B653=" "," ",HYPERLINK(CONCATENATE("#metadata!",ADDRESS(INDEX($K$2:$K$1001,MATCH(ROWS($I$2:I653),$I$2:$I$1001,0),0),1)),INDEX($N$2:$N$1001,MATCH(ROWS($I$2:I653),$I$2:$I$1001,0),0)))</f>
        <v>0</v>
      </c>
      <c r="B653" s="3">
        <f>IF(OR(INDEX($J$2:$J$1001,MATCH(ROWS($I$2:I653),$I$2:$I$1001,0),1)&gt;=100000,INDEX($P$1005:$S$1005,1,MATCH(COLUMNS($P$1006:P1006),$P$1006:$S$1006,0))&gt;=100000), " ",IF(INDEX($P$2:$S$1001,MATCH(ROWS($I$2:I653),$I$2:$I$1001,0),MATCH(COLUMNS($P$1006:P1006),$P$1006:$S$1006,0)), HYPERLINK("#",""), HYPERLINK(CONCATENATE("#metadata!", ADDRESS(INDEX($K$2:$K$1001,MATCH(ROWS($I$2:I653),$I$2:$I$1001,0),0), INDEX($P$1004:$S$1004,1,MATCH(COLUMNS($P$1006:P1006),$P$1006:$S$1006,0)))),"Fix")))</f>
        <v>0</v>
      </c>
      <c r="C653" s="3">
        <f>IF(OR(INDEX($J$2:$J$1001,MATCH(ROWS($I$2:I653),$I$2:$I$1001,0),1)&gt;=100000,INDEX($P$1005:$S$1005,1,MATCH(COLUMNS($P$1006:Q1006),$P$1006:$S$1006,0))&gt;=100000), " ",IF(INDEX($P$2:$S$1001,MATCH(ROWS($I$2:I653),$I$2:$I$1001,0),MATCH(COLUMNS($P$1006:Q1006),$P$1006:$S$1006,0)), HYPERLINK("#",""), HYPERLINK(CONCATENATE("#metadata!", ADDRESS(INDEX($K$2:$K$1001,MATCH(ROWS($I$2:I653),$I$2:$I$1001,0),0), INDEX($P$1004:$S$1004,1,MATCH(COLUMNS($P$1006:Q1006),$P$1006:$S$1006,0)))),"Fix")))</f>
        <v>0</v>
      </c>
      <c r="D653" s="3">
        <f>IF(OR(INDEX($J$2:$J$1001,MATCH(ROWS($I$2:I653),$I$2:$I$1001,0),1)&gt;=100000,INDEX($P$1005:$S$1005,1,MATCH(COLUMNS($P$1006:R1006),$P$1006:$S$1006,0))&gt;=100000), " ",IF(INDEX($P$2:$S$1001,MATCH(ROWS($I$2:I653),$I$2:$I$1001,0),MATCH(COLUMNS($P$1006:R1006),$P$1006:$S$1006,0)), HYPERLINK("#",""), HYPERLINK(CONCATENATE("#metadata!", ADDRESS(INDEX($K$2:$K$1001,MATCH(ROWS($I$2:I653),$I$2:$I$1001,0),0), INDEX($P$1004:$S$1004,1,MATCH(COLUMNS($P$1006:R1006),$P$1006:$S$1006,0)))),"Fix")))</f>
        <v>0</v>
      </c>
      <c r="E653" s="3">
        <f>IF(OR(INDEX($J$2:$J$1001,MATCH(ROWS($I$2:I653),$I$2:$I$1001,0),1)&gt;=100000,INDEX($P$1005:$S$1005,1,MATCH(COLUMNS($P$1006:S1006),$P$1006:$S$1006,0))&gt;=100000), " ",IF(INDEX($P$2:$S$1001,MATCH(ROWS($I$2:I653),$I$2:$I$1001,0),MATCH(COLUMNS($P$1006:S1006),$P$1006:$S$1006,0)), HYPERLINK("#",""), HYPERLINK(CONCATENATE("#metadata!", ADDRESS(INDEX($K$2:$K$1001,MATCH(ROWS($I$2:I653),$I$2:$I$1001,0),0), INDEX($P$1004:$S$1004,1,MATCH(COLUMNS($P$1006:S1006),$P$1006:$S$1006,0)))),"Fix")))</f>
        <v>0</v>
      </c>
      <c r="I653">
        <v>0</v>
      </c>
      <c r="J653">
        <v>0</v>
      </c>
      <c r="K653">
        <v>0</v>
      </c>
      <c r="L653">
        <f>IF(M653,TRUE,AND(P653:S653))</f>
        <v>0</v>
      </c>
      <c r="M653">
        <f>COUNTBLANK(metadata!B653:E653)=COLUMNS(metadata!B653:E653)</f>
        <v>0</v>
      </c>
      <c r="N653">
        <v>0</v>
      </c>
      <c r="P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Q653">
        <f>AND(IF(metadata!C653="",FALSE,TRUE),exact(metadata!C653,"other"))</f>
        <v>0</v>
      </c>
      <c r="R653">
        <f>AND(IF(metadata!D653="",FALSE,TRUE),exact(metadata!D653,"metagenome"))</f>
        <v>0</v>
      </c>
      <c r="S653">
        <f>AND(IF(metadata!E653="",FALSE,TRUE),exact(metadata!E653,"256318"))</f>
        <v>0</v>
      </c>
    </row>
    <row r="654" spans="1:19">
      <c r="A654" s="4">
        <f>IF(B654=" "," ",HYPERLINK(CONCATENATE("#metadata!",ADDRESS(INDEX($K$2:$K$1001,MATCH(ROWS($I$2:I654),$I$2:$I$1001,0),0),1)),INDEX($N$2:$N$1001,MATCH(ROWS($I$2:I654),$I$2:$I$1001,0),0)))</f>
        <v>0</v>
      </c>
      <c r="B654" s="3">
        <f>IF(OR(INDEX($J$2:$J$1001,MATCH(ROWS($I$2:I654),$I$2:$I$1001,0),1)&gt;=100000,INDEX($P$1005:$S$1005,1,MATCH(COLUMNS($P$1006:P1006),$P$1006:$S$1006,0))&gt;=100000), " ",IF(INDEX($P$2:$S$1001,MATCH(ROWS($I$2:I654),$I$2:$I$1001,0),MATCH(COLUMNS($P$1006:P1006),$P$1006:$S$1006,0)), HYPERLINK("#",""), HYPERLINK(CONCATENATE("#metadata!", ADDRESS(INDEX($K$2:$K$1001,MATCH(ROWS($I$2:I654),$I$2:$I$1001,0),0), INDEX($P$1004:$S$1004,1,MATCH(COLUMNS($P$1006:P1006),$P$1006:$S$1006,0)))),"Fix")))</f>
        <v>0</v>
      </c>
      <c r="C654" s="3">
        <f>IF(OR(INDEX($J$2:$J$1001,MATCH(ROWS($I$2:I654),$I$2:$I$1001,0),1)&gt;=100000,INDEX($P$1005:$S$1005,1,MATCH(COLUMNS($P$1006:Q1006),$P$1006:$S$1006,0))&gt;=100000), " ",IF(INDEX($P$2:$S$1001,MATCH(ROWS($I$2:I654),$I$2:$I$1001,0),MATCH(COLUMNS($P$1006:Q1006),$P$1006:$S$1006,0)), HYPERLINK("#",""), HYPERLINK(CONCATENATE("#metadata!", ADDRESS(INDEX($K$2:$K$1001,MATCH(ROWS($I$2:I654),$I$2:$I$1001,0),0), INDEX($P$1004:$S$1004,1,MATCH(COLUMNS($P$1006:Q1006),$P$1006:$S$1006,0)))),"Fix")))</f>
        <v>0</v>
      </c>
      <c r="D654" s="3">
        <f>IF(OR(INDEX($J$2:$J$1001,MATCH(ROWS($I$2:I654),$I$2:$I$1001,0),1)&gt;=100000,INDEX($P$1005:$S$1005,1,MATCH(COLUMNS($P$1006:R1006),$P$1006:$S$1006,0))&gt;=100000), " ",IF(INDEX($P$2:$S$1001,MATCH(ROWS($I$2:I654),$I$2:$I$1001,0),MATCH(COLUMNS($P$1006:R1006),$P$1006:$S$1006,0)), HYPERLINK("#",""), HYPERLINK(CONCATENATE("#metadata!", ADDRESS(INDEX($K$2:$K$1001,MATCH(ROWS($I$2:I654),$I$2:$I$1001,0),0), INDEX($P$1004:$S$1004,1,MATCH(COLUMNS($P$1006:R1006),$P$1006:$S$1006,0)))),"Fix")))</f>
        <v>0</v>
      </c>
      <c r="E654" s="3">
        <f>IF(OR(INDEX($J$2:$J$1001,MATCH(ROWS($I$2:I654),$I$2:$I$1001,0),1)&gt;=100000,INDEX($P$1005:$S$1005,1,MATCH(COLUMNS($P$1006:S1006),$P$1006:$S$1006,0))&gt;=100000), " ",IF(INDEX($P$2:$S$1001,MATCH(ROWS($I$2:I654),$I$2:$I$1001,0),MATCH(COLUMNS($P$1006:S1006),$P$1006:$S$1006,0)), HYPERLINK("#",""), HYPERLINK(CONCATENATE("#metadata!", ADDRESS(INDEX($K$2:$K$1001,MATCH(ROWS($I$2:I654),$I$2:$I$1001,0),0), INDEX($P$1004:$S$1004,1,MATCH(COLUMNS($P$1006:S1006),$P$1006:$S$1006,0)))),"Fix")))</f>
        <v>0</v>
      </c>
      <c r="I654">
        <v>0</v>
      </c>
      <c r="J654">
        <v>0</v>
      </c>
      <c r="K654">
        <v>0</v>
      </c>
      <c r="L654">
        <f>IF(M654,TRUE,AND(P654:S654))</f>
        <v>0</v>
      </c>
      <c r="M654">
        <f>COUNTBLANK(metadata!B654:E654)=COLUMNS(metadata!B654:E654)</f>
        <v>0</v>
      </c>
      <c r="N654">
        <v>0</v>
      </c>
      <c r="P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Q654">
        <f>AND(IF(metadata!C654="",FALSE,TRUE),exact(metadata!C654,"other"))</f>
        <v>0</v>
      </c>
      <c r="R654">
        <f>AND(IF(metadata!D654="",FALSE,TRUE),exact(metadata!D654,"metagenome"))</f>
        <v>0</v>
      </c>
      <c r="S654">
        <f>AND(IF(metadata!E654="",FALSE,TRUE),exact(metadata!E654,"256318"))</f>
        <v>0</v>
      </c>
    </row>
    <row r="655" spans="1:19">
      <c r="A655" s="4">
        <f>IF(B655=" "," ",HYPERLINK(CONCATENATE("#metadata!",ADDRESS(INDEX($K$2:$K$1001,MATCH(ROWS($I$2:I655),$I$2:$I$1001,0),0),1)),INDEX($N$2:$N$1001,MATCH(ROWS($I$2:I655),$I$2:$I$1001,0),0)))</f>
        <v>0</v>
      </c>
      <c r="B655" s="3">
        <f>IF(OR(INDEX($J$2:$J$1001,MATCH(ROWS($I$2:I655),$I$2:$I$1001,0),1)&gt;=100000,INDEX($P$1005:$S$1005,1,MATCH(COLUMNS($P$1006:P1006),$P$1006:$S$1006,0))&gt;=100000), " ",IF(INDEX($P$2:$S$1001,MATCH(ROWS($I$2:I655),$I$2:$I$1001,0),MATCH(COLUMNS($P$1006:P1006),$P$1006:$S$1006,0)), HYPERLINK("#",""), HYPERLINK(CONCATENATE("#metadata!", ADDRESS(INDEX($K$2:$K$1001,MATCH(ROWS($I$2:I655),$I$2:$I$1001,0),0), INDEX($P$1004:$S$1004,1,MATCH(COLUMNS($P$1006:P1006),$P$1006:$S$1006,0)))),"Fix")))</f>
        <v>0</v>
      </c>
      <c r="C655" s="3">
        <f>IF(OR(INDEX($J$2:$J$1001,MATCH(ROWS($I$2:I655),$I$2:$I$1001,0),1)&gt;=100000,INDEX($P$1005:$S$1005,1,MATCH(COLUMNS($P$1006:Q1006),$P$1006:$S$1006,0))&gt;=100000), " ",IF(INDEX($P$2:$S$1001,MATCH(ROWS($I$2:I655),$I$2:$I$1001,0),MATCH(COLUMNS($P$1006:Q1006),$P$1006:$S$1006,0)), HYPERLINK("#",""), HYPERLINK(CONCATENATE("#metadata!", ADDRESS(INDEX($K$2:$K$1001,MATCH(ROWS($I$2:I655),$I$2:$I$1001,0),0), INDEX($P$1004:$S$1004,1,MATCH(COLUMNS($P$1006:Q1006),$P$1006:$S$1006,0)))),"Fix")))</f>
        <v>0</v>
      </c>
      <c r="D655" s="3">
        <f>IF(OR(INDEX($J$2:$J$1001,MATCH(ROWS($I$2:I655),$I$2:$I$1001,0),1)&gt;=100000,INDEX($P$1005:$S$1005,1,MATCH(COLUMNS($P$1006:R1006),$P$1006:$S$1006,0))&gt;=100000), " ",IF(INDEX($P$2:$S$1001,MATCH(ROWS($I$2:I655),$I$2:$I$1001,0),MATCH(COLUMNS($P$1006:R1006),$P$1006:$S$1006,0)), HYPERLINK("#",""), HYPERLINK(CONCATENATE("#metadata!", ADDRESS(INDEX($K$2:$K$1001,MATCH(ROWS($I$2:I655),$I$2:$I$1001,0),0), INDEX($P$1004:$S$1004,1,MATCH(COLUMNS($P$1006:R1006),$P$1006:$S$1006,0)))),"Fix")))</f>
        <v>0</v>
      </c>
      <c r="E655" s="3">
        <f>IF(OR(INDEX($J$2:$J$1001,MATCH(ROWS($I$2:I655),$I$2:$I$1001,0),1)&gt;=100000,INDEX($P$1005:$S$1005,1,MATCH(COLUMNS($P$1006:S1006),$P$1006:$S$1006,0))&gt;=100000), " ",IF(INDEX($P$2:$S$1001,MATCH(ROWS($I$2:I655),$I$2:$I$1001,0),MATCH(COLUMNS($P$1006:S1006),$P$1006:$S$1006,0)), HYPERLINK("#",""), HYPERLINK(CONCATENATE("#metadata!", ADDRESS(INDEX($K$2:$K$1001,MATCH(ROWS($I$2:I655),$I$2:$I$1001,0),0), INDEX($P$1004:$S$1004,1,MATCH(COLUMNS($P$1006:S1006),$P$1006:$S$1006,0)))),"Fix")))</f>
        <v>0</v>
      </c>
      <c r="I655">
        <v>0</v>
      </c>
      <c r="J655">
        <v>0</v>
      </c>
      <c r="K655">
        <v>0</v>
      </c>
      <c r="L655">
        <f>IF(M655,TRUE,AND(P655:S655))</f>
        <v>0</v>
      </c>
      <c r="M655">
        <f>COUNTBLANK(metadata!B655:E655)=COLUMNS(metadata!B655:E655)</f>
        <v>0</v>
      </c>
      <c r="N655">
        <v>0</v>
      </c>
      <c r="P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Q655">
        <f>AND(IF(metadata!C655="",FALSE,TRUE),exact(metadata!C655,"other"))</f>
        <v>0</v>
      </c>
      <c r="R655">
        <f>AND(IF(metadata!D655="",FALSE,TRUE),exact(metadata!D655,"metagenome"))</f>
        <v>0</v>
      </c>
      <c r="S655">
        <f>AND(IF(metadata!E655="",FALSE,TRUE),exact(metadata!E655,"256318"))</f>
        <v>0</v>
      </c>
    </row>
    <row r="656" spans="1:19">
      <c r="A656" s="4">
        <f>IF(B656=" "," ",HYPERLINK(CONCATENATE("#metadata!",ADDRESS(INDEX($K$2:$K$1001,MATCH(ROWS($I$2:I656),$I$2:$I$1001,0),0),1)),INDEX($N$2:$N$1001,MATCH(ROWS($I$2:I656),$I$2:$I$1001,0),0)))</f>
        <v>0</v>
      </c>
      <c r="B656" s="3">
        <f>IF(OR(INDEX($J$2:$J$1001,MATCH(ROWS($I$2:I656),$I$2:$I$1001,0),1)&gt;=100000,INDEX($P$1005:$S$1005,1,MATCH(COLUMNS($P$1006:P1006),$P$1006:$S$1006,0))&gt;=100000), " ",IF(INDEX($P$2:$S$1001,MATCH(ROWS($I$2:I656),$I$2:$I$1001,0),MATCH(COLUMNS($P$1006:P1006),$P$1006:$S$1006,0)), HYPERLINK("#",""), HYPERLINK(CONCATENATE("#metadata!", ADDRESS(INDEX($K$2:$K$1001,MATCH(ROWS($I$2:I656),$I$2:$I$1001,0),0), INDEX($P$1004:$S$1004,1,MATCH(COLUMNS($P$1006:P1006),$P$1006:$S$1006,0)))),"Fix")))</f>
        <v>0</v>
      </c>
      <c r="C656" s="3">
        <f>IF(OR(INDEX($J$2:$J$1001,MATCH(ROWS($I$2:I656),$I$2:$I$1001,0),1)&gt;=100000,INDEX($P$1005:$S$1005,1,MATCH(COLUMNS($P$1006:Q1006),$P$1006:$S$1006,0))&gt;=100000), " ",IF(INDEX($P$2:$S$1001,MATCH(ROWS($I$2:I656),$I$2:$I$1001,0),MATCH(COLUMNS($P$1006:Q1006),$P$1006:$S$1006,0)), HYPERLINK("#",""), HYPERLINK(CONCATENATE("#metadata!", ADDRESS(INDEX($K$2:$K$1001,MATCH(ROWS($I$2:I656),$I$2:$I$1001,0),0), INDEX($P$1004:$S$1004,1,MATCH(COLUMNS($P$1006:Q1006),$P$1006:$S$1006,0)))),"Fix")))</f>
        <v>0</v>
      </c>
      <c r="D656" s="3">
        <f>IF(OR(INDEX($J$2:$J$1001,MATCH(ROWS($I$2:I656),$I$2:$I$1001,0),1)&gt;=100000,INDEX($P$1005:$S$1005,1,MATCH(COLUMNS($P$1006:R1006),$P$1006:$S$1006,0))&gt;=100000), " ",IF(INDEX($P$2:$S$1001,MATCH(ROWS($I$2:I656),$I$2:$I$1001,0),MATCH(COLUMNS($P$1006:R1006),$P$1006:$S$1006,0)), HYPERLINK("#",""), HYPERLINK(CONCATENATE("#metadata!", ADDRESS(INDEX($K$2:$K$1001,MATCH(ROWS($I$2:I656),$I$2:$I$1001,0),0), INDEX($P$1004:$S$1004,1,MATCH(COLUMNS($P$1006:R1006),$P$1006:$S$1006,0)))),"Fix")))</f>
        <v>0</v>
      </c>
      <c r="E656" s="3">
        <f>IF(OR(INDEX($J$2:$J$1001,MATCH(ROWS($I$2:I656),$I$2:$I$1001,0),1)&gt;=100000,INDEX($P$1005:$S$1005,1,MATCH(COLUMNS($P$1006:S1006),$P$1006:$S$1006,0))&gt;=100000), " ",IF(INDEX($P$2:$S$1001,MATCH(ROWS($I$2:I656),$I$2:$I$1001,0),MATCH(COLUMNS($P$1006:S1006),$P$1006:$S$1006,0)), HYPERLINK("#",""), HYPERLINK(CONCATENATE("#metadata!", ADDRESS(INDEX($K$2:$K$1001,MATCH(ROWS($I$2:I656),$I$2:$I$1001,0),0), INDEX($P$1004:$S$1004,1,MATCH(COLUMNS($P$1006:S1006),$P$1006:$S$1006,0)))),"Fix")))</f>
        <v>0</v>
      </c>
      <c r="I656">
        <v>0</v>
      </c>
      <c r="J656">
        <v>0</v>
      </c>
      <c r="K656">
        <v>0</v>
      </c>
      <c r="L656">
        <f>IF(M656,TRUE,AND(P656:S656))</f>
        <v>0</v>
      </c>
      <c r="M656">
        <f>COUNTBLANK(metadata!B656:E656)=COLUMNS(metadata!B656:E656)</f>
        <v>0</v>
      </c>
      <c r="N656">
        <v>0</v>
      </c>
      <c r="P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Q656">
        <f>AND(IF(metadata!C656="",FALSE,TRUE),exact(metadata!C656,"other"))</f>
        <v>0</v>
      </c>
      <c r="R656">
        <f>AND(IF(metadata!D656="",FALSE,TRUE),exact(metadata!D656,"metagenome"))</f>
        <v>0</v>
      </c>
      <c r="S656">
        <f>AND(IF(metadata!E656="",FALSE,TRUE),exact(metadata!E656,"256318"))</f>
        <v>0</v>
      </c>
    </row>
    <row r="657" spans="1:19">
      <c r="A657" s="4">
        <f>IF(B657=" "," ",HYPERLINK(CONCATENATE("#metadata!",ADDRESS(INDEX($K$2:$K$1001,MATCH(ROWS($I$2:I657),$I$2:$I$1001,0),0),1)),INDEX($N$2:$N$1001,MATCH(ROWS($I$2:I657),$I$2:$I$1001,0),0)))</f>
        <v>0</v>
      </c>
      <c r="B657" s="3">
        <f>IF(OR(INDEX($J$2:$J$1001,MATCH(ROWS($I$2:I657),$I$2:$I$1001,0),1)&gt;=100000,INDEX($P$1005:$S$1005,1,MATCH(COLUMNS($P$1006:P1006),$P$1006:$S$1006,0))&gt;=100000), " ",IF(INDEX($P$2:$S$1001,MATCH(ROWS($I$2:I657),$I$2:$I$1001,0),MATCH(COLUMNS($P$1006:P1006),$P$1006:$S$1006,0)), HYPERLINK("#",""), HYPERLINK(CONCATENATE("#metadata!", ADDRESS(INDEX($K$2:$K$1001,MATCH(ROWS($I$2:I657),$I$2:$I$1001,0),0), INDEX($P$1004:$S$1004,1,MATCH(COLUMNS($P$1006:P1006),$P$1006:$S$1006,0)))),"Fix")))</f>
        <v>0</v>
      </c>
      <c r="C657" s="3">
        <f>IF(OR(INDEX($J$2:$J$1001,MATCH(ROWS($I$2:I657),$I$2:$I$1001,0),1)&gt;=100000,INDEX($P$1005:$S$1005,1,MATCH(COLUMNS($P$1006:Q1006),$P$1006:$S$1006,0))&gt;=100000), " ",IF(INDEX($P$2:$S$1001,MATCH(ROWS($I$2:I657),$I$2:$I$1001,0),MATCH(COLUMNS($P$1006:Q1006),$P$1006:$S$1006,0)), HYPERLINK("#",""), HYPERLINK(CONCATENATE("#metadata!", ADDRESS(INDEX($K$2:$K$1001,MATCH(ROWS($I$2:I657),$I$2:$I$1001,0),0), INDEX($P$1004:$S$1004,1,MATCH(COLUMNS($P$1006:Q1006),$P$1006:$S$1006,0)))),"Fix")))</f>
        <v>0</v>
      </c>
      <c r="D657" s="3">
        <f>IF(OR(INDEX($J$2:$J$1001,MATCH(ROWS($I$2:I657),$I$2:$I$1001,0),1)&gt;=100000,INDEX($P$1005:$S$1005,1,MATCH(COLUMNS($P$1006:R1006),$P$1006:$S$1006,0))&gt;=100000), " ",IF(INDEX($P$2:$S$1001,MATCH(ROWS($I$2:I657),$I$2:$I$1001,0),MATCH(COLUMNS($P$1006:R1006),$P$1006:$S$1006,0)), HYPERLINK("#",""), HYPERLINK(CONCATENATE("#metadata!", ADDRESS(INDEX($K$2:$K$1001,MATCH(ROWS($I$2:I657),$I$2:$I$1001,0),0), INDEX($P$1004:$S$1004,1,MATCH(COLUMNS($P$1006:R1006),$P$1006:$S$1006,0)))),"Fix")))</f>
        <v>0</v>
      </c>
      <c r="E657" s="3">
        <f>IF(OR(INDEX($J$2:$J$1001,MATCH(ROWS($I$2:I657),$I$2:$I$1001,0),1)&gt;=100000,INDEX($P$1005:$S$1005,1,MATCH(COLUMNS($P$1006:S1006),$P$1006:$S$1006,0))&gt;=100000), " ",IF(INDEX($P$2:$S$1001,MATCH(ROWS($I$2:I657),$I$2:$I$1001,0),MATCH(COLUMNS($P$1006:S1006),$P$1006:$S$1006,0)), HYPERLINK("#",""), HYPERLINK(CONCATENATE("#metadata!", ADDRESS(INDEX($K$2:$K$1001,MATCH(ROWS($I$2:I657),$I$2:$I$1001,0),0), INDEX($P$1004:$S$1004,1,MATCH(COLUMNS($P$1006:S1006),$P$1006:$S$1006,0)))),"Fix")))</f>
        <v>0</v>
      </c>
      <c r="I657">
        <v>0</v>
      </c>
      <c r="J657">
        <v>0</v>
      </c>
      <c r="K657">
        <v>0</v>
      </c>
      <c r="L657">
        <f>IF(M657,TRUE,AND(P657:S657))</f>
        <v>0</v>
      </c>
      <c r="M657">
        <f>COUNTBLANK(metadata!B657:E657)=COLUMNS(metadata!B657:E657)</f>
        <v>0</v>
      </c>
      <c r="N657">
        <v>0</v>
      </c>
      <c r="P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Q657">
        <f>AND(IF(metadata!C657="",FALSE,TRUE),exact(metadata!C657,"other"))</f>
        <v>0</v>
      </c>
      <c r="R657">
        <f>AND(IF(metadata!D657="",FALSE,TRUE),exact(metadata!D657,"metagenome"))</f>
        <v>0</v>
      </c>
      <c r="S657">
        <f>AND(IF(metadata!E657="",FALSE,TRUE),exact(metadata!E657,"256318"))</f>
        <v>0</v>
      </c>
    </row>
    <row r="658" spans="1:19">
      <c r="A658" s="4">
        <f>IF(B658=" "," ",HYPERLINK(CONCATENATE("#metadata!",ADDRESS(INDEX($K$2:$K$1001,MATCH(ROWS($I$2:I658),$I$2:$I$1001,0),0),1)),INDEX($N$2:$N$1001,MATCH(ROWS($I$2:I658),$I$2:$I$1001,0),0)))</f>
        <v>0</v>
      </c>
      <c r="B658" s="3">
        <f>IF(OR(INDEX($J$2:$J$1001,MATCH(ROWS($I$2:I658),$I$2:$I$1001,0),1)&gt;=100000,INDEX($P$1005:$S$1005,1,MATCH(COLUMNS($P$1006:P1006),$P$1006:$S$1006,0))&gt;=100000), " ",IF(INDEX($P$2:$S$1001,MATCH(ROWS($I$2:I658),$I$2:$I$1001,0),MATCH(COLUMNS($P$1006:P1006),$P$1006:$S$1006,0)), HYPERLINK("#",""), HYPERLINK(CONCATENATE("#metadata!", ADDRESS(INDEX($K$2:$K$1001,MATCH(ROWS($I$2:I658),$I$2:$I$1001,0),0), INDEX($P$1004:$S$1004,1,MATCH(COLUMNS($P$1006:P1006),$P$1006:$S$1006,0)))),"Fix")))</f>
        <v>0</v>
      </c>
      <c r="C658" s="3">
        <f>IF(OR(INDEX($J$2:$J$1001,MATCH(ROWS($I$2:I658),$I$2:$I$1001,0),1)&gt;=100000,INDEX($P$1005:$S$1005,1,MATCH(COLUMNS($P$1006:Q1006),$P$1006:$S$1006,0))&gt;=100000), " ",IF(INDEX($P$2:$S$1001,MATCH(ROWS($I$2:I658),$I$2:$I$1001,0),MATCH(COLUMNS($P$1006:Q1006),$P$1006:$S$1006,0)), HYPERLINK("#",""), HYPERLINK(CONCATENATE("#metadata!", ADDRESS(INDEX($K$2:$K$1001,MATCH(ROWS($I$2:I658),$I$2:$I$1001,0),0), INDEX($P$1004:$S$1004,1,MATCH(COLUMNS($P$1006:Q1006),$P$1006:$S$1006,0)))),"Fix")))</f>
        <v>0</v>
      </c>
      <c r="D658" s="3">
        <f>IF(OR(INDEX($J$2:$J$1001,MATCH(ROWS($I$2:I658),$I$2:$I$1001,0),1)&gt;=100000,INDEX($P$1005:$S$1005,1,MATCH(COLUMNS($P$1006:R1006),$P$1006:$S$1006,0))&gt;=100000), " ",IF(INDEX($P$2:$S$1001,MATCH(ROWS($I$2:I658),$I$2:$I$1001,0),MATCH(COLUMNS($P$1006:R1006),$P$1006:$S$1006,0)), HYPERLINK("#",""), HYPERLINK(CONCATENATE("#metadata!", ADDRESS(INDEX($K$2:$K$1001,MATCH(ROWS($I$2:I658),$I$2:$I$1001,0),0), INDEX($P$1004:$S$1004,1,MATCH(COLUMNS($P$1006:R1006),$P$1006:$S$1006,0)))),"Fix")))</f>
        <v>0</v>
      </c>
      <c r="E658" s="3">
        <f>IF(OR(INDEX($J$2:$J$1001,MATCH(ROWS($I$2:I658),$I$2:$I$1001,0),1)&gt;=100000,INDEX($P$1005:$S$1005,1,MATCH(COLUMNS($P$1006:S1006),$P$1006:$S$1006,0))&gt;=100000), " ",IF(INDEX($P$2:$S$1001,MATCH(ROWS($I$2:I658),$I$2:$I$1001,0),MATCH(COLUMNS($P$1006:S1006),$P$1006:$S$1006,0)), HYPERLINK("#",""), HYPERLINK(CONCATENATE("#metadata!", ADDRESS(INDEX($K$2:$K$1001,MATCH(ROWS($I$2:I658),$I$2:$I$1001,0),0), INDEX($P$1004:$S$1004,1,MATCH(COLUMNS($P$1006:S1006),$P$1006:$S$1006,0)))),"Fix")))</f>
        <v>0</v>
      </c>
      <c r="I658">
        <v>0</v>
      </c>
      <c r="J658">
        <v>0</v>
      </c>
      <c r="K658">
        <v>0</v>
      </c>
      <c r="L658">
        <f>IF(M658,TRUE,AND(P658:S658))</f>
        <v>0</v>
      </c>
      <c r="M658">
        <f>COUNTBLANK(metadata!B658:E658)=COLUMNS(metadata!B658:E658)</f>
        <v>0</v>
      </c>
      <c r="N658">
        <v>0</v>
      </c>
      <c r="P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Q658">
        <f>AND(IF(metadata!C658="",FALSE,TRUE),exact(metadata!C658,"other"))</f>
        <v>0</v>
      </c>
      <c r="R658">
        <f>AND(IF(metadata!D658="",FALSE,TRUE),exact(metadata!D658,"metagenome"))</f>
        <v>0</v>
      </c>
      <c r="S658">
        <f>AND(IF(metadata!E658="",FALSE,TRUE),exact(metadata!E658,"256318"))</f>
        <v>0</v>
      </c>
    </row>
    <row r="659" spans="1:19">
      <c r="A659" s="4">
        <f>IF(B659=" "," ",HYPERLINK(CONCATENATE("#metadata!",ADDRESS(INDEX($K$2:$K$1001,MATCH(ROWS($I$2:I659),$I$2:$I$1001,0),0),1)),INDEX($N$2:$N$1001,MATCH(ROWS($I$2:I659),$I$2:$I$1001,0),0)))</f>
        <v>0</v>
      </c>
      <c r="B659" s="3">
        <f>IF(OR(INDEX($J$2:$J$1001,MATCH(ROWS($I$2:I659),$I$2:$I$1001,0),1)&gt;=100000,INDEX($P$1005:$S$1005,1,MATCH(COLUMNS($P$1006:P1006),$P$1006:$S$1006,0))&gt;=100000), " ",IF(INDEX($P$2:$S$1001,MATCH(ROWS($I$2:I659),$I$2:$I$1001,0),MATCH(COLUMNS($P$1006:P1006),$P$1006:$S$1006,0)), HYPERLINK("#",""), HYPERLINK(CONCATENATE("#metadata!", ADDRESS(INDEX($K$2:$K$1001,MATCH(ROWS($I$2:I659),$I$2:$I$1001,0),0), INDEX($P$1004:$S$1004,1,MATCH(COLUMNS($P$1006:P1006),$P$1006:$S$1006,0)))),"Fix")))</f>
        <v>0</v>
      </c>
      <c r="C659" s="3">
        <f>IF(OR(INDEX($J$2:$J$1001,MATCH(ROWS($I$2:I659),$I$2:$I$1001,0),1)&gt;=100000,INDEX($P$1005:$S$1005,1,MATCH(COLUMNS($P$1006:Q1006),$P$1006:$S$1006,0))&gt;=100000), " ",IF(INDEX($P$2:$S$1001,MATCH(ROWS($I$2:I659),$I$2:$I$1001,0),MATCH(COLUMNS($P$1006:Q1006),$P$1006:$S$1006,0)), HYPERLINK("#",""), HYPERLINK(CONCATENATE("#metadata!", ADDRESS(INDEX($K$2:$K$1001,MATCH(ROWS($I$2:I659),$I$2:$I$1001,0),0), INDEX($P$1004:$S$1004,1,MATCH(COLUMNS($P$1006:Q1006),$P$1006:$S$1006,0)))),"Fix")))</f>
        <v>0</v>
      </c>
      <c r="D659" s="3">
        <f>IF(OR(INDEX($J$2:$J$1001,MATCH(ROWS($I$2:I659),$I$2:$I$1001,0),1)&gt;=100000,INDEX($P$1005:$S$1005,1,MATCH(COLUMNS($P$1006:R1006),$P$1006:$S$1006,0))&gt;=100000), " ",IF(INDEX($P$2:$S$1001,MATCH(ROWS($I$2:I659),$I$2:$I$1001,0),MATCH(COLUMNS($P$1006:R1006),$P$1006:$S$1006,0)), HYPERLINK("#",""), HYPERLINK(CONCATENATE("#metadata!", ADDRESS(INDEX($K$2:$K$1001,MATCH(ROWS($I$2:I659),$I$2:$I$1001,0),0), INDEX($P$1004:$S$1004,1,MATCH(COLUMNS($P$1006:R1006),$P$1006:$S$1006,0)))),"Fix")))</f>
        <v>0</v>
      </c>
      <c r="E659" s="3">
        <f>IF(OR(INDEX($J$2:$J$1001,MATCH(ROWS($I$2:I659),$I$2:$I$1001,0),1)&gt;=100000,INDEX($P$1005:$S$1005,1,MATCH(COLUMNS($P$1006:S1006),$P$1006:$S$1006,0))&gt;=100000), " ",IF(INDEX($P$2:$S$1001,MATCH(ROWS($I$2:I659),$I$2:$I$1001,0),MATCH(COLUMNS($P$1006:S1006),$P$1006:$S$1006,0)), HYPERLINK("#",""), HYPERLINK(CONCATENATE("#metadata!", ADDRESS(INDEX($K$2:$K$1001,MATCH(ROWS($I$2:I659),$I$2:$I$1001,0),0), INDEX($P$1004:$S$1004,1,MATCH(COLUMNS($P$1006:S1006),$P$1006:$S$1006,0)))),"Fix")))</f>
        <v>0</v>
      </c>
      <c r="I659">
        <v>0</v>
      </c>
      <c r="J659">
        <v>0</v>
      </c>
      <c r="K659">
        <v>0</v>
      </c>
      <c r="L659">
        <f>IF(M659,TRUE,AND(P659:S659))</f>
        <v>0</v>
      </c>
      <c r="M659">
        <f>COUNTBLANK(metadata!B659:E659)=COLUMNS(metadata!B659:E659)</f>
        <v>0</v>
      </c>
      <c r="N659">
        <v>0</v>
      </c>
      <c r="P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Q659">
        <f>AND(IF(metadata!C659="",FALSE,TRUE),exact(metadata!C659,"other"))</f>
        <v>0</v>
      </c>
      <c r="R659">
        <f>AND(IF(metadata!D659="",FALSE,TRUE),exact(metadata!D659,"metagenome"))</f>
        <v>0</v>
      </c>
      <c r="S659">
        <f>AND(IF(metadata!E659="",FALSE,TRUE),exact(metadata!E659,"256318"))</f>
        <v>0</v>
      </c>
    </row>
    <row r="660" spans="1:19">
      <c r="A660" s="4">
        <f>IF(B660=" "," ",HYPERLINK(CONCATENATE("#metadata!",ADDRESS(INDEX($K$2:$K$1001,MATCH(ROWS($I$2:I660),$I$2:$I$1001,0),0),1)),INDEX($N$2:$N$1001,MATCH(ROWS($I$2:I660),$I$2:$I$1001,0),0)))</f>
        <v>0</v>
      </c>
      <c r="B660" s="3">
        <f>IF(OR(INDEX($J$2:$J$1001,MATCH(ROWS($I$2:I660),$I$2:$I$1001,0),1)&gt;=100000,INDEX($P$1005:$S$1005,1,MATCH(COLUMNS($P$1006:P1006),$P$1006:$S$1006,0))&gt;=100000), " ",IF(INDEX($P$2:$S$1001,MATCH(ROWS($I$2:I660),$I$2:$I$1001,0),MATCH(COLUMNS($P$1006:P1006),$P$1006:$S$1006,0)), HYPERLINK("#",""), HYPERLINK(CONCATENATE("#metadata!", ADDRESS(INDEX($K$2:$K$1001,MATCH(ROWS($I$2:I660),$I$2:$I$1001,0),0), INDEX($P$1004:$S$1004,1,MATCH(COLUMNS($P$1006:P1006),$P$1006:$S$1006,0)))),"Fix")))</f>
        <v>0</v>
      </c>
      <c r="C660" s="3">
        <f>IF(OR(INDEX($J$2:$J$1001,MATCH(ROWS($I$2:I660),$I$2:$I$1001,0),1)&gt;=100000,INDEX($P$1005:$S$1005,1,MATCH(COLUMNS($P$1006:Q1006),$P$1006:$S$1006,0))&gt;=100000), " ",IF(INDEX($P$2:$S$1001,MATCH(ROWS($I$2:I660),$I$2:$I$1001,0),MATCH(COLUMNS($P$1006:Q1006),$P$1006:$S$1006,0)), HYPERLINK("#",""), HYPERLINK(CONCATENATE("#metadata!", ADDRESS(INDEX($K$2:$K$1001,MATCH(ROWS($I$2:I660),$I$2:$I$1001,0),0), INDEX($P$1004:$S$1004,1,MATCH(COLUMNS($P$1006:Q1006),$P$1006:$S$1006,0)))),"Fix")))</f>
        <v>0</v>
      </c>
      <c r="D660" s="3">
        <f>IF(OR(INDEX($J$2:$J$1001,MATCH(ROWS($I$2:I660),$I$2:$I$1001,0),1)&gt;=100000,INDEX($P$1005:$S$1005,1,MATCH(COLUMNS($P$1006:R1006),$P$1006:$S$1006,0))&gt;=100000), " ",IF(INDEX($P$2:$S$1001,MATCH(ROWS($I$2:I660),$I$2:$I$1001,0),MATCH(COLUMNS($P$1006:R1006),$P$1006:$S$1006,0)), HYPERLINK("#",""), HYPERLINK(CONCATENATE("#metadata!", ADDRESS(INDEX($K$2:$K$1001,MATCH(ROWS($I$2:I660),$I$2:$I$1001,0),0), INDEX($P$1004:$S$1004,1,MATCH(COLUMNS($P$1006:R1006),$P$1006:$S$1006,0)))),"Fix")))</f>
        <v>0</v>
      </c>
      <c r="E660" s="3">
        <f>IF(OR(INDEX($J$2:$J$1001,MATCH(ROWS($I$2:I660),$I$2:$I$1001,0),1)&gt;=100000,INDEX($P$1005:$S$1005,1,MATCH(COLUMNS($P$1006:S1006),$P$1006:$S$1006,0))&gt;=100000), " ",IF(INDEX($P$2:$S$1001,MATCH(ROWS($I$2:I660),$I$2:$I$1001,0),MATCH(COLUMNS($P$1006:S1006),$P$1006:$S$1006,0)), HYPERLINK("#",""), HYPERLINK(CONCATENATE("#metadata!", ADDRESS(INDEX($K$2:$K$1001,MATCH(ROWS($I$2:I660),$I$2:$I$1001,0),0), INDEX($P$1004:$S$1004,1,MATCH(COLUMNS($P$1006:S1006),$P$1006:$S$1006,0)))),"Fix")))</f>
        <v>0</v>
      </c>
      <c r="I660">
        <v>0</v>
      </c>
      <c r="J660">
        <v>0</v>
      </c>
      <c r="K660">
        <v>0</v>
      </c>
      <c r="L660">
        <f>IF(M660,TRUE,AND(P660:S660))</f>
        <v>0</v>
      </c>
      <c r="M660">
        <f>COUNTBLANK(metadata!B660:E660)=COLUMNS(metadata!B660:E660)</f>
        <v>0</v>
      </c>
      <c r="N660">
        <v>0</v>
      </c>
      <c r="P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Q660">
        <f>AND(IF(metadata!C660="",FALSE,TRUE),exact(metadata!C660,"other"))</f>
        <v>0</v>
      </c>
      <c r="R660">
        <f>AND(IF(metadata!D660="",FALSE,TRUE),exact(metadata!D660,"metagenome"))</f>
        <v>0</v>
      </c>
      <c r="S660">
        <f>AND(IF(metadata!E660="",FALSE,TRUE),exact(metadata!E660,"256318"))</f>
        <v>0</v>
      </c>
    </row>
    <row r="661" spans="1:19">
      <c r="A661" s="4">
        <f>IF(B661=" "," ",HYPERLINK(CONCATENATE("#metadata!",ADDRESS(INDEX($K$2:$K$1001,MATCH(ROWS($I$2:I661),$I$2:$I$1001,0),0),1)),INDEX($N$2:$N$1001,MATCH(ROWS($I$2:I661),$I$2:$I$1001,0),0)))</f>
        <v>0</v>
      </c>
      <c r="B661" s="3">
        <f>IF(OR(INDEX($J$2:$J$1001,MATCH(ROWS($I$2:I661),$I$2:$I$1001,0),1)&gt;=100000,INDEX($P$1005:$S$1005,1,MATCH(COLUMNS($P$1006:P1006),$P$1006:$S$1006,0))&gt;=100000), " ",IF(INDEX($P$2:$S$1001,MATCH(ROWS($I$2:I661),$I$2:$I$1001,0),MATCH(COLUMNS($P$1006:P1006),$P$1006:$S$1006,0)), HYPERLINK("#",""), HYPERLINK(CONCATENATE("#metadata!", ADDRESS(INDEX($K$2:$K$1001,MATCH(ROWS($I$2:I661),$I$2:$I$1001,0),0), INDEX($P$1004:$S$1004,1,MATCH(COLUMNS($P$1006:P1006),$P$1006:$S$1006,0)))),"Fix")))</f>
        <v>0</v>
      </c>
      <c r="C661" s="3">
        <f>IF(OR(INDEX($J$2:$J$1001,MATCH(ROWS($I$2:I661),$I$2:$I$1001,0),1)&gt;=100000,INDEX($P$1005:$S$1005,1,MATCH(COLUMNS($P$1006:Q1006),$P$1006:$S$1006,0))&gt;=100000), " ",IF(INDEX($P$2:$S$1001,MATCH(ROWS($I$2:I661),$I$2:$I$1001,0),MATCH(COLUMNS($P$1006:Q1006),$P$1006:$S$1006,0)), HYPERLINK("#",""), HYPERLINK(CONCATENATE("#metadata!", ADDRESS(INDEX($K$2:$K$1001,MATCH(ROWS($I$2:I661),$I$2:$I$1001,0),0), INDEX($P$1004:$S$1004,1,MATCH(COLUMNS($P$1006:Q1006),$P$1006:$S$1006,0)))),"Fix")))</f>
        <v>0</v>
      </c>
      <c r="D661" s="3">
        <f>IF(OR(INDEX($J$2:$J$1001,MATCH(ROWS($I$2:I661),$I$2:$I$1001,0),1)&gt;=100000,INDEX($P$1005:$S$1005,1,MATCH(COLUMNS($P$1006:R1006),$P$1006:$S$1006,0))&gt;=100000), " ",IF(INDEX($P$2:$S$1001,MATCH(ROWS($I$2:I661),$I$2:$I$1001,0),MATCH(COLUMNS($P$1006:R1006),$P$1006:$S$1006,0)), HYPERLINK("#",""), HYPERLINK(CONCATENATE("#metadata!", ADDRESS(INDEX($K$2:$K$1001,MATCH(ROWS($I$2:I661),$I$2:$I$1001,0),0), INDEX($P$1004:$S$1004,1,MATCH(COLUMNS($P$1006:R1006),$P$1006:$S$1006,0)))),"Fix")))</f>
        <v>0</v>
      </c>
      <c r="E661" s="3">
        <f>IF(OR(INDEX($J$2:$J$1001,MATCH(ROWS($I$2:I661),$I$2:$I$1001,0),1)&gt;=100000,INDEX($P$1005:$S$1005,1,MATCH(COLUMNS($P$1006:S1006),$P$1006:$S$1006,0))&gt;=100000), " ",IF(INDEX($P$2:$S$1001,MATCH(ROWS($I$2:I661),$I$2:$I$1001,0),MATCH(COLUMNS($P$1006:S1006),$P$1006:$S$1006,0)), HYPERLINK("#",""), HYPERLINK(CONCATENATE("#metadata!", ADDRESS(INDEX($K$2:$K$1001,MATCH(ROWS($I$2:I661),$I$2:$I$1001,0),0), INDEX($P$1004:$S$1004,1,MATCH(COLUMNS($P$1006:S1006),$P$1006:$S$1006,0)))),"Fix")))</f>
        <v>0</v>
      </c>
      <c r="I661">
        <v>0</v>
      </c>
      <c r="J661">
        <v>0</v>
      </c>
      <c r="K661">
        <v>0</v>
      </c>
      <c r="L661">
        <f>IF(M661,TRUE,AND(P661:S661))</f>
        <v>0</v>
      </c>
      <c r="M661">
        <f>COUNTBLANK(metadata!B661:E661)=COLUMNS(metadata!B661:E661)</f>
        <v>0</v>
      </c>
      <c r="N661">
        <v>0</v>
      </c>
      <c r="P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Q661">
        <f>AND(IF(metadata!C661="",FALSE,TRUE),exact(metadata!C661,"other"))</f>
        <v>0</v>
      </c>
      <c r="R661">
        <f>AND(IF(metadata!D661="",FALSE,TRUE),exact(metadata!D661,"metagenome"))</f>
        <v>0</v>
      </c>
      <c r="S661">
        <f>AND(IF(metadata!E661="",FALSE,TRUE),exact(metadata!E661,"256318"))</f>
        <v>0</v>
      </c>
    </row>
    <row r="662" spans="1:19">
      <c r="A662" s="4">
        <f>IF(B662=" "," ",HYPERLINK(CONCATENATE("#metadata!",ADDRESS(INDEX($K$2:$K$1001,MATCH(ROWS($I$2:I662),$I$2:$I$1001,0),0),1)),INDEX($N$2:$N$1001,MATCH(ROWS($I$2:I662),$I$2:$I$1001,0),0)))</f>
        <v>0</v>
      </c>
      <c r="B662" s="3">
        <f>IF(OR(INDEX($J$2:$J$1001,MATCH(ROWS($I$2:I662),$I$2:$I$1001,0),1)&gt;=100000,INDEX($P$1005:$S$1005,1,MATCH(COLUMNS($P$1006:P1006),$P$1006:$S$1006,0))&gt;=100000), " ",IF(INDEX($P$2:$S$1001,MATCH(ROWS($I$2:I662),$I$2:$I$1001,0),MATCH(COLUMNS($P$1006:P1006),$P$1006:$S$1006,0)), HYPERLINK("#",""), HYPERLINK(CONCATENATE("#metadata!", ADDRESS(INDEX($K$2:$K$1001,MATCH(ROWS($I$2:I662),$I$2:$I$1001,0),0), INDEX($P$1004:$S$1004,1,MATCH(COLUMNS($P$1006:P1006),$P$1006:$S$1006,0)))),"Fix")))</f>
        <v>0</v>
      </c>
      <c r="C662" s="3">
        <f>IF(OR(INDEX($J$2:$J$1001,MATCH(ROWS($I$2:I662),$I$2:$I$1001,0),1)&gt;=100000,INDEX($P$1005:$S$1005,1,MATCH(COLUMNS($P$1006:Q1006),$P$1006:$S$1006,0))&gt;=100000), " ",IF(INDEX($P$2:$S$1001,MATCH(ROWS($I$2:I662),$I$2:$I$1001,0),MATCH(COLUMNS($P$1006:Q1006),$P$1006:$S$1006,0)), HYPERLINK("#",""), HYPERLINK(CONCATENATE("#metadata!", ADDRESS(INDEX($K$2:$K$1001,MATCH(ROWS($I$2:I662),$I$2:$I$1001,0),0), INDEX($P$1004:$S$1004,1,MATCH(COLUMNS($P$1006:Q1006),$P$1006:$S$1006,0)))),"Fix")))</f>
        <v>0</v>
      </c>
      <c r="D662" s="3">
        <f>IF(OR(INDEX($J$2:$J$1001,MATCH(ROWS($I$2:I662),$I$2:$I$1001,0),1)&gt;=100000,INDEX($P$1005:$S$1005,1,MATCH(COLUMNS($P$1006:R1006),$P$1006:$S$1006,0))&gt;=100000), " ",IF(INDEX($P$2:$S$1001,MATCH(ROWS($I$2:I662),$I$2:$I$1001,0),MATCH(COLUMNS($P$1006:R1006),$P$1006:$S$1006,0)), HYPERLINK("#",""), HYPERLINK(CONCATENATE("#metadata!", ADDRESS(INDEX($K$2:$K$1001,MATCH(ROWS($I$2:I662),$I$2:$I$1001,0),0), INDEX($P$1004:$S$1004,1,MATCH(COLUMNS($P$1006:R1006),$P$1006:$S$1006,0)))),"Fix")))</f>
        <v>0</v>
      </c>
      <c r="E662" s="3">
        <f>IF(OR(INDEX($J$2:$J$1001,MATCH(ROWS($I$2:I662),$I$2:$I$1001,0),1)&gt;=100000,INDEX($P$1005:$S$1005,1,MATCH(COLUMNS($P$1006:S1006),$P$1006:$S$1006,0))&gt;=100000), " ",IF(INDEX($P$2:$S$1001,MATCH(ROWS($I$2:I662),$I$2:$I$1001,0),MATCH(COLUMNS($P$1006:S1006),$P$1006:$S$1006,0)), HYPERLINK("#",""), HYPERLINK(CONCATENATE("#metadata!", ADDRESS(INDEX($K$2:$K$1001,MATCH(ROWS($I$2:I662),$I$2:$I$1001,0),0), INDEX($P$1004:$S$1004,1,MATCH(COLUMNS($P$1006:S1006),$P$1006:$S$1006,0)))),"Fix")))</f>
        <v>0</v>
      </c>
      <c r="I662">
        <v>0</v>
      </c>
      <c r="J662">
        <v>0</v>
      </c>
      <c r="K662">
        <v>0</v>
      </c>
      <c r="L662">
        <f>IF(M662,TRUE,AND(P662:S662))</f>
        <v>0</v>
      </c>
      <c r="M662">
        <f>COUNTBLANK(metadata!B662:E662)=COLUMNS(metadata!B662:E662)</f>
        <v>0</v>
      </c>
      <c r="N662">
        <v>0</v>
      </c>
      <c r="P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Q662">
        <f>AND(IF(metadata!C662="",FALSE,TRUE),exact(metadata!C662,"other"))</f>
        <v>0</v>
      </c>
      <c r="R662">
        <f>AND(IF(metadata!D662="",FALSE,TRUE),exact(metadata!D662,"metagenome"))</f>
        <v>0</v>
      </c>
      <c r="S662">
        <f>AND(IF(metadata!E662="",FALSE,TRUE),exact(metadata!E662,"256318"))</f>
        <v>0</v>
      </c>
    </row>
    <row r="663" spans="1:19">
      <c r="A663" s="4">
        <f>IF(B663=" "," ",HYPERLINK(CONCATENATE("#metadata!",ADDRESS(INDEX($K$2:$K$1001,MATCH(ROWS($I$2:I663),$I$2:$I$1001,0),0),1)),INDEX($N$2:$N$1001,MATCH(ROWS($I$2:I663),$I$2:$I$1001,0),0)))</f>
        <v>0</v>
      </c>
      <c r="B663" s="3">
        <f>IF(OR(INDEX($J$2:$J$1001,MATCH(ROWS($I$2:I663),$I$2:$I$1001,0),1)&gt;=100000,INDEX($P$1005:$S$1005,1,MATCH(COLUMNS($P$1006:P1006),$P$1006:$S$1006,0))&gt;=100000), " ",IF(INDEX($P$2:$S$1001,MATCH(ROWS($I$2:I663),$I$2:$I$1001,0),MATCH(COLUMNS($P$1006:P1006),$P$1006:$S$1006,0)), HYPERLINK("#",""), HYPERLINK(CONCATENATE("#metadata!", ADDRESS(INDEX($K$2:$K$1001,MATCH(ROWS($I$2:I663),$I$2:$I$1001,0),0), INDEX($P$1004:$S$1004,1,MATCH(COLUMNS($P$1006:P1006),$P$1006:$S$1006,0)))),"Fix")))</f>
        <v>0</v>
      </c>
      <c r="C663" s="3">
        <f>IF(OR(INDEX($J$2:$J$1001,MATCH(ROWS($I$2:I663),$I$2:$I$1001,0),1)&gt;=100000,INDEX($P$1005:$S$1005,1,MATCH(COLUMNS($P$1006:Q1006),$P$1006:$S$1006,0))&gt;=100000), " ",IF(INDEX($P$2:$S$1001,MATCH(ROWS($I$2:I663),$I$2:$I$1001,0),MATCH(COLUMNS($P$1006:Q1006),$P$1006:$S$1006,0)), HYPERLINK("#",""), HYPERLINK(CONCATENATE("#metadata!", ADDRESS(INDEX($K$2:$K$1001,MATCH(ROWS($I$2:I663),$I$2:$I$1001,0),0), INDEX($P$1004:$S$1004,1,MATCH(COLUMNS($P$1006:Q1006),$P$1006:$S$1006,0)))),"Fix")))</f>
        <v>0</v>
      </c>
      <c r="D663" s="3">
        <f>IF(OR(INDEX($J$2:$J$1001,MATCH(ROWS($I$2:I663),$I$2:$I$1001,0),1)&gt;=100000,INDEX($P$1005:$S$1005,1,MATCH(COLUMNS($P$1006:R1006),$P$1006:$S$1006,0))&gt;=100000), " ",IF(INDEX($P$2:$S$1001,MATCH(ROWS($I$2:I663),$I$2:$I$1001,0),MATCH(COLUMNS($P$1006:R1006),$P$1006:$S$1006,0)), HYPERLINK("#",""), HYPERLINK(CONCATENATE("#metadata!", ADDRESS(INDEX($K$2:$K$1001,MATCH(ROWS($I$2:I663),$I$2:$I$1001,0),0), INDEX($P$1004:$S$1004,1,MATCH(COLUMNS($P$1006:R1006),$P$1006:$S$1006,0)))),"Fix")))</f>
        <v>0</v>
      </c>
      <c r="E663" s="3">
        <f>IF(OR(INDEX($J$2:$J$1001,MATCH(ROWS($I$2:I663),$I$2:$I$1001,0),1)&gt;=100000,INDEX($P$1005:$S$1005,1,MATCH(COLUMNS($P$1006:S1006),$P$1006:$S$1006,0))&gt;=100000), " ",IF(INDEX($P$2:$S$1001,MATCH(ROWS($I$2:I663),$I$2:$I$1001,0),MATCH(COLUMNS($P$1006:S1006),$P$1006:$S$1006,0)), HYPERLINK("#",""), HYPERLINK(CONCATENATE("#metadata!", ADDRESS(INDEX($K$2:$K$1001,MATCH(ROWS($I$2:I663),$I$2:$I$1001,0),0), INDEX($P$1004:$S$1004,1,MATCH(COLUMNS($P$1006:S1006),$P$1006:$S$1006,0)))),"Fix")))</f>
        <v>0</v>
      </c>
      <c r="I663">
        <v>0</v>
      </c>
      <c r="J663">
        <v>0</v>
      </c>
      <c r="K663">
        <v>0</v>
      </c>
      <c r="L663">
        <f>IF(M663,TRUE,AND(P663:S663))</f>
        <v>0</v>
      </c>
      <c r="M663">
        <f>COUNTBLANK(metadata!B663:E663)=COLUMNS(metadata!B663:E663)</f>
        <v>0</v>
      </c>
      <c r="N663">
        <v>0</v>
      </c>
      <c r="P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Q663">
        <f>AND(IF(metadata!C663="",FALSE,TRUE),exact(metadata!C663,"other"))</f>
        <v>0</v>
      </c>
      <c r="R663">
        <f>AND(IF(metadata!D663="",FALSE,TRUE),exact(metadata!D663,"metagenome"))</f>
        <v>0</v>
      </c>
      <c r="S663">
        <f>AND(IF(metadata!E663="",FALSE,TRUE),exact(metadata!E663,"256318"))</f>
        <v>0</v>
      </c>
    </row>
    <row r="664" spans="1:19">
      <c r="A664" s="4">
        <f>IF(B664=" "," ",HYPERLINK(CONCATENATE("#metadata!",ADDRESS(INDEX($K$2:$K$1001,MATCH(ROWS($I$2:I664),$I$2:$I$1001,0),0),1)),INDEX($N$2:$N$1001,MATCH(ROWS($I$2:I664),$I$2:$I$1001,0),0)))</f>
        <v>0</v>
      </c>
      <c r="B664" s="3">
        <f>IF(OR(INDEX($J$2:$J$1001,MATCH(ROWS($I$2:I664),$I$2:$I$1001,0),1)&gt;=100000,INDEX($P$1005:$S$1005,1,MATCH(COLUMNS($P$1006:P1006),$P$1006:$S$1006,0))&gt;=100000), " ",IF(INDEX($P$2:$S$1001,MATCH(ROWS($I$2:I664),$I$2:$I$1001,0),MATCH(COLUMNS($P$1006:P1006),$P$1006:$S$1006,0)), HYPERLINK("#",""), HYPERLINK(CONCATENATE("#metadata!", ADDRESS(INDEX($K$2:$K$1001,MATCH(ROWS($I$2:I664),$I$2:$I$1001,0),0), INDEX($P$1004:$S$1004,1,MATCH(COLUMNS($P$1006:P1006),$P$1006:$S$1006,0)))),"Fix")))</f>
        <v>0</v>
      </c>
      <c r="C664" s="3">
        <f>IF(OR(INDEX($J$2:$J$1001,MATCH(ROWS($I$2:I664),$I$2:$I$1001,0),1)&gt;=100000,INDEX($P$1005:$S$1005,1,MATCH(COLUMNS($P$1006:Q1006),$P$1006:$S$1006,0))&gt;=100000), " ",IF(INDEX($P$2:$S$1001,MATCH(ROWS($I$2:I664),$I$2:$I$1001,0),MATCH(COLUMNS($P$1006:Q1006),$P$1006:$S$1006,0)), HYPERLINK("#",""), HYPERLINK(CONCATENATE("#metadata!", ADDRESS(INDEX($K$2:$K$1001,MATCH(ROWS($I$2:I664),$I$2:$I$1001,0),0), INDEX($P$1004:$S$1004,1,MATCH(COLUMNS($P$1006:Q1006),$P$1006:$S$1006,0)))),"Fix")))</f>
        <v>0</v>
      </c>
      <c r="D664" s="3">
        <f>IF(OR(INDEX($J$2:$J$1001,MATCH(ROWS($I$2:I664),$I$2:$I$1001,0),1)&gt;=100000,INDEX($P$1005:$S$1005,1,MATCH(COLUMNS($P$1006:R1006),$P$1006:$S$1006,0))&gt;=100000), " ",IF(INDEX($P$2:$S$1001,MATCH(ROWS($I$2:I664),$I$2:$I$1001,0),MATCH(COLUMNS($P$1006:R1006),$P$1006:$S$1006,0)), HYPERLINK("#",""), HYPERLINK(CONCATENATE("#metadata!", ADDRESS(INDEX($K$2:$K$1001,MATCH(ROWS($I$2:I664),$I$2:$I$1001,0),0), INDEX($P$1004:$S$1004,1,MATCH(COLUMNS($P$1006:R1006),$P$1006:$S$1006,0)))),"Fix")))</f>
        <v>0</v>
      </c>
      <c r="E664" s="3">
        <f>IF(OR(INDEX($J$2:$J$1001,MATCH(ROWS($I$2:I664),$I$2:$I$1001,0),1)&gt;=100000,INDEX($P$1005:$S$1005,1,MATCH(COLUMNS($P$1006:S1006),$P$1006:$S$1006,0))&gt;=100000), " ",IF(INDEX($P$2:$S$1001,MATCH(ROWS($I$2:I664),$I$2:$I$1001,0),MATCH(COLUMNS($P$1006:S1006),$P$1006:$S$1006,0)), HYPERLINK("#",""), HYPERLINK(CONCATENATE("#metadata!", ADDRESS(INDEX($K$2:$K$1001,MATCH(ROWS($I$2:I664),$I$2:$I$1001,0),0), INDEX($P$1004:$S$1004,1,MATCH(COLUMNS($P$1006:S1006),$P$1006:$S$1006,0)))),"Fix")))</f>
        <v>0</v>
      </c>
      <c r="I664">
        <v>0</v>
      </c>
      <c r="J664">
        <v>0</v>
      </c>
      <c r="K664">
        <v>0</v>
      </c>
      <c r="L664">
        <f>IF(M664,TRUE,AND(P664:S664))</f>
        <v>0</v>
      </c>
      <c r="M664">
        <f>COUNTBLANK(metadata!B664:E664)=COLUMNS(metadata!B664:E664)</f>
        <v>0</v>
      </c>
      <c r="N664">
        <v>0</v>
      </c>
      <c r="P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Q664">
        <f>AND(IF(metadata!C664="",FALSE,TRUE),exact(metadata!C664,"other"))</f>
        <v>0</v>
      </c>
      <c r="R664">
        <f>AND(IF(metadata!D664="",FALSE,TRUE),exact(metadata!D664,"metagenome"))</f>
        <v>0</v>
      </c>
      <c r="S664">
        <f>AND(IF(metadata!E664="",FALSE,TRUE),exact(metadata!E664,"256318"))</f>
        <v>0</v>
      </c>
    </row>
    <row r="665" spans="1:19">
      <c r="A665" s="4">
        <f>IF(B665=" "," ",HYPERLINK(CONCATENATE("#metadata!",ADDRESS(INDEX($K$2:$K$1001,MATCH(ROWS($I$2:I665),$I$2:$I$1001,0),0),1)),INDEX($N$2:$N$1001,MATCH(ROWS($I$2:I665),$I$2:$I$1001,0),0)))</f>
        <v>0</v>
      </c>
      <c r="B665" s="3">
        <f>IF(OR(INDEX($J$2:$J$1001,MATCH(ROWS($I$2:I665),$I$2:$I$1001,0),1)&gt;=100000,INDEX($P$1005:$S$1005,1,MATCH(COLUMNS($P$1006:P1006),$P$1006:$S$1006,0))&gt;=100000), " ",IF(INDEX($P$2:$S$1001,MATCH(ROWS($I$2:I665),$I$2:$I$1001,0),MATCH(COLUMNS($P$1006:P1006),$P$1006:$S$1006,0)), HYPERLINK("#",""), HYPERLINK(CONCATENATE("#metadata!", ADDRESS(INDEX($K$2:$K$1001,MATCH(ROWS($I$2:I665),$I$2:$I$1001,0),0), INDEX($P$1004:$S$1004,1,MATCH(COLUMNS($P$1006:P1006),$P$1006:$S$1006,0)))),"Fix")))</f>
        <v>0</v>
      </c>
      <c r="C665" s="3">
        <f>IF(OR(INDEX($J$2:$J$1001,MATCH(ROWS($I$2:I665),$I$2:$I$1001,0),1)&gt;=100000,INDEX($P$1005:$S$1005,1,MATCH(COLUMNS($P$1006:Q1006),$P$1006:$S$1006,0))&gt;=100000), " ",IF(INDEX($P$2:$S$1001,MATCH(ROWS($I$2:I665),$I$2:$I$1001,0),MATCH(COLUMNS($P$1006:Q1006),$P$1006:$S$1006,0)), HYPERLINK("#",""), HYPERLINK(CONCATENATE("#metadata!", ADDRESS(INDEX($K$2:$K$1001,MATCH(ROWS($I$2:I665),$I$2:$I$1001,0),0), INDEX($P$1004:$S$1004,1,MATCH(COLUMNS($P$1006:Q1006),$P$1006:$S$1006,0)))),"Fix")))</f>
        <v>0</v>
      </c>
      <c r="D665" s="3">
        <f>IF(OR(INDEX($J$2:$J$1001,MATCH(ROWS($I$2:I665),$I$2:$I$1001,0),1)&gt;=100000,INDEX($P$1005:$S$1005,1,MATCH(COLUMNS($P$1006:R1006),$P$1006:$S$1006,0))&gt;=100000), " ",IF(INDEX($P$2:$S$1001,MATCH(ROWS($I$2:I665),$I$2:$I$1001,0),MATCH(COLUMNS($P$1006:R1006),$P$1006:$S$1006,0)), HYPERLINK("#",""), HYPERLINK(CONCATENATE("#metadata!", ADDRESS(INDEX($K$2:$K$1001,MATCH(ROWS($I$2:I665),$I$2:$I$1001,0),0), INDEX($P$1004:$S$1004,1,MATCH(COLUMNS($P$1006:R1006),$P$1006:$S$1006,0)))),"Fix")))</f>
        <v>0</v>
      </c>
      <c r="E665" s="3">
        <f>IF(OR(INDEX($J$2:$J$1001,MATCH(ROWS($I$2:I665),$I$2:$I$1001,0),1)&gt;=100000,INDEX($P$1005:$S$1005,1,MATCH(COLUMNS($P$1006:S1006),$P$1006:$S$1006,0))&gt;=100000), " ",IF(INDEX($P$2:$S$1001,MATCH(ROWS($I$2:I665),$I$2:$I$1001,0),MATCH(COLUMNS($P$1006:S1006),$P$1006:$S$1006,0)), HYPERLINK("#",""), HYPERLINK(CONCATENATE("#metadata!", ADDRESS(INDEX($K$2:$K$1001,MATCH(ROWS($I$2:I665),$I$2:$I$1001,0),0), INDEX($P$1004:$S$1004,1,MATCH(COLUMNS($P$1006:S1006),$P$1006:$S$1006,0)))),"Fix")))</f>
        <v>0</v>
      </c>
      <c r="I665">
        <v>0</v>
      </c>
      <c r="J665">
        <v>0</v>
      </c>
      <c r="K665">
        <v>0</v>
      </c>
      <c r="L665">
        <f>IF(M665,TRUE,AND(P665:S665))</f>
        <v>0</v>
      </c>
      <c r="M665">
        <f>COUNTBLANK(metadata!B665:E665)=COLUMNS(metadata!B665:E665)</f>
        <v>0</v>
      </c>
      <c r="N665">
        <v>0</v>
      </c>
      <c r="P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Q665">
        <f>AND(IF(metadata!C665="",FALSE,TRUE),exact(metadata!C665,"other"))</f>
        <v>0</v>
      </c>
      <c r="R665">
        <f>AND(IF(metadata!D665="",FALSE,TRUE),exact(metadata!D665,"metagenome"))</f>
        <v>0</v>
      </c>
      <c r="S665">
        <f>AND(IF(metadata!E665="",FALSE,TRUE),exact(metadata!E665,"256318"))</f>
        <v>0</v>
      </c>
    </row>
    <row r="666" spans="1:19">
      <c r="A666" s="4">
        <f>IF(B666=" "," ",HYPERLINK(CONCATENATE("#metadata!",ADDRESS(INDEX($K$2:$K$1001,MATCH(ROWS($I$2:I666),$I$2:$I$1001,0),0),1)),INDEX($N$2:$N$1001,MATCH(ROWS($I$2:I666),$I$2:$I$1001,0),0)))</f>
        <v>0</v>
      </c>
      <c r="B666" s="3">
        <f>IF(OR(INDEX($J$2:$J$1001,MATCH(ROWS($I$2:I666),$I$2:$I$1001,0),1)&gt;=100000,INDEX($P$1005:$S$1005,1,MATCH(COLUMNS($P$1006:P1006),$P$1006:$S$1006,0))&gt;=100000), " ",IF(INDEX($P$2:$S$1001,MATCH(ROWS($I$2:I666),$I$2:$I$1001,0),MATCH(COLUMNS($P$1006:P1006),$P$1006:$S$1006,0)), HYPERLINK("#",""), HYPERLINK(CONCATENATE("#metadata!", ADDRESS(INDEX($K$2:$K$1001,MATCH(ROWS($I$2:I666),$I$2:$I$1001,0),0), INDEX($P$1004:$S$1004,1,MATCH(COLUMNS($P$1006:P1006),$P$1006:$S$1006,0)))),"Fix")))</f>
        <v>0</v>
      </c>
      <c r="C666" s="3">
        <f>IF(OR(INDEX($J$2:$J$1001,MATCH(ROWS($I$2:I666),$I$2:$I$1001,0),1)&gt;=100000,INDEX($P$1005:$S$1005,1,MATCH(COLUMNS($P$1006:Q1006),$P$1006:$S$1006,0))&gt;=100000), " ",IF(INDEX($P$2:$S$1001,MATCH(ROWS($I$2:I666),$I$2:$I$1001,0),MATCH(COLUMNS($P$1006:Q1006),$P$1006:$S$1006,0)), HYPERLINK("#",""), HYPERLINK(CONCATENATE("#metadata!", ADDRESS(INDEX($K$2:$K$1001,MATCH(ROWS($I$2:I666),$I$2:$I$1001,0),0), INDEX($P$1004:$S$1004,1,MATCH(COLUMNS($P$1006:Q1006),$P$1006:$S$1006,0)))),"Fix")))</f>
        <v>0</v>
      </c>
      <c r="D666" s="3">
        <f>IF(OR(INDEX($J$2:$J$1001,MATCH(ROWS($I$2:I666),$I$2:$I$1001,0),1)&gt;=100000,INDEX($P$1005:$S$1005,1,MATCH(COLUMNS($P$1006:R1006),$P$1006:$S$1006,0))&gt;=100000), " ",IF(INDEX($P$2:$S$1001,MATCH(ROWS($I$2:I666),$I$2:$I$1001,0),MATCH(COLUMNS($P$1006:R1006),$P$1006:$S$1006,0)), HYPERLINK("#",""), HYPERLINK(CONCATENATE("#metadata!", ADDRESS(INDEX($K$2:$K$1001,MATCH(ROWS($I$2:I666),$I$2:$I$1001,0),0), INDEX($P$1004:$S$1004,1,MATCH(COLUMNS($P$1006:R1006),$P$1006:$S$1006,0)))),"Fix")))</f>
        <v>0</v>
      </c>
      <c r="E666" s="3">
        <f>IF(OR(INDEX($J$2:$J$1001,MATCH(ROWS($I$2:I666),$I$2:$I$1001,0),1)&gt;=100000,INDEX($P$1005:$S$1005,1,MATCH(COLUMNS($P$1006:S1006),$P$1006:$S$1006,0))&gt;=100000), " ",IF(INDEX($P$2:$S$1001,MATCH(ROWS($I$2:I666),$I$2:$I$1001,0),MATCH(COLUMNS($P$1006:S1006),$P$1006:$S$1006,0)), HYPERLINK("#",""), HYPERLINK(CONCATENATE("#metadata!", ADDRESS(INDEX($K$2:$K$1001,MATCH(ROWS($I$2:I666),$I$2:$I$1001,0),0), INDEX($P$1004:$S$1004,1,MATCH(COLUMNS($P$1006:S1006),$P$1006:$S$1006,0)))),"Fix")))</f>
        <v>0</v>
      </c>
      <c r="I666">
        <v>0</v>
      </c>
      <c r="J666">
        <v>0</v>
      </c>
      <c r="K666">
        <v>0</v>
      </c>
      <c r="L666">
        <f>IF(M666,TRUE,AND(P666:S666))</f>
        <v>0</v>
      </c>
      <c r="M666">
        <f>COUNTBLANK(metadata!B666:E666)=COLUMNS(metadata!B666:E666)</f>
        <v>0</v>
      </c>
      <c r="N666">
        <v>0</v>
      </c>
      <c r="P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Q666">
        <f>AND(IF(metadata!C666="",FALSE,TRUE),exact(metadata!C666,"other"))</f>
        <v>0</v>
      </c>
      <c r="R666">
        <f>AND(IF(metadata!D666="",FALSE,TRUE),exact(metadata!D666,"metagenome"))</f>
        <v>0</v>
      </c>
      <c r="S666">
        <f>AND(IF(metadata!E666="",FALSE,TRUE),exact(metadata!E666,"256318"))</f>
        <v>0</v>
      </c>
    </row>
    <row r="667" spans="1:19">
      <c r="A667" s="4">
        <f>IF(B667=" "," ",HYPERLINK(CONCATENATE("#metadata!",ADDRESS(INDEX($K$2:$K$1001,MATCH(ROWS($I$2:I667),$I$2:$I$1001,0),0),1)),INDEX($N$2:$N$1001,MATCH(ROWS($I$2:I667),$I$2:$I$1001,0),0)))</f>
        <v>0</v>
      </c>
      <c r="B667" s="3">
        <f>IF(OR(INDEX($J$2:$J$1001,MATCH(ROWS($I$2:I667),$I$2:$I$1001,0),1)&gt;=100000,INDEX($P$1005:$S$1005,1,MATCH(COLUMNS($P$1006:P1006),$P$1006:$S$1006,0))&gt;=100000), " ",IF(INDEX($P$2:$S$1001,MATCH(ROWS($I$2:I667),$I$2:$I$1001,0),MATCH(COLUMNS($P$1006:P1006),$P$1006:$S$1006,0)), HYPERLINK("#",""), HYPERLINK(CONCATENATE("#metadata!", ADDRESS(INDEX($K$2:$K$1001,MATCH(ROWS($I$2:I667),$I$2:$I$1001,0),0), INDEX($P$1004:$S$1004,1,MATCH(COLUMNS($P$1006:P1006),$P$1006:$S$1006,0)))),"Fix")))</f>
        <v>0</v>
      </c>
      <c r="C667" s="3">
        <f>IF(OR(INDEX($J$2:$J$1001,MATCH(ROWS($I$2:I667),$I$2:$I$1001,0),1)&gt;=100000,INDEX($P$1005:$S$1005,1,MATCH(COLUMNS($P$1006:Q1006),$P$1006:$S$1006,0))&gt;=100000), " ",IF(INDEX($P$2:$S$1001,MATCH(ROWS($I$2:I667),$I$2:$I$1001,0),MATCH(COLUMNS($P$1006:Q1006),$P$1006:$S$1006,0)), HYPERLINK("#",""), HYPERLINK(CONCATENATE("#metadata!", ADDRESS(INDEX($K$2:$K$1001,MATCH(ROWS($I$2:I667),$I$2:$I$1001,0),0), INDEX($P$1004:$S$1004,1,MATCH(COLUMNS($P$1006:Q1006),$P$1006:$S$1006,0)))),"Fix")))</f>
        <v>0</v>
      </c>
      <c r="D667" s="3">
        <f>IF(OR(INDEX($J$2:$J$1001,MATCH(ROWS($I$2:I667),$I$2:$I$1001,0),1)&gt;=100000,INDEX($P$1005:$S$1005,1,MATCH(COLUMNS($P$1006:R1006),$P$1006:$S$1006,0))&gt;=100000), " ",IF(INDEX($P$2:$S$1001,MATCH(ROWS($I$2:I667),$I$2:$I$1001,0),MATCH(COLUMNS($P$1006:R1006),$P$1006:$S$1006,0)), HYPERLINK("#",""), HYPERLINK(CONCATENATE("#metadata!", ADDRESS(INDEX($K$2:$K$1001,MATCH(ROWS($I$2:I667),$I$2:$I$1001,0),0), INDEX($P$1004:$S$1004,1,MATCH(COLUMNS($P$1006:R1006),$P$1006:$S$1006,0)))),"Fix")))</f>
        <v>0</v>
      </c>
      <c r="E667" s="3">
        <f>IF(OR(INDEX($J$2:$J$1001,MATCH(ROWS($I$2:I667),$I$2:$I$1001,0),1)&gt;=100000,INDEX($P$1005:$S$1005,1,MATCH(COLUMNS($P$1006:S1006),$P$1006:$S$1006,0))&gt;=100000), " ",IF(INDEX($P$2:$S$1001,MATCH(ROWS($I$2:I667),$I$2:$I$1001,0),MATCH(COLUMNS($P$1006:S1006),$P$1006:$S$1006,0)), HYPERLINK("#",""), HYPERLINK(CONCATENATE("#metadata!", ADDRESS(INDEX($K$2:$K$1001,MATCH(ROWS($I$2:I667),$I$2:$I$1001,0),0), INDEX($P$1004:$S$1004,1,MATCH(COLUMNS($P$1006:S1006),$P$1006:$S$1006,0)))),"Fix")))</f>
        <v>0</v>
      </c>
      <c r="I667">
        <v>0</v>
      </c>
      <c r="J667">
        <v>0</v>
      </c>
      <c r="K667">
        <v>0</v>
      </c>
      <c r="L667">
        <f>IF(M667,TRUE,AND(P667:S667))</f>
        <v>0</v>
      </c>
      <c r="M667">
        <f>COUNTBLANK(metadata!B667:E667)=COLUMNS(metadata!B667:E667)</f>
        <v>0</v>
      </c>
      <c r="N667">
        <v>0</v>
      </c>
      <c r="P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Q667">
        <f>AND(IF(metadata!C667="",FALSE,TRUE),exact(metadata!C667,"other"))</f>
        <v>0</v>
      </c>
      <c r="R667">
        <f>AND(IF(metadata!D667="",FALSE,TRUE),exact(metadata!D667,"metagenome"))</f>
        <v>0</v>
      </c>
      <c r="S667">
        <f>AND(IF(metadata!E667="",FALSE,TRUE),exact(metadata!E667,"256318"))</f>
        <v>0</v>
      </c>
    </row>
    <row r="668" spans="1:19">
      <c r="A668" s="4">
        <f>IF(B668=" "," ",HYPERLINK(CONCATENATE("#metadata!",ADDRESS(INDEX($K$2:$K$1001,MATCH(ROWS($I$2:I668),$I$2:$I$1001,0),0),1)),INDEX($N$2:$N$1001,MATCH(ROWS($I$2:I668),$I$2:$I$1001,0),0)))</f>
        <v>0</v>
      </c>
      <c r="B668" s="3">
        <f>IF(OR(INDEX($J$2:$J$1001,MATCH(ROWS($I$2:I668),$I$2:$I$1001,0),1)&gt;=100000,INDEX($P$1005:$S$1005,1,MATCH(COLUMNS($P$1006:P1006),$P$1006:$S$1006,0))&gt;=100000), " ",IF(INDEX($P$2:$S$1001,MATCH(ROWS($I$2:I668),$I$2:$I$1001,0),MATCH(COLUMNS($P$1006:P1006),$P$1006:$S$1006,0)), HYPERLINK("#",""), HYPERLINK(CONCATENATE("#metadata!", ADDRESS(INDEX($K$2:$K$1001,MATCH(ROWS($I$2:I668),$I$2:$I$1001,0),0), INDEX($P$1004:$S$1004,1,MATCH(COLUMNS($P$1006:P1006),$P$1006:$S$1006,0)))),"Fix")))</f>
        <v>0</v>
      </c>
      <c r="C668" s="3">
        <f>IF(OR(INDEX($J$2:$J$1001,MATCH(ROWS($I$2:I668),$I$2:$I$1001,0),1)&gt;=100000,INDEX($P$1005:$S$1005,1,MATCH(COLUMNS($P$1006:Q1006),$P$1006:$S$1006,0))&gt;=100000), " ",IF(INDEX($P$2:$S$1001,MATCH(ROWS($I$2:I668),$I$2:$I$1001,0),MATCH(COLUMNS($P$1006:Q1006),$P$1006:$S$1006,0)), HYPERLINK("#",""), HYPERLINK(CONCATENATE("#metadata!", ADDRESS(INDEX($K$2:$K$1001,MATCH(ROWS($I$2:I668),$I$2:$I$1001,0),0), INDEX($P$1004:$S$1004,1,MATCH(COLUMNS($P$1006:Q1006),$P$1006:$S$1006,0)))),"Fix")))</f>
        <v>0</v>
      </c>
      <c r="D668" s="3">
        <f>IF(OR(INDEX($J$2:$J$1001,MATCH(ROWS($I$2:I668),$I$2:$I$1001,0),1)&gt;=100000,INDEX($P$1005:$S$1005,1,MATCH(COLUMNS($P$1006:R1006),$P$1006:$S$1006,0))&gt;=100000), " ",IF(INDEX($P$2:$S$1001,MATCH(ROWS($I$2:I668),$I$2:$I$1001,0),MATCH(COLUMNS($P$1006:R1006),$P$1006:$S$1006,0)), HYPERLINK("#",""), HYPERLINK(CONCATENATE("#metadata!", ADDRESS(INDEX($K$2:$K$1001,MATCH(ROWS($I$2:I668),$I$2:$I$1001,0),0), INDEX($P$1004:$S$1004,1,MATCH(COLUMNS($P$1006:R1006),$P$1006:$S$1006,0)))),"Fix")))</f>
        <v>0</v>
      </c>
      <c r="E668" s="3">
        <f>IF(OR(INDEX($J$2:$J$1001,MATCH(ROWS($I$2:I668),$I$2:$I$1001,0),1)&gt;=100000,INDEX($P$1005:$S$1005,1,MATCH(COLUMNS($P$1006:S1006),$P$1006:$S$1006,0))&gt;=100000), " ",IF(INDEX($P$2:$S$1001,MATCH(ROWS($I$2:I668),$I$2:$I$1001,0),MATCH(COLUMNS($P$1006:S1006),$P$1006:$S$1006,0)), HYPERLINK("#",""), HYPERLINK(CONCATENATE("#metadata!", ADDRESS(INDEX($K$2:$K$1001,MATCH(ROWS($I$2:I668),$I$2:$I$1001,0),0), INDEX($P$1004:$S$1004,1,MATCH(COLUMNS($P$1006:S1006),$P$1006:$S$1006,0)))),"Fix")))</f>
        <v>0</v>
      </c>
      <c r="I668">
        <v>0</v>
      </c>
      <c r="J668">
        <v>0</v>
      </c>
      <c r="K668">
        <v>0</v>
      </c>
      <c r="L668">
        <f>IF(M668,TRUE,AND(P668:S668))</f>
        <v>0</v>
      </c>
      <c r="M668">
        <f>COUNTBLANK(metadata!B668:E668)=COLUMNS(metadata!B668:E668)</f>
        <v>0</v>
      </c>
      <c r="N668">
        <v>0</v>
      </c>
      <c r="P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Q668">
        <f>AND(IF(metadata!C668="",FALSE,TRUE),exact(metadata!C668,"other"))</f>
        <v>0</v>
      </c>
      <c r="R668">
        <f>AND(IF(metadata!D668="",FALSE,TRUE),exact(metadata!D668,"metagenome"))</f>
        <v>0</v>
      </c>
      <c r="S668">
        <f>AND(IF(metadata!E668="",FALSE,TRUE),exact(metadata!E668,"256318"))</f>
        <v>0</v>
      </c>
    </row>
    <row r="669" spans="1:19">
      <c r="A669" s="4">
        <f>IF(B669=" "," ",HYPERLINK(CONCATENATE("#metadata!",ADDRESS(INDEX($K$2:$K$1001,MATCH(ROWS($I$2:I669),$I$2:$I$1001,0),0),1)),INDEX($N$2:$N$1001,MATCH(ROWS($I$2:I669),$I$2:$I$1001,0),0)))</f>
        <v>0</v>
      </c>
      <c r="B669" s="3">
        <f>IF(OR(INDEX($J$2:$J$1001,MATCH(ROWS($I$2:I669),$I$2:$I$1001,0),1)&gt;=100000,INDEX($P$1005:$S$1005,1,MATCH(COLUMNS($P$1006:P1006),$P$1006:$S$1006,0))&gt;=100000), " ",IF(INDEX($P$2:$S$1001,MATCH(ROWS($I$2:I669),$I$2:$I$1001,0),MATCH(COLUMNS($P$1006:P1006),$P$1006:$S$1006,0)), HYPERLINK("#",""), HYPERLINK(CONCATENATE("#metadata!", ADDRESS(INDEX($K$2:$K$1001,MATCH(ROWS($I$2:I669),$I$2:$I$1001,0),0), INDEX($P$1004:$S$1004,1,MATCH(COLUMNS($P$1006:P1006),$P$1006:$S$1006,0)))),"Fix")))</f>
        <v>0</v>
      </c>
      <c r="C669" s="3">
        <f>IF(OR(INDEX($J$2:$J$1001,MATCH(ROWS($I$2:I669),$I$2:$I$1001,0),1)&gt;=100000,INDEX($P$1005:$S$1005,1,MATCH(COLUMNS($P$1006:Q1006),$P$1006:$S$1006,0))&gt;=100000), " ",IF(INDEX($P$2:$S$1001,MATCH(ROWS($I$2:I669),$I$2:$I$1001,0),MATCH(COLUMNS($P$1006:Q1006),$P$1006:$S$1006,0)), HYPERLINK("#",""), HYPERLINK(CONCATENATE("#metadata!", ADDRESS(INDEX($K$2:$K$1001,MATCH(ROWS($I$2:I669),$I$2:$I$1001,0),0), INDEX($P$1004:$S$1004,1,MATCH(COLUMNS($P$1006:Q1006),$P$1006:$S$1006,0)))),"Fix")))</f>
        <v>0</v>
      </c>
      <c r="D669" s="3">
        <f>IF(OR(INDEX($J$2:$J$1001,MATCH(ROWS($I$2:I669),$I$2:$I$1001,0),1)&gt;=100000,INDEX($P$1005:$S$1005,1,MATCH(COLUMNS($P$1006:R1006),$P$1006:$S$1006,0))&gt;=100000), " ",IF(INDEX($P$2:$S$1001,MATCH(ROWS($I$2:I669),$I$2:$I$1001,0),MATCH(COLUMNS($P$1006:R1006),$P$1006:$S$1006,0)), HYPERLINK("#",""), HYPERLINK(CONCATENATE("#metadata!", ADDRESS(INDEX($K$2:$K$1001,MATCH(ROWS($I$2:I669),$I$2:$I$1001,0),0), INDEX($P$1004:$S$1004,1,MATCH(COLUMNS($P$1006:R1006),$P$1006:$S$1006,0)))),"Fix")))</f>
        <v>0</v>
      </c>
      <c r="E669" s="3">
        <f>IF(OR(INDEX($J$2:$J$1001,MATCH(ROWS($I$2:I669),$I$2:$I$1001,0),1)&gt;=100000,INDEX($P$1005:$S$1005,1,MATCH(COLUMNS($P$1006:S1006),$P$1006:$S$1006,0))&gt;=100000), " ",IF(INDEX($P$2:$S$1001,MATCH(ROWS($I$2:I669),$I$2:$I$1001,0),MATCH(COLUMNS($P$1006:S1006),$P$1006:$S$1006,0)), HYPERLINK("#",""), HYPERLINK(CONCATENATE("#metadata!", ADDRESS(INDEX($K$2:$K$1001,MATCH(ROWS($I$2:I669),$I$2:$I$1001,0),0), INDEX($P$1004:$S$1004,1,MATCH(COLUMNS($P$1006:S1006),$P$1006:$S$1006,0)))),"Fix")))</f>
        <v>0</v>
      </c>
      <c r="I669">
        <v>0</v>
      </c>
      <c r="J669">
        <v>0</v>
      </c>
      <c r="K669">
        <v>0</v>
      </c>
      <c r="L669">
        <f>IF(M669,TRUE,AND(P669:S669))</f>
        <v>0</v>
      </c>
      <c r="M669">
        <f>COUNTBLANK(metadata!B669:E669)=COLUMNS(metadata!B669:E669)</f>
        <v>0</v>
      </c>
      <c r="N669">
        <v>0</v>
      </c>
      <c r="P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Q669">
        <f>AND(IF(metadata!C669="",FALSE,TRUE),exact(metadata!C669,"other"))</f>
        <v>0</v>
      </c>
      <c r="R669">
        <f>AND(IF(metadata!D669="",FALSE,TRUE),exact(metadata!D669,"metagenome"))</f>
        <v>0</v>
      </c>
      <c r="S669">
        <f>AND(IF(metadata!E669="",FALSE,TRUE),exact(metadata!E669,"256318"))</f>
        <v>0</v>
      </c>
    </row>
    <row r="670" spans="1:19">
      <c r="A670" s="4">
        <f>IF(B670=" "," ",HYPERLINK(CONCATENATE("#metadata!",ADDRESS(INDEX($K$2:$K$1001,MATCH(ROWS($I$2:I670),$I$2:$I$1001,0),0),1)),INDEX($N$2:$N$1001,MATCH(ROWS($I$2:I670),$I$2:$I$1001,0),0)))</f>
        <v>0</v>
      </c>
      <c r="B670" s="3">
        <f>IF(OR(INDEX($J$2:$J$1001,MATCH(ROWS($I$2:I670),$I$2:$I$1001,0),1)&gt;=100000,INDEX($P$1005:$S$1005,1,MATCH(COLUMNS($P$1006:P1006),$P$1006:$S$1006,0))&gt;=100000), " ",IF(INDEX($P$2:$S$1001,MATCH(ROWS($I$2:I670),$I$2:$I$1001,0),MATCH(COLUMNS($P$1006:P1006),$P$1006:$S$1006,0)), HYPERLINK("#",""), HYPERLINK(CONCATENATE("#metadata!", ADDRESS(INDEX($K$2:$K$1001,MATCH(ROWS($I$2:I670),$I$2:$I$1001,0),0), INDEX($P$1004:$S$1004,1,MATCH(COLUMNS($P$1006:P1006),$P$1006:$S$1006,0)))),"Fix")))</f>
        <v>0</v>
      </c>
      <c r="C670" s="3">
        <f>IF(OR(INDEX($J$2:$J$1001,MATCH(ROWS($I$2:I670),$I$2:$I$1001,0),1)&gt;=100000,INDEX($P$1005:$S$1005,1,MATCH(COLUMNS($P$1006:Q1006),$P$1006:$S$1006,0))&gt;=100000), " ",IF(INDEX($P$2:$S$1001,MATCH(ROWS($I$2:I670),$I$2:$I$1001,0),MATCH(COLUMNS($P$1006:Q1006),$P$1006:$S$1006,0)), HYPERLINK("#",""), HYPERLINK(CONCATENATE("#metadata!", ADDRESS(INDEX($K$2:$K$1001,MATCH(ROWS($I$2:I670),$I$2:$I$1001,0),0), INDEX($P$1004:$S$1004,1,MATCH(COLUMNS($P$1006:Q1006),$P$1006:$S$1006,0)))),"Fix")))</f>
        <v>0</v>
      </c>
      <c r="D670" s="3">
        <f>IF(OR(INDEX($J$2:$J$1001,MATCH(ROWS($I$2:I670),$I$2:$I$1001,0),1)&gt;=100000,INDEX($P$1005:$S$1005,1,MATCH(COLUMNS($P$1006:R1006),$P$1006:$S$1006,0))&gt;=100000), " ",IF(INDEX($P$2:$S$1001,MATCH(ROWS($I$2:I670),$I$2:$I$1001,0),MATCH(COLUMNS($P$1006:R1006),$P$1006:$S$1006,0)), HYPERLINK("#",""), HYPERLINK(CONCATENATE("#metadata!", ADDRESS(INDEX($K$2:$K$1001,MATCH(ROWS($I$2:I670),$I$2:$I$1001,0),0), INDEX($P$1004:$S$1004,1,MATCH(COLUMNS($P$1006:R1006),$P$1006:$S$1006,0)))),"Fix")))</f>
        <v>0</v>
      </c>
      <c r="E670" s="3">
        <f>IF(OR(INDEX($J$2:$J$1001,MATCH(ROWS($I$2:I670),$I$2:$I$1001,0),1)&gt;=100000,INDEX($P$1005:$S$1005,1,MATCH(COLUMNS($P$1006:S1006),$P$1006:$S$1006,0))&gt;=100000), " ",IF(INDEX($P$2:$S$1001,MATCH(ROWS($I$2:I670),$I$2:$I$1001,0),MATCH(COLUMNS($P$1006:S1006),$P$1006:$S$1006,0)), HYPERLINK("#",""), HYPERLINK(CONCATENATE("#metadata!", ADDRESS(INDEX($K$2:$K$1001,MATCH(ROWS($I$2:I670),$I$2:$I$1001,0),0), INDEX($P$1004:$S$1004,1,MATCH(COLUMNS($P$1006:S1006),$P$1006:$S$1006,0)))),"Fix")))</f>
        <v>0</v>
      </c>
      <c r="I670">
        <v>0</v>
      </c>
      <c r="J670">
        <v>0</v>
      </c>
      <c r="K670">
        <v>0</v>
      </c>
      <c r="L670">
        <f>IF(M670,TRUE,AND(P670:S670))</f>
        <v>0</v>
      </c>
      <c r="M670">
        <f>COUNTBLANK(metadata!B670:E670)=COLUMNS(metadata!B670:E670)</f>
        <v>0</v>
      </c>
      <c r="N670">
        <v>0</v>
      </c>
      <c r="P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Q670">
        <f>AND(IF(metadata!C670="",FALSE,TRUE),exact(metadata!C670,"other"))</f>
        <v>0</v>
      </c>
      <c r="R670">
        <f>AND(IF(metadata!D670="",FALSE,TRUE),exact(metadata!D670,"metagenome"))</f>
        <v>0</v>
      </c>
      <c r="S670">
        <f>AND(IF(metadata!E670="",FALSE,TRUE),exact(metadata!E670,"256318"))</f>
        <v>0</v>
      </c>
    </row>
    <row r="671" spans="1:19">
      <c r="A671" s="4">
        <f>IF(B671=" "," ",HYPERLINK(CONCATENATE("#metadata!",ADDRESS(INDEX($K$2:$K$1001,MATCH(ROWS($I$2:I671),$I$2:$I$1001,0),0),1)),INDEX($N$2:$N$1001,MATCH(ROWS($I$2:I671),$I$2:$I$1001,0),0)))</f>
        <v>0</v>
      </c>
      <c r="B671" s="3">
        <f>IF(OR(INDEX($J$2:$J$1001,MATCH(ROWS($I$2:I671),$I$2:$I$1001,0),1)&gt;=100000,INDEX($P$1005:$S$1005,1,MATCH(COLUMNS($P$1006:P1006),$P$1006:$S$1006,0))&gt;=100000), " ",IF(INDEX($P$2:$S$1001,MATCH(ROWS($I$2:I671),$I$2:$I$1001,0),MATCH(COLUMNS($P$1006:P1006),$P$1006:$S$1006,0)), HYPERLINK("#",""), HYPERLINK(CONCATENATE("#metadata!", ADDRESS(INDEX($K$2:$K$1001,MATCH(ROWS($I$2:I671),$I$2:$I$1001,0),0), INDEX($P$1004:$S$1004,1,MATCH(COLUMNS($P$1006:P1006),$P$1006:$S$1006,0)))),"Fix")))</f>
        <v>0</v>
      </c>
      <c r="C671" s="3">
        <f>IF(OR(INDEX($J$2:$J$1001,MATCH(ROWS($I$2:I671),$I$2:$I$1001,0),1)&gt;=100000,INDEX($P$1005:$S$1005,1,MATCH(COLUMNS($P$1006:Q1006),$P$1006:$S$1006,0))&gt;=100000), " ",IF(INDEX($P$2:$S$1001,MATCH(ROWS($I$2:I671),$I$2:$I$1001,0),MATCH(COLUMNS($P$1006:Q1006),$P$1006:$S$1006,0)), HYPERLINK("#",""), HYPERLINK(CONCATENATE("#metadata!", ADDRESS(INDEX($K$2:$K$1001,MATCH(ROWS($I$2:I671),$I$2:$I$1001,0),0), INDEX($P$1004:$S$1004,1,MATCH(COLUMNS($P$1006:Q1006),$P$1006:$S$1006,0)))),"Fix")))</f>
        <v>0</v>
      </c>
      <c r="D671" s="3">
        <f>IF(OR(INDEX($J$2:$J$1001,MATCH(ROWS($I$2:I671),$I$2:$I$1001,0),1)&gt;=100000,INDEX($P$1005:$S$1005,1,MATCH(COLUMNS($P$1006:R1006),$P$1006:$S$1006,0))&gt;=100000), " ",IF(INDEX($P$2:$S$1001,MATCH(ROWS($I$2:I671),$I$2:$I$1001,0),MATCH(COLUMNS($P$1006:R1006),$P$1006:$S$1006,0)), HYPERLINK("#",""), HYPERLINK(CONCATENATE("#metadata!", ADDRESS(INDEX($K$2:$K$1001,MATCH(ROWS($I$2:I671),$I$2:$I$1001,0),0), INDEX($P$1004:$S$1004,1,MATCH(COLUMNS($P$1006:R1006),$P$1006:$S$1006,0)))),"Fix")))</f>
        <v>0</v>
      </c>
      <c r="E671" s="3">
        <f>IF(OR(INDEX($J$2:$J$1001,MATCH(ROWS($I$2:I671),$I$2:$I$1001,0),1)&gt;=100000,INDEX($P$1005:$S$1005,1,MATCH(COLUMNS($P$1006:S1006),$P$1006:$S$1006,0))&gt;=100000), " ",IF(INDEX($P$2:$S$1001,MATCH(ROWS($I$2:I671),$I$2:$I$1001,0),MATCH(COLUMNS($P$1006:S1006),$P$1006:$S$1006,0)), HYPERLINK("#",""), HYPERLINK(CONCATENATE("#metadata!", ADDRESS(INDEX($K$2:$K$1001,MATCH(ROWS($I$2:I671),$I$2:$I$1001,0),0), INDEX($P$1004:$S$1004,1,MATCH(COLUMNS($P$1006:S1006),$P$1006:$S$1006,0)))),"Fix")))</f>
        <v>0</v>
      </c>
      <c r="I671">
        <v>0</v>
      </c>
      <c r="J671">
        <v>0</v>
      </c>
      <c r="K671">
        <v>0</v>
      </c>
      <c r="L671">
        <f>IF(M671,TRUE,AND(P671:S671))</f>
        <v>0</v>
      </c>
      <c r="M671">
        <f>COUNTBLANK(metadata!B671:E671)=COLUMNS(metadata!B671:E671)</f>
        <v>0</v>
      </c>
      <c r="N671">
        <v>0</v>
      </c>
      <c r="P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Q671">
        <f>AND(IF(metadata!C671="",FALSE,TRUE),exact(metadata!C671,"other"))</f>
        <v>0</v>
      </c>
      <c r="R671">
        <f>AND(IF(metadata!D671="",FALSE,TRUE),exact(metadata!D671,"metagenome"))</f>
        <v>0</v>
      </c>
      <c r="S671">
        <f>AND(IF(metadata!E671="",FALSE,TRUE),exact(metadata!E671,"256318"))</f>
        <v>0</v>
      </c>
    </row>
    <row r="672" spans="1:19">
      <c r="A672" s="4">
        <f>IF(B672=" "," ",HYPERLINK(CONCATENATE("#metadata!",ADDRESS(INDEX($K$2:$K$1001,MATCH(ROWS($I$2:I672),$I$2:$I$1001,0),0),1)),INDEX($N$2:$N$1001,MATCH(ROWS($I$2:I672),$I$2:$I$1001,0),0)))</f>
        <v>0</v>
      </c>
      <c r="B672" s="3">
        <f>IF(OR(INDEX($J$2:$J$1001,MATCH(ROWS($I$2:I672),$I$2:$I$1001,0),1)&gt;=100000,INDEX($P$1005:$S$1005,1,MATCH(COLUMNS($P$1006:P1006),$P$1006:$S$1006,0))&gt;=100000), " ",IF(INDEX($P$2:$S$1001,MATCH(ROWS($I$2:I672),$I$2:$I$1001,0),MATCH(COLUMNS($P$1006:P1006),$P$1006:$S$1006,0)), HYPERLINK("#",""), HYPERLINK(CONCATENATE("#metadata!", ADDRESS(INDEX($K$2:$K$1001,MATCH(ROWS($I$2:I672),$I$2:$I$1001,0),0), INDEX($P$1004:$S$1004,1,MATCH(COLUMNS($P$1006:P1006),$P$1006:$S$1006,0)))),"Fix")))</f>
        <v>0</v>
      </c>
      <c r="C672" s="3">
        <f>IF(OR(INDEX($J$2:$J$1001,MATCH(ROWS($I$2:I672),$I$2:$I$1001,0),1)&gt;=100000,INDEX($P$1005:$S$1005,1,MATCH(COLUMNS($P$1006:Q1006),$P$1006:$S$1006,0))&gt;=100000), " ",IF(INDEX($P$2:$S$1001,MATCH(ROWS($I$2:I672),$I$2:$I$1001,0),MATCH(COLUMNS($P$1006:Q1006),$P$1006:$S$1006,0)), HYPERLINK("#",""), HYPERLINK(CONCATENATE("#metadata!", ADDRESS(INDEX($K$2:$K$1001,MATCH(ROWS($I$2:I672),$I$2:$I$1001,0),0), INDEX($P$1004:$S$1004,1,MATCH(COLUMNS($P$1006:Q1006),$P$1006:$S$1006,0)))),"Fix")))</f>
        <v>0</v>
      </c>
      <c r="D672" s="3">
        <f>IF(OR(INDEX($J$2:$J$1001,MATCH(ROWS($I$2:I672),$I$2:$I$1001,0),1)&gt;=100000,INDEX($P$1005:$S$1005,1,MATCH(COLUMNS($P$1006:R1006),$P$1006:$S$1006,0))&gt;=100000), " ",IF(INDEX($P$2:$S$1001,MATCH(ROWS($I$2:I672),$I$2:$I$1001,0),MATCH(COLUMNS($P$1006:R1006),$P$1006:$S$1006,0)), HYPERLINK("#",""), HYPERLINK(CONCATENATE("#metadata!", ADDRESS(INDEX($K$2:$K$1001,MATCH(ROWS($I$2:I672),$I$2:$I$1001,0),0), INDEX($P$1004:$S$1004,1,MATCH(COLUMNS($P$1006:R1006),$P$1006:$S$1006,0)))),"Fix")))</f>
        <v>0</v>
      </c>
      <c r="E672" s="3">
        <f>IF(OR(INDEX($J$2:$J$1001,MATCH(ROWS($I$2:I672),$I$2:$I$1001,0),1)&gt;=100000,INDEX($P$1005:$S$1005,1,MATCH(COLUMNS($P$1006:S1006),$P$1006:$S$1006,0))&gt;=100000), " ",IF(INDEX($P$2:$S$1001,MATCH(ROWS($I$2:I672),$I$2:$I$1001,0),MATCH(COLUMNS($P$1006:S1006),$P$1006:$S$1006,0)), HYPERLINK("#",""), HYPERLINK(CONCATENATE("#metadata!", ADDRESS(INDEX($K$2:$K$1001,MATCH(ROWS($I$2:I672),$I$2:$I$1001,0),0), INDEX($P$1004:$S$1004,1,MATCH(COLUMNS($P$1006:S1006),$P$1006:$S$1006,0)))),"Fix")))</f>
        <v>0</v>
      </c>
      <c r="I672">
        <v>0</v>
      </c>
      <c r="J672">
        <v>0</v>
      </c>
      <c r="K672">
        <v>0</v>
      </c>
      <c r="L672">
        <f>IF(M672,TRUE,AND(P672:S672))</f>
        <v>0</v>
      </c>
      <c r="M672">
        <f>COUNTBLANK(metadata!B672:E672)=COLUMNS(metadata!B672:E672)</f>
        <v>0</v>
      </c>
      <c r="N672">
        <v>0</v>
      </c>
      <c r="P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Q672">
        <f>AND(IF(metadata!C672="",FALSE,TRUE),exact(metadata!C672,"other"))</f>
        <v>0</v>
      </c>
      <c r="R672">
        <f>AND(IF(metadata!D672="",FALSE,TRUE),exact(metadata!D672,"metagenome"))</f>
        <v>0</v>
      </c>
      <c r="S672">
        <f>AND(IF(metadata!E672="",FALSE,TRUE),exact(metadata!E672,"256318"))</f>
        <v>0</v>
      </c>
    </row>
    <row r="673" spans="1:19">
      <c r="A673" s="4">
        <f>IF(B673=" "," ",HYPERLINK(CONCATENATE("#metadata!",ADDRESS(INDEX($K$2:$K$1001,MATCH(ROWS($I$2:I673),$I$2:$I$1001,0),0),1)),INDEX($N$2:$N$1001,MATCH(ROWS($I$2:I673),$I$2:$I$1001,0),0)))</f>
        <v>0</v>
      </c>
      <c r="B673" s="3">
        <f>IF(OR(INDEX($J$2:$J$1001,MATCH(ROWS($I$2:I673),$I$2:$I$1001,0),1)&gt;=100000,INDEX($P$1005:$S$1005,1,MATCH(COLUMNS($P$1006:P1006),$P$1006:$S$1006,0))&gt;=100000), " ",IF(INDEX($P$2:$S$1001,MATCH(ROWS($I$2:I673),$I$2:$I$1001,0),MATCH(COLUMNS($P$1006:P1006),$P$1006:$S$1006,0)), HYPERLINK("#",""), HYPERLINK(CONCATENATE("#metadata!", ADDRESS(INDEX($K$2:$K$1001,MATCH(ROWS($I$2:I673),$I$2:$I$1001,0),0), INDEX($P$1004:$S$1004,1,MATCH(COLUMNS($P$1006:P1006),$P$1006:$S$1006,0)))),"Fix")))</f>
        <v>0</v>
      </c>
      <c r="C673" s="3">
        <f>IF(OR(INDEX($J$2:$J$1001,MATCH(ROWS($I$2:I673),$I$2:$I$1001,0),1)&gt;=100000,INDEX($P$1005:$S$1005,1,MATCH(COLUMNS($P$1006:Q1006),$P$1006:$S$1006,0))&gt;=100000), " ",IF(INDEX($P$2:$S$1001,MATCH(ROWS($I$2:I673),$I$2:$I$1001,0),MATCH(COLUMNS($P$1006:Q1006),$P$1006:$S$1006,0)), HYPERLINK("#",""), HYPERLINK(CONCATENATE("#metadata!", ADDRESS(INDEX($K$2:$K$1001,MATCH(ROWS($I$2:I673),$I$2:$I$1001,0),0), INDEX($P$1004:$S$1004,1,MATCH(COLUMNS($P$1006:Q1006),$P$1006:$S$1006,0)))),"Fix")))</f>
        <v>0</v>
      </c>
      <c r="D673" s="3">
        <f>IF(OR(INDEX($J$2:$J$1001,MATCH(ROWS($I$2:I673),$I$2:$I$1001,0),1)&gt;=100000,INDEX($P$1005:$S$1005,1,MATCH(COLUMNS($P$1006:R1006),$P$1006:$S$1006,0))&gt;=100000), " ",IF(INDEX($P$2:$S$1001,MATCH(ROWS($I$2:I673),$I$2:$I$1001,0),MATCH(COLUMNS($P$1006:R1006),$P$1006:$S$1006,0)), HYPERLINK("#",""), HYPERLINK(CONCATENATE("#metadata!", ADDRESS(INDEX($K$2:$K$1001,MATCH(ROWS($I$2:I673),$I$2:$I$1001,0),0), INDEX($P$1004:$S$1004,1,MATCH(COLUMNS($P$1006:R1006),$P$1006:$S$1006,0)))),"Fix")))</f>
        <v>0</v>
      </c>
      <c r="E673" s="3">
        <f>IF(OR(INDEX($J$2:$J$1001,MATCH(ROWS($I$2:I673),$I$2:$I$1001,0),1)&gt;=100000,INDEX($P$1005:$S$1005,1,MATCH(COLUMNS($P$1006:S1006),$P$1006:$S$1006,0))&gt;=100000), " ",IF(INDEX($P$2:$S$1001,MATCH(ROWS($I$2:I673),$I$2:$I$1001,0),MATCH(COLUMNS($P$1006:S1006),$P$1006:$S$1006,0)), HYPERLINK("#",""), HYPERLINK(CONCATENATE("#metadata!", ADDRESS(INDEX($K$2:$K$1001,MATCH(ROWS($I$2:I673),$I$2:$I$1001,0),0), INDEX($P$1004:$S$1004,1,MATCH(COLUMNS($P$1006:S1006),$P$1006:$S$1006,0)))),"Fix")))</f>
        <v>0</v>
      </c>
      <c r="I673">
        <v>0</v>
      </c>
      <c r="J673">
        <v>0</v>
      </c>
      <c r="K673">
        <v>0</v>
      </c>
      <c r="L673">
        <f>IF(M673,TRUE,AND(P673:S673))</f>
        <v>0</v>
      </c>
      <c r="M673">
        <f>COUNTBLANK(metadata!B673:E673)=COLUMNS(metadata!B673:E673)</f>
        <v>0</v>
      </c>
      <c r="N673">
        <v>0</v>
      </c>
      <c r="P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Q673">
        <f>AND(IF(metadata!C673="",FALSE,TRUE),exact(metadata!C673,"other"))</f>
        <v>0</v>
      </c>
      <c r="R673">
        <f>AND(IF(metadata!D673="",FALSE,TRUE),exact(metadata!D673,"metagenome"))</f>
        <v>0</v>
      </c>
      <c r="S673">
        <f>AND(IF(metadata!E673="",FALSE,TRUE),exact(metadata!E673,"256318"))</f>
        <v>0</v>
      </c>
    </row>
    <row r="674" spans="1:19">
      <c r="A674" s="4">
        <f>IF(B674=" "," ",HYPERLINK(CONCATENATE("#metadata!",ADDRESS(INDEX($K$2:$K$1001,MATCH(ROWS($I$2:I674),$I$2:$I$1001,0),0),1)),INDEX($N$2:$N$1001,MATCH(ROWS($I$2:I674),$I$2:$I$1001,0),0)))</f>
        <v>0</v>
      </c>
      <c r="B674" s="3">
        <f>IF(OR(INDEX($J$2:$J$1001,MATCH(ROWS($I$2:I674),$I$2:$I$1001,0),1)&gt;=100000,INDEX($P$1005:$S$1005,1,MATCH(COLUMNS($P$1006:P1006),$P$1006:$S$1006,0))&gt;=100000), " ",IF(INDEX($P$2:$S$1001,MATCH(ROWS($I$2:I674),$I$2:$I$1001,0),MATCH(COLUMNS($P$1006:P1006),$P$1006:$S$1006,0)), HYPERLINK("#",""), HYPERLINK(CONCATENATE("#metadata!", ADDRESS(INDEX($K$2:$K$1001,MATCH(ROWS($I$2:I674),$I$2:$I$1001,0),0), INDEX($P$1004:$S$1004,1,MATCH(COLUMNS($P$1006:P1006),$P$1006:$S$1006,0)))),"Fix")))</f>
        <v>0</v>
      </c>
      <c r="C674" s="3">
        <f>IF(OR(INDEX($J$2:$J$1001,MATCH(ROWS($I$2:I674),$I$2:$I$1001,0),1)&gt;=100000,INDEX($P$1005:$S$1005,1,MATCH(COLUMNS($P$1006:Q1006),$P$1006:$S$1006,0))&gt;=100000), " ",IF(INDEX($P$2:$S$1001,MATCH(ROWS($I$2:I674),$I$2:$I$1001,0),MATCH(COLUMNS($P$1006:Q1006),$P$1006:$S$1006,0)), HYPERLINK("#",""), HYPERLINK(CONCATENATE("#metadata!", ADDRESS(INDEX($K$2:$K$1001,MATCH(ROWS($I$2:I674),$I$2:$I$1001,0),0), INDEX($P$1004:$S$1004,1,MATCH(COLUMNS($P$1006:Q1006),$P$1006:$S$1006,0)))),"Fix")))</f>
        <v>0</v>
      </c>
      <c r="D674" s="3">
        <f>IF(OR(INDEX($J$2:$J$1001,MATCH(ROWS($I$2:I674),$I$2:$I$1001,0),1)&gt;=100000,INDEX($P$1005:$S$1005,1,MATCH(COLUMNS($P$1006:R1006),$P$1006:$S$1006,0))&gt;=100000), " ",IF(INDEX($P$2:$S$1001,MATCH(ROWS($I$2:I674),$I$2:$I$1001,0),MATCH(COLUMNS($P$1006:R1006),$P$1006:$S$1006,0)), HYPERLINK("#",""), HYPERLINK(CONCATENATE("#metadata!", ADDRESS(INDEX($K$2:$K$1001,MATCH(ROWS($I$2:I674),$I$2:$I$1001,0),0), INDEX($P$1004:$S$1004,1,MATCH(COLUMNS($P$1006:R1006),$P$1006:$S$1006,0)))),"Fix")))</f>
        <v>0</v>
      </c>
      <c r="E674" s="3">
        <f>IF(OR(INDEX($J$2:$J$1001,MATCH(ROWS($I$2:I674),$I$2:$I$1001,0),1)&gt;=100000,INDEX($P$1005:$S$1005,1,MATCH(COLUMNS($P$1006:S1006),$P$1006:$S$1006,0))&gt;=100000), " ",IF(INDEX($P$2:$S$1001,MATCH(ROWS($I$2:I674),$I$2:$I$1001,0),MATCH(COLUMNS($P$1006:S1006),$P$1006:$S$1006,0)), HYPERLINK("#",""), HYPERLINK(CONCATENATE("#metadata!", ADDRESS(INDEX($K$2:$K$1001,MATCH(ROWS($I$2:I674),$I$2:$I$1001,0),0), INDEX($P$1004:$S$1004,1,MATCH(COLUMNS($P$1006:S1006),$P$1006:$S$1006,0)))),"Fix")))</f>
        <v>0</v>
      </c>
      <c r="I674">
        <v>0</v>
      </c>
      <c r="J674">
        <v>0</v>
      </c>
      <c r="K674">
        <v>0</v>
      </c>
      <c r="L674">
        <f>IF(M674,TRUE,AND(P674:S674))</f>
        <v>0</v>
      </c>
      <c r="M674">
        <f>COUNTBLANK(metadata!B674:E674)=COLUMNS(metadata!B674:E674)</f>
        <v>0</v>
      </c>
      <c r="N674">
        <v>0</v>
      </c>
      <c r="P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Q674">
        <f>AND(IF(metadata!C674="",FALSE,TRUE),exact(metadata!C674,"other"))</f>
        <v>0</v>
      </c>
      <c r="R674">
        <f>AND(IF(metadata!D674="",FALSE,TRUE),exact(metadata!D674,"metagenome"))</f>
        <v>0</v>
      </c>
      <c r="S674">
        <f>AND(IF(metadata!E674="",FALSE,TRUE),exact(metadata!E674,"256318"))</f>
        <v>0</v>
      </c>
    </row>
    <row r="675" spans="1:19">
      <c r="A675" s="4">
        <f>IF(B675=" "," ",HYPERLINK(CONCATENATE("#metadata!",ADDRESS(INDEX($K$2:$K$1001,MATCH(ROWS($I$2:I675),$I$2:$I$1001,0),0),1)),INDEX($N$2:$N$1001,MATCH(ROWS($I$2:I675),$I$2:$I$1001,0),0)))</f>
        <v>0</v>
      </c>
      <c r="B675" s="3">
        <f>IF(OR(INDEX($J$2:$J$1001,MATCH(ROWS($I$2:I675),$I$2:$I$1001,0),1)&gt;=100000,INDEX($P$1005:$S$1005,1,MATCH(COLUMNS($P$1006:P1006),$P$1006:$S$1006,0))&gt;=100000), " ",IF(INDEX($P$2:$S$1001,MATCH(ROWS($I$2:I675),$I$2:$I$1001,0),MATCH(COLUMNS($P$1006:P1006),$P$1006:$S$1006,0)), HYPERLINK("#",""), HYPERLINK(CONCATENATE("#metadata!", ADDRESS(INDEX($K$2:$K$1001,MATCH(ROWS($I$2:I675),$I$2:$I$1001,0),0), INDEX($P$1004:$S$1004,1,MATCH(COLUMNS($P$1006:P1006),$P$1006:$S$1006,0)))),"Fix")))</f>
        <v>0</v>
      </c>
      <c r="C675" s="3">
        <f>IF(OR(INDEX($J$2:$J$1001,MATCH(ROWS($I$2:I675),$I$2:$I$1001,0),1)&gt;=100000,INDEX($P$1005:$S$1005,1,MATCH(COLUMNS($P$1006:Q1006),$P$1006:$S$1006,0))&gt;=100000), " ",IF(INDEX($P$2:$S$1001,MATCH(ROWS($I$2:I675),$I$2:$I$1001,0),MATCH(COLUMNS($P$1006:Q1006),$P$1006:$S$1006,0)), HYPERLINK("#",""), HYPERLINK(CONCATENATE("#metadata!", ADDRESS(INDEX($K$2:$K$1001,MATCH(ROWS($I$2:I675),$I$2:$I$1001,0),0), INDEX($P$1004:$S$1004,1,MATCH(COLUMNS($P$1006:Q1006),$P$1006:$S$1006,0)))),"Fix")))</f>
        <v>0</v>
      </c>
      <c r="D675" s="3">
        <f>IF(OR(INDEX($J$2:$J$1001,MATCH(ROWS($I$2:I675),$I$2:$I$1001,0),1)&gt;=100000,INDEX($P$1005:$S$1005,1,MATCH(COLUMNS($P$1006:R1006),$P$1006:$S$1006,0))&gt;=100000), " ",IF(INDEX($P$2:$S$1001,MATCH(ROWS($I$2:I675),$I$2:$I$1001,0),MATCH(COLUMNS($P$1006:R1006),$P$1006:$S$1006,0)), HYPERLINK("#",""), HYPERLINK(CONCATENATE("#metadata!", ADDRESS(INDEX($K$2:$K$1001,MATCH(ROWS($I$2:I675),$I$2:$I$1001,0),0), INDEX($P$1004:$S$1004,1,MATCH(COLUMNS($P$1006:R1006),$P$1006:$S$1006,0)))),"Fix")))</f>
        <v>0</v>
      </c>
      <c r="E675" s="3">
        <f>IF(OR(INDEX($J$2:$J$1001,MATCH(ROWS($I$2:I675),$I$2:$I$1001,0),1)&gt;=100000,INDEX($P$1005:$S$1005,1,MATCH(COLUMNS($P$1006:S1006),$P$1006:$S$1006,0))&gt;=100000), " ",IF(INDEX($P$2:$S$1001,MATCH(ROWS($I$2:I675),$I$2:$I$1001,0),MATCH(COLUMNS($P$1006:S1006),$P$1006:$S$1006,0)), HYPERLINK("#",""), HYPERLINK(CONCATENATE("#metadata!", ADDRESS(INDEX($K$2:$K$1001,MATCH(ROWS($I$2:I675),$I$2:$I$1001,0),0), INDEX($P$1004:$S$1004,1,MATCH(COLUMNS($P$1006:S1006),$P$1006:$S$1006,0)))),"Fix")))</f>
        <v>0</v>
      </c>
      <c r="I675">
        <v>0</v>
      </c>
      <c r="J675">
        <v>0</v>
      </c>
      <c r="K675">
        <v>0</v>
      </c>
      <c r="L675">
        <f>IF(M675,TRUE,AND(P675:S675))</f>
        <v>0</v>
      </c>
      <c r="M675">
        <f>COUNTBLANK(metadata!B675:E675)=COLUMNS(metadata!B675:E675)</f>
        <v>0</v>
      </c>
      <c r="N675">
        <v>0</v>
      </c>
      <c r="P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Q675">
        <f>AND(IF(metadata!C675="",FALSE,TRUE),exact(metadata!C675,"other"))</f>
        <v>0</v>
      </c>
      <c r="R675">
        <f>AND(IF(metadata!D675="",FALSE,TRUE),exact(metadata!D675,"metagenome"))</f>
        <v>0</v>
      </c>
      <c r="S675">
        <f>AND(IF(metadata!E675="",FALSE,TRUE),exact(metadata!E675,"256318"))</f>
        <v>0</v>
      </c>
    </row>
    <row r="676" spans="1:19">
      <c r="A676" s="4">
        <f>IF(B676=" "," ",HYPERLINK(CONCATENATE("#metadata!",ADDRESS(INDEX($K$2:$K$1001,MATCH(ROWS($I$2:I676),$I$2:$I$1001,0),0),1)),INDEX($N$2:$N$1001,MATCH(ROWS($I$2:I676),$I$2:$I$1001,0),0)))</f>
        <v>0</v>
      </c>
      <c r="B676" s="3">
        <f>IF(OR(INDEX($J$2:$J$1001,MATCH(ROWS($I$2:I676),$I$2:$I$1001,0),1)&gt;=100000,INDEX($P$1005:$S$1005,1,MATCH(COLUMNS($P$1006:P1006),$P$1006:$S$1006,0))&gt;=100000), " ",IF(INDEX($P$2:$S$1001,MATCH(ROWS($I$2:I676),$I$2:$I$1001,0),MATCH(COLUMNS($P$1006:P1006),$P$1006:$S$1006,0)), HYPERLINK("#",""), HYPERLINK(CONCATENATE("#metadata!", ADDRESS(INDEX($K$2:$K$1001,MATCH(ROWS($I$2:I676),$I$2:$I$1001,0),0), INDEX($P$1004:$S$1004,1,MATCH(COLUMNS($P$1006:P1006),$P$1006:$S$1006,0)))),"Fix")))</f>
        <v>0</v>
      </c>
      <c r="C676" s="3">
        <f>IF(OR(INDEX($J$2:$J$1001,MATCH(ROWS($I$2:I676),$I$2:$I$1001,0),1)&gt;=100000,INDEX($P$1005:$S$1005,1,MATCH(COLUMNS($P$1006:Q1006),$P$1006:$S$1006,0))&gt;=100000), " ",IF(INDEX($P$2:$S$1001,MATCH(ROWS($I$2:I676),$I$2:$I$1001,0),MATCH(COLUMNS($P$1006:Q1006),$P$1006:$S$1006,0)), HYPERLINK("#",""), HYPERLINK(CONCATENATE("#metadata!", ADDRESS(INDEX($K$2:$K$1001,MATCH(ROWS($I$2:I676),$I$2:$I$1001,0),0), INDEX($P$1004:$S$1004,1,MATCH(COLUMNS($P$1006:Q1006),$P$1006:$S$1006,0)))),"Fix")))</f>
        <v>0</v>
      </c>
      <c r="D676" s="3">
        <f>IF(OR(INDEX($J$2:$J$1001,MATCH(ROWS($I$2:I676),$I$2:$I$1001,0),1)&gt;=100000,INDEX($P$1005:$S$1005,1,MATCH(COLUMNS($P$1006:R1006),$P$1006:$S$1006,0))&gt;=100000), " ",IF(INDEX($P$2:$S$1001,MATCH(ROWS($I$2:I676),$I$2:$I$1001,0),MATCH(COLUMNS($P$1006:R1006),$P$1006:$S$1006,0)), HYPERLINK("#",""), HYPERLINK(CONCATENATE("#metadata!", ADDRESS(INDEX($K$2:$K$1001,MATCH(ROWS($I$2:I676),$I$2:$I$1001,0),0), INDEX($P$1004:$S$1004,1,MATCH(COLUMNS($P$1006:R1006),$P$1006:$S$1006,0)))),"Fix")))</f>
        <v>0</v>
      </c>
      <c r="E676" s="3">
        <f>IF(OR(INDEX($J$2:$J$1001,MATCH(ROWS($I$2:I676),$I$2:$I$1001,0),1)&gt;=100000,INDEX($P$1005:$S$1005,1,MATCH(COLUMNS($P$1006:S1006),$P$1006:$S$1006,0))&gt;=100000), " ",IF(INDEX($P$2:$S$1001,MATCH(ROWS($I$2:I676),$I$2:$I$1001,0),MATCH(COLUMNS($P$1006:S1006),$P$1006:$S$1006,0)), HYPERLINK("#",""), HYPERLINK(CONCATENATE("#metadata!", ADDRESS(INDEX($K$2:$K$1001,MATCH(ROWS($I$2:I676),$I$2:$I$1001,0),0), INDEX($P$1004:$S$1004,1,MATCH(COLUMNS($P$1006:S1006),$P$1006:$S$1006,0)))),"Fix")))</f>
        <v>0</v>
      </c>
      <c r="I676">
        <v>0</v>
      </c>
      <c r="J676">
        <v>0</v>
      </c>
      <c r="K676">
        <v>0</v>
      </c>
      <c r="L676">
        <f>IF(M676,TRUE,AND(P676:S676))</f>
        <v>0</v>
      </c>
      <c r="M676">
        <f>COUNTBLANK(metadata!B676:E676)=COLUMNS(metadata!B676:E676)</f>
        <v>0</v>
      </c>
      <c r="N676">
        <v>0</v>
      </c>
      <c r="P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Q676">
        <f>AND(IF(metadata!C676="",FALSE,TRUE),exact(metadata!C676,"other"))</f>
        <v>0</v>
      </c>
      <c r="R676">
        <f>AND(IF(metadata!D676="",FALSE,TRUE),exact(metadata!D676,"metagenome"))</f>
        <v>0</v>
      </c>
      <c r="S676">
        <f>AND(IF(metadata!E676="",FALSE,TRUE),exact(metadata!E676,"256318"))</f>
        <v>0</v>
      </c>
    </row>
    <row r="677" spans="1:19">
      <c r="A677" s="4">
        <f>IF(B677=" "," ",HYPERLINK(CONCATENATE("#metadata!",ADDRESS(INDEX($K$2:$K$1001,MATCH(ROWS($I$2:I677),$I$2:$I$1001,0),0),1)),INDEX($N$2:$N$1001,MATCH(ROWS($I$2:I677),$I$2:$I$1001,0),0)))</f>
        <v>0</v>
      </c>
      <c r="B677" s="3">
        <f>IF(OR(INDEX($J$2:$J$1001,MATCH(ROWS($I$2:I677),$I$2:$I$1001,0),1)&gt;=100000,INDEX($P$1005:$S$1005,1,MATCH(COLUMNS($P$1006:P1006),$P$1006:$S$1006,0))&gt;=100000), " ",IF(INDEX($P$2:$S$1001,MATCH(ROWS($I$2:I677),$I$2:$I$1001,0),MATCH(COLUMNS($P$1006:P1006),$P$1006:$S$1006,0)), HYPERLINK("#",""), HYPERLINK(CONCATENATE("#metadata!", ADDRESS(INDEX($K$2:$K$1001,MATCH(ROWS($I$2:I677),$I$2:$I$1001,0),0), INDEX($P$1004:$S$1004,1,MATCH(COLUMNS($P$1006:P1006),$P$1006:$S$1006,0)))),"Fix")))</f>
        <v>0</v>
      </c>
      <c r="C677" s="3">
        <f>IF(OR(INDEX($J$2:$J$1001,MATCH(ROWS($I$2:I677),$I$2:$I$1001,0),1)&gt;=100000,INDEX($P$1005:$S$1005,1,MATCH(COLUMNS($P$1006:Q1006),$P$1006:$S$1006,0))&gt;=100000), " ",IF(INDEX($P$2:$S$1001,MATCH(ROWS($I$2:I677),$I$2:$I$1001,0),MATCH(COLUMNS($P$1006:Q1006),$P$1006:$S$1006,0)), HYPERLINK("#",""), HYPERLINK(CONCATENATE("#metadata!", ADDRESS(INDEX($K$2:$K$1001,MATCH(ROWS($I$2:I677),$I$2:$I$1001,0),0), INDEX($P$1004:$S$1004,1,MATCH(COLUMNS($P$1006:Q1006),$P$1006:$S$1006,0)))),"Fix")))</f>
        <v>0</v>
      </c>
      <c r="D677" s="3">
        <f>IF(OR(INDEX($J$2:$J$1001,MATCH(ROWS($I$2:I677),$I$2:$I$1001,0),1)&gt;=100000,INDEX($P$1005:$S$1005,1,MATCH(COLUMNS($P$1006:R1006),$P$1006:$S$1006,0))&gt;=100000), " ",IF(INDEX($P$2:$S$1001,MATCH(ROWS($I$2:I677),$I$2:$I$1001,0),MATCH(COLUMNS($P$1006:R1006),$P$1006:$S$1006,0)), HYPERLINK("#",""), HYPERLINK(CONCATENATE("#metadata!", ADDRESS(INDEX($K$2:$K$1001,MATCH(ROWS($I$2:I677),$I$2:$I$1001,0),0), INDEX($P$1004:$S$1004,1,MATCH(COLUMNS($P$1006:R1006),$P$1006:$S$1006,0)))),"Fix")))</f>
        <v>0</v>
      </c>
      <c r="E677" s="3">
        <f>IF(OR(INDEX($J$2:$J$1001,MATCH(ROWS($I$2:I677),$I$2:$I$1001,0),1)&gt;=100000,INDEX($P$1005:$S$1005,1,MATCH(COLUMNS($P$1006:S1006),$P$1006:$S$1006,0))&gt;=100000), " ",IF(INDEX($P$2:$S$1001,MATCH(ROWS($I$2:I677),$I$2:$I$1001,0),MATCH(COLUMNS($P$1006:S1006),$P$1006:$S$1006,0)), HYPERLINK("#",""), HYPERLINK(CONCATENATE("#metadata!", ADDRESS(INDEX($K$2:$K$1001,MATCH(ROWS($I$2:I677),$I$2:$I$1001,0),0), INDEX($P$1004:$S$1004,1,MATCH(COLUMNS($P$1006:S1006),$P$1006:$S$1006,0)))),"Fix")))</f>
        <v>0</v>
      </c>
      <c r="I677">
        <v>0</v>
      </c>
      <c r="J677">
        <v>0</v>
      </c>
      <c r="K677">
        <v>0</v>
      </c>
      <c r="L677">
        <f>IF(M677,TRUE,AND(P677:S677))</f>
        <v>0</v>
      </c>
      <c r="M677">
        <f>COUNTBLANK(metadata!B677:E677)=COLUMNS(metadata!B677:E677)</f>
        <v>0</v>
      </c>
      <c r="N677">
        <v>0</v>
      </c>
      <c r="P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Q677">
        <f>AND(IF(metadata!C677="",FALSE,TRUE),exact(metadata!C677,"other"))</f>
        <v>0</v>
      </c>
      <c r="R677">
        <f>AND(IF(metadata!D677="",FALSE,TRUE),exact(metadata!D677,"metagenome"))</f>
        <v>0</v>
      </c>
      <c r="S677">
        <f>AND(IF(metadata!E677="",FALSE,TRUE),exact(metadata!E677,"256318"))</f>
        <v>0</v>
      </c>
    </row>
    <row r="678" spans="1:19">
      <c r="A678" s="4">
        <f>IF(B678=" "," ",HYPERLINK(CONCATENATE("#metadata!",ADDRESS(INDEX($K$2:$K$1001,MATCH(ROWS($I$2:I678),$I$2:$I$1001,0),0),1)),INDEX($N$2:$N$1001,MATCH(ROWS($I$2:I678),$I$2:$I$1001,0),0)))</f>
        <v>0</v>
      </c>
      <c r="B678" s="3">
        <f>IF(OR(INDEX($J$2:$J$1001,MATCH(ROWS($I$2:I678),$I$2:$I$1001,0),1)&gt;=100000,INDEX($P$1005:$S$1005,1,MATCH(COLUMNS($P$1006:P1006),$P$1006:$S$1006,0))&gt;=100000), " ",IF(INDEX($P$2:$S$1001,MATCH(ROWS($I$2:I678),$I$2:$I$1001,0),MATCH(COLUMNS($P$1006:P1006),$P$1006:$S$1006,0)), HYPERLINK("#",""), HYPERLINK(CONCATENATE("#metadata!", ADDRESS(INDEX($K$2:$K$1001,MATCH(ROWS($I$2:I678),$I$2:$I$1001,0),0), INDEX($P$1004:$S$1004,1,MATCH(COLUMNS($P$1006:P1006),$P$1006:$S$1006,0)))),"Fix")))</f>
        <v>0</v>
      </c>
      <c r="C678" s="3">
        <f>IF(OR(INDEX($J$2:$J$1001,MATCH(ROWS($I$2:I678),$I$2:$I$1001,0),1)&gt;=100000,INDEX($P$1005:$S$1005,1,MATCH(COLUMNS($P$1006:Q1006),$P$1006:$S$1006,0))&gt;=100000), " ",IF(INDEX($P$2:$S$1001,MATCH(ROWS($I$2:I678),$I$2:$I$1001,0),MATCH(COLUMNS($P$1006:Q1006),$P$1006:$S$1006,0)), HYPERLINK("#",""), HYPERLINK(CONCATENATE("#metadata!", ADDRESS(INDEX($K$2:$K$1001,MATCH(ROWS($I$2:I678),$I$2:$I$1001,0),0), INDEX($P$1004:$S$1004,1,MATCH(COLUMNS($P$1006:Q1006),$P$1006:$S$1006,0)))),"Fix")))</f>
        <v>0</v>
      </c>
      <c r="D678" s="3">
        <f>IF(OR(INDEX($J$2:$J$1001,MATCH(ROWS($I$2:I678),$I$2:$I$1001,0),1)&gt;=100000,INDEX($P$1005:$S$1005,1,MATCH(COLUMNS($P$1006:R1006),$P$1006:$S$1006,0))&gt;=100000), " ",IF(INDEX($P$2:$S$1001,MATCH(ROWS($I$2:I678),$I$2:$I$1001,0),MATCH(COLUMNS($P$1006:R1006),$P$1006:$S$1006,0)), HYPERLINK("#",""), HYPERLINK(CONCATENATE("#metadata!", ADDRESS(INDEX($K$2:$K$1001,MATCH(ROWS($I$2:I678),$I$2:$I$1001,0),0), INDEX($P$1004:$S$1004,1,MATCH(COLUMNS($P$1006:R1006),$P$1006:$S$1006,0)))),"Fix")))</f>
        <v>0</v>
      </c>
      <c r="E678" s="3">
        <f>IF(OR(INDEX($J$2:$J$1001,MATCH(ROWS($I$2:I678),$I$2:$I$1001,0),1)&gt;=100000,INDEX($P$1005:$S$1005,1,MATCH(COLUMNS($P$1006:S1006),$P$1006:$S$1006,0))&gt;=100000), " ",IF(INDEX($P$2:$S$1001,MATCH(ROWS($I$2:I678),$I$2:$I$1001,0),MATCH(COLUMNS($P$1006:S1006),$P$1006:$S$1006,0)), HYPERLINK("#",""), HYPERLINK(CONCATENATE("#metadata!", ADDRESS(INDEX($K$2:$K$1001,MATCH(ROWS($I$2:I678),$I$2:$I$1001,0),0), INDEX($P$1004:$S$1004,1,MATCH(COLUMNS($P$1006:S1006),$P$1006:$S$1006,0)))),"Fix")))</f>
        <v>0</v>
      </c>
      <c r="I678">
        <v>0</v>
      </c>
      <c r="J678">
        <v>0</v>
      </c>
      <c r="K678">
        <v>0</v>
      </c>
      <c r="L678">
        <f>IF(M678,TRUE,AND(P678:S678))</f>
        <v>0</v>
      </c>
      <c r="M678">
        <f>COUNTBLANK(metadata!B678:E678)=COLUMNS(metadata!B678:E678)</f>
        <v>0</v>
      </c>
      <c r="N678">
        <v>0</v>
      </c>
      <c r="P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Q678">
        <f>AND(IF(metadata!C678="",FALSE,TRUE),exact(metadata!C678,"other"))</f>
        <v>0</v>
      </c>
      <c r="R678">
        <f>AND(IF(metadata!D678="",FALSE,TRUE),exact(metadata!D678,"metagenome"))</f>
        <v>0</v>
      </c>
      <c r="S678">
        <f>AND(IF(metadata!E678="",FALSE,TRUE),exact(metadata!E678,"256318"))</f>
        <v>0</v>
      </c>
    </row>
    <row r="679" spans="1:19">
      <c r="A679" s="4">
        <f>IF(B679=" "," ",HYPERLINK(CONCATENATE("#metadata!",ADDRESS(INDEX($K$2:$K$1001,MATCH(ROWS($I$2:I679),$I$2:$I$1001,0),0),1)),INDEX($N$2:$N$1001,MATCH(ROWS($I$2:I679),$I$2:$I$1001,0),0)))</f>
        <v>0</v>
      </c>
      <c r="B679" s="3">
        <f>IF(OR(INDEX($J$2:$J$1001,MATCH(ROWS($I$2:I679),$I$2:$I$1001,0),1)&gt;=100000,INDEX($P$1005:$S$1005,1,MATCH(COLUMNS($P$1006:P1006),$P$1006:$S$1006,0))&gt;=100000), " ",IF(INDEX($P$2:$S$1001,MATCH(ROWS($I$2:I679),$I$2:$I$1001,0),MATCH(COLUMNS($P$1006:P1006),$P$1006:$S$1006,0)), HYPERLINK("#",""), HYPERLINK(CONCATENATE("#metadata!", ADDRESS(INDEX($K$2:$K$1001,MATCH(ROWS($I$2:I679),$I$2:$I$1001,0),0), INDEX($P$1004:$S$1004,1,MATCH(COLUMNS($P$1006:P1006),$P$1006:$S$1006,0)))),"Fix")))</f>
        <v>0</v>
      </c>
      <c r="C679" s="3">
        <f>IF(OR(INDEX($J$2:$J$1001,MATCH(ROWS($I$2:I679),$I$2:$I$1001,0),1)&gt;=100000,INDEX($P$1005:$S$1005,1,MATCH(COLUMNS($P$1006:Q1006),$P$1006:$S$1006,0))&gt;=100000), " ",IF(INDEX($P$2:$S$1001,MATCH(ROWS($I$2:I679),$I$2:$I$1001,0),MATCH(COLUMNS($P$1006:Q1006),$P$1006:$S$1006,0)), HYPERLINK("#",""), HYPERLINK(CONCATENATE("#metadata!", ADDRESS(INDEX($K$2:$K$1001,MATCH(ROWS($I$2:I679),$I$2:$I$1001,0),0), INDEX($P$1004:$S$1004,1,MATCH(COLUMNS($P$1006:Q1006),$P$1006:$S$1006,0)))),"Fix")))</f>
        <v>0</v>
      </c>
      <c r="D679" s="3">
        <f>IF(OR(INDEX($J$2:$J$1001,MATCH(ROWS($I$2:I679),$I$2:$I$1001,0),1)&gt;=100000,INDEX($P$1005:$S$1005,1,MATCH(COLUMNS($P$1006:R1006),$P$1006:$S$1006,0))&gt;=100000), " ",IF(INDEX($P$2:$S$1001,MATCH(ROWS($I$2:I679),$I$2:$I$1001,0),MATCH(COLUMNS($P$1006:R1006),$P$1006:$S$1006,0)), HYPERLINK("#",""), HYPERLINK(CONCATENATE("#metadata!", ADDRESS(INDEX($K$2:$K$1001,MATCH(ROWS($I$2:I679),$I$2:$I$1001,0),0), INDEX($P$1004:$S$1004,1,MATCH(COLUMNS($P$1006:R1006),$P$1006:$S$1006,0)))),"Fix")))</f>
        <v>0</v>
      </c>
      <c r="E679" s="3">
        <f>IF(OR(INDEX($J$2:$J$1001,MATCH(ROWS($I$2:I679),$I$2:$I$1001,0),1)&gt;=100000,INDEX($P$1005:$S$1005,1,MATCH(COLUMNS($P$1006:S1006),$P$1006:$S$1006,0))&gt;=100000), " ",IF(INDEX($P$2:$S$1001,MATCH(ROWS($I$2:I679),$I$2:$I$1001,0),MATCH(COLUMNS($P$1006:S1006),$P$1006:$S$1006,0)), HYPERLINK("#",""), HYPERLINK(CONCATENATE("#metadata!", ADDRESS(INDEX($K$2:$K$1001,MATCH(ROWS($I$2:I679),$I$2:$I$1001,0),0), INDEX($P$1004:$S$1004,1,MATCH(COLUMNS($P$1006:S1006),$P$1006:$S$1006,0)))),"Fix")))</f>
        <v>0</v>
      </c>
      <c r="I679">
        <v>0</v>
      </c>
      <c r="J679">
        <v>0</v>
      </c>
      <c r="K679">
        <v>0</v>
      </c>
      <c r="L679">
        <f>IF(M679,TRUE,AND(P679:S679))</f>
        <v>0</v>
      </c>
      <c r="M679">
        <f>COUNTBLANK(metadata!B679:E679)=COLUMNS(metadata!B679:E679)</f>
        <v>0</v>
      </c>
      <c r="N679">
        <v>0</v>
      </c>
      <c r="P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Q679">
        <f>AND(IF(metadata!C679="",FALSE,TRUE),exact(metadata!C679,"other"))</f>
        <v>0</v>
      </c>
      <c r="R679">
        <f>AND(IF(metadata!D679="",FALSE,TRUE),exact(metadata!D679,"metagenome"))</f>
        <v>0</v>
      </c>
      <c r="S679">
        <f>AND(IF(metadata!E679="",FALSE,TRUE),exact(metadata!E679,"256318"))</f>
        <v>0</v>
      </c>
    </row>
    <row r="680" spans="1:19">
      <c r="A680" s="4">
        <f>IF(B680=" "," ",HYPERLINK(CONCATENATE("#metadata!",ADDRESS(INDEX($K$2:$K$1001,MATCH(ROWS($I$2:I680),$I$2:$I$1001,0),0),1)),INDEX($N$2:$N$1001,MATCH(ROWS($I$2:I680),$I$2:$I$1001,0),0)))</f>
        <v>0</v>
      </c>
      <c r="B680" s="3">
        <f>IF(OR(INDEX($J$2:$J$1001,MATCH(ROWS($I$2:I680),$I$2:$I$1001,0),1)&gt;=100000,INDEX($P$1005:$S$1005,1,MATCH(COLUMNS($P$1006:P1006),$P$1006:$S$1006,0))&gt;=100000), " ",IF(INDEX($P$2:$S$1001,MATCH(ROWS($I$2:I680),$I$2:$I$1001,0),MATCH(COLUMNS($P$1006:P1006),$P$1006:$S$1006,0)), HYPERLINK("#",""), HYPERLINK(CONCATENATE("#metadata!", ADDRESS(INDEX($K$2:$K$1001,MATCH(ROWS($I$2:I680),$I$2:$I$1001,0),0), INDEX($P$1004:$S$1004,1,MATCH(COLUMNS($P$1006:P1006),$P$1006:$S$1006,0)))),"Fix")))</f>
        <v>0</v>
      </c>
      <c r="C680" s="3">
        <f>IF(OR(INDEX($J$2:$J$1001,MATCH(ROWS($I$2:I680),$I$2:$I$1001,0),1)&gt;=100000,INDEX($P$1005:$S$1005,1,MATCH(COLUMNS($P$1006:Q1006),$P$1006:$S$1006,0))&gt;=100000), " ",IF(INDEX($P$2:$S$1001,MATCH(ROWS($I$2:I680),$I$2:$I$1001,0),MATCH(COLUMNS($P$1006:Q1006),$P$1006:$S$1006,0)), HYPERLINK("#",""), HYPERLINK(CONCATENATE("#metadata!", ADDRESS(INDEX($K$2:$K$1001,MATCH(ROWS($I$2:I680),$I$2:$I$1001,0),0), INDEX($P$1004:$S$1004,1,MATCH(COLUMNS($P$1006:Q1006),$P$1006:$S$1006,0)))),"Fix")))</f>
        <v>0</v>
      </c>
      <c r="D680" s="3">
        <f>IF(OR(INDEX($J$2:$J$1001,MATCH(ROWS($I$2:I680),$I$2:$I$1001,0),1)&gt;=100000,INDEX($P$1005:$S$1005,1,MATCH(COLUMNS($P$1006:R1006),$P$1006:$S$1006,0))&gt;=100000), " ",IF(INDEX($P$2:$S$1001,MATCH(ROWS($I$2:I680),$I$2:$I$1001,0),MATCH(COLUMNS($P$1006:R1006),$P$1006:$S$1006,0)), HYPERLINK("#",""), HYPERLINK(CONCATENATE("#metadata!", ADDRESS(INDEX($K$2:$K$1001,MATCH(ROWS($I$2:I680),$I$2:$I$1001,0),0), INDEX($P$1004:$S$1004,1,MATCH(COLUMNS($P$1006:R1006),$P$1006:$S$1006,0)))),"Fix")))</f>
        <v>0</v>
      </c>
      <c r="E680" s="3">
        <f>IF(OR(INDEX($J$2:$J$1001,MATCH(ROWS($I$2:I680),$I$2:$I$1001,0),1)&gt;=100000,INDEX($P$1005:$S$1005,1,MATCH(COLUMNS($P$1006:S1006),$P$1006:$S$1006,0))&gt;=100000), " ",IF(INDEX($P$2:$S$1001,MATCH(ROWS($I$2:I680),$I$2:$I$1001,0),MATCH(COLUMNS($P$1006:S1006),$P$1006:$S$1006,0)), HYPERLINK("#",""), HYPERLINK(CONCATENATE("#metadata!", ADDRESS(INDEX($K$2:$K$1001,MATCH(ROWS($I$2:I680),$I$2:$I$1001,0),0), INDEX($P$1004:$S$1004,1,MATCH(COLUMNS($P$1006:S1006),$P$1006:$S$1006,0)))),"Fix")))</f>
        <v>0</v>
      </c>
      <c r="I680">
        <v>0</v>
      </c>
      <c r="J680">
        <v>0</v>
      </c>
      <c r="K680">
        <v>0</v>
      </c>
      <c r="L680">
        <f>IF(M680,TRUE,AND(P680:S680))</f>
        <v>0</v>
      </c>
      <c r="M680">
        <f>COUNTBLANK(metadata!B680:E680)=COLUMNS(metadata!B680:E680)</f>
        <v>0</v>
      </c>
      <c r="N680">
        <v>0</v>
      </c>
      <c r="P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Q680">
        <f>AND(IF(metadata!C680="",FALSE,TRUE),exact(metadata!C680,"other"))</f>
        <v>0</v>
      </c>
      <c r="R680">
        <f>AND(IF(metadata!D680="",FALSE,TRUE),exact(metadata!D680,"metagenome"))</f>
        <v>0</v>
      </c>
      <c r="S680">
        <f>AND(IF(metadata!E680="",FALSE,TRUE),exact(metadata!E680,"256318"))</f>
        <v>0</v>
      </c>
    </row>
    <row r="681" spans="1:19">
      <c r="A681" s="4">
        <f>IF(B681=" "," ",HYPERLINK(CONCATENATE("#metadata!",ADDRESS(INDEX($K$2:$K$1001,MATCH(ROWS($I$2:I681),$I$2:$I$1001,0),0),1)),INDEX($N$2:$N$1001,MATCH(ROWS($I$2:I681),$I$2:$I$1001,0),0)))</f>
        <v>0</v>
      </c>
      <c r="B681" s="3">
        <f>IF(OR(INDEX($J$2:$J$1001,MATCH(ROWS($I$2:I681),$I$2:$I$1001,0),1)&gt;=100000,INDEX($P$1005:$S$1005,1,MATCH(COLUMNS($P$1006:P1006),$P$1006:$S$1006,0))&gt;=100000), " ",IF(INDEX($P$2:$S$1001,MATCH(ROWS($I$2:I681),$I$2:$I$1001,0),MATCH(COLUMNS($P$1006:P1006),$P$1006:$S$1006,0)), HYPERLINK("#",""), HYPERLINK(CONCATENATE("#metadata!", ADDRESS(INDEX($K$2:$K$1001,MATCH(ROWS($I$2:I681),$I$2:$I$1001,0),0), INDEX($P$1004:$S$1004,1,MATCH(COLUMNS($P$1006:P1006),$P$1006:$S$1006,0)))),"Fix")))</f>
        <v>0</v>
      </c>
      <c r="C681" s="3">
        <f>IF(OR(INDEX($J$2:$J$1001,MATCH(ROWS($I$2:I681),$I$2:$I$1001,0),1)&gt;=100000,INDEX($P$1005:$S$1005,1,MATCH(COLUMNS($P$1006:Q1006),$P$1006:$S$1006,0))&gt;=100000), " ",IF(INDEX($P$2:$S$1001,MATCH(ROWS($I$2:I681),$I$2:$I$1001,0),MATCH(COLUMNS($P$1006:Q1006),$P$1006:$S$1006,0)), HYPERLINK("#",""), HYPERLINK(CONCATENATE("#metadata!", ADDRESS(INDEX($K$2:$K$1001,MATCH(ROWS($I$2:I681),$I$2:$I$1001,0),0), INDEX($P$1004:$S$1004,1,MATCH(COLUMNS($P$1006:Q1006),$P$1006:$S$1006,0)))),"Fix")))</f>
        <v>0</v>
      </c>
      <c r="D681" s="3">
        <f>IF(OR(INDEX($J$2:$J$1001,MATCH(ROWS($I$2:I681),$I$2:$I$1001,0),1)&gt;=100000,INDEX($P$1005:$S$1005,1,MATCH(COLUMNS($P$1006:R1006),$P$1006:$S$1006,0))&gt;=100000), " ",IF(INDEX($P$2:$S$1001,MATCH(ROWS($I$2:I681),$I$2:$I$1001,0),MATCH(COLUMNS($P$1006:R1006),$P$1006:$S$1006,0)), HYPERLINK("#",""), HYPERLINK(CONCATENATE("#metadata!", ADDRESS(INDEX($K$2:$K$1001,MATCH(ROWS($I$2:I681),$I$2:$I$1001,0),0), INDEX($P$1004:$S$1004,1,MATCH(COLUMNS($P$1006:R1006),$P$1006:$S$1006,0)))),"Fix")))</f>
        <v>0</v>
      </c>
      <c r="E681" s="3">
        <f>IF(OR(INDEX($J$2:$J$1001,MATCH(ROWS($I$2:I681),$I$2:$I$1001,0),1)&gt;=100000,INDEX($P$1005:$S$1005,1,MATCH(COLUMNS($P$1006:S1006),$P$1006:$S$1006,0))&gt;=100000), " ",IF(INDEX($P$2:$S$1001,MATCH(ROWS($I$2:I681),$I$2:$I$1001,0),MATCH(COLUMNS($P$1006:S1006),$P$1006:$S$1006,0)), HYPERLINK("#",""), HYPERLINK(CONCATENATE("#metadata!", ADDRESS(INDEX($K$2:$K$1001,MATCH(ROWS($I$2:I681),$I$2:$I$1001,0),0), INDEX($P$1004:$S$1004,1,MATCH(COLUMNS($P$1006:S1006),$P$1006:$S$1006,0)))),"Fix")))</f>
        <v>0</v>
      </c>
      <c r="I681">
        <v>0</v>
      </c>
      <c r="J681">
        <v>0</v>
      </c>
      <c r="K681">
        <v>0</v>
      </c>
      <c r="L681">
        <f>IF(M681,TRUE,AND(P681:S681))</f>
        <v>0</v>
      </c>
      <c r="M681">
        <f>COUNTBLANK(metadata!B681:E681)=COLUMNS(metadata!B681:E681)</f>
        <v>0</v>
      </c>
      <c r="N681">
        <v>0</v>
      </c>
      <c r="P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Q681">
        <f>AND(IF(metadata!C681="",FALSE,TRUE),exact(metadata!C681,"other"))</f>
        <v>0</v>
      </c>
      <c r="R681">
        <f>AND(IF(metadata!D681="",FALSE,TRUE),exact(metadata!D681,"metagenome"))</f>
        <v>0</v>
      </c>
      <c r="S681">
        <f>AND(IF(metadata!E681="",FALSE,TRUE),exact(metadata!E681,"256318"))</f>
        <v>0</v>
      </c>
    </row>
    <row r="682" spans="1:19">
      <c r="A682" s="4">
        <f>IF(B682=" "," ",HYPERLINK(CONCATENATE("#metadata!",ADDRESS(INDEX($K$2:$K$1001,MATCH(ROWS($I$2:I682),$I$2:$I$1001,0),0),1)),INDEX($N$2:$N$1001,MATCH(ROWS($I$2:I682),$I$2:$I$1001,0),0)))</f>
        <v>0</v>
      </c>
      <c r="B682" s="3">
        <f>IF(OR(INDEX($J$2:$J$1001,MATCH(ROWS($I$2:I682),$I$2:$I$1001,0),1)&gt;=100000,INDEX($P$1005:$S$1005,1,MATCH(COLUMNS($P$1006:P1006),$P$1006:$S$1006,0))&gt;=100000), " ",IF(INDEX($P$2:$S$1001,MATCH(ROWS($I$2:I682),$I$2:$I$1001,0),MATCH(COLUMNS($P$1006:P1006),$P$1006:$S$1006,0)), HYPERLINK("#",""), HYPERLINK(CONCATENATE("#metadata!", ADDRESS(INDEX($K$2:$K$1001,MATCH(ROWS($I$2:I682),$I$2:$I$1001,0),0), INDEX($P$1004:$S$1004,1,MATCH(COLUMNS($P$1006:P1006),$P$1006:$S$1006,0)))),"Fix")))</f>
        <v>0</v>
      </c>
      <c r="C682" s="3">
        <f>IF(OR(INDEX($J$2:$J$1001,MATCH(ROWS($I$2:I682),$I$2:$I$1001,0),1)&gt;=100000,INDEX($P$1005:$S$1005,1,MATCH(COLUMNS($P$1006:Q1006),$P$1006:$S$1006,0))&gt;=100000), " ",IF(INDEX($P$2:$S$1001,MATCH(ROWS($I$2:I682),$I$2:$I$1001,0),MATCH(COLUMNS($P$1006:Q1006),$P$1006:$S$1006,0)), HYPERLINK("#",""), HYPERLINK(CONCATENATE("#metadata!", ADDRESS(INDEX($K$2:$K$1001,MATCH(ROWS($I$2:I682),$I$2:$I$1001,0),0), INDEX($P$1004:$S$1004,1,MATCH(COLUMNS($P$1006:Q1006),$P$1006:$S$1006,0)))),"Fix")))</f>
        <v>0</v>
      </c>
      <c r="D682" s="3">
        <f>IF(OR(INDEX($J$2:$J$1001,MATCH(ROWS($I$2:I682),$I$2:$I$1001,0),1)&gt;=100000,INDEX($P$1005:$S$1005,1,MATCH(COLUMNS($P$1006:R1006),$P$1006:$S$1006,0))&gt;=100000), " ",IF(INDEX($P$2:$S$1001,MATCH(ROWS($I$2:I682),$I$2:$I$1001,0),MATCH(COLUMNS($P$1006:R1006),$P$1006:$S$1006,0)), HYPERLINK("#",""), HYPERLINK(CONCATENATE("#metadata!", ADDRESS(INDEX($K$2:$K$1001,MATCH(ROWS($I$2:I682),$I$2:$I$1001,0),0), INDEX($P$1004:$S$1004,1,MATCH(COLUMNS($P$1006:R1006),$P$1006:$S$1006,0)))),"Fix")))</f>
        <v>0</v>
      </c>
      <c r="E682" s="3">
        <f>IF(OR(INDEX($J$2:$J$1001,MATCH(ROWS($I$2:I682),$I$2:$I$1001,0),1)&gt;=100000,INDEX($P$1005:$S$1005,1,MATCH(COLUMNS($P$1006:S1006),$P$1006:$S$1006,0))&gt;=100000), " ",IF(INDEX($P$2:$S$1001,MATCH(ROWS($I$2:I682),$I$2:$I$1001,0),MATCH(COLUMNS($P$1006:S1006),$P$1006:$S$1006,0)), HYPERLINK("#",""), HYPERLINK(CONCATENATE("#metadata!", ADDRESS(INDEX($K$2:$K$1001,MATCH(ROWS($I$2:I682),$I$2:$I$1001,0),0), INDEX($P$1004:$S$1004,1,MATCH(COLUMNS($P$1006:S1006),$P$1006:$S$1006,0)))),"Fix")))</f>
        <v>0</v>
      </c>
      <c r="I682">
        <v>0</v>
      </c>
      <c r="J682">
        <v>0</v>
      </c>
      <c r="K682">
        <v>0</v>
      </c>
      <c r="L682">
        <f>IF(M682,TRUE,AND(P682:S682))</f>
        <v>0</v>
      </c>
      <c r="M682">
        <f>COUNTBLANK(metadata!B682:E682)=COLUMNS(metadata!B682:E682)</f>
        <v>0</v>
      </c>
      <c r="N682">
        <v>0</v>
      </c>
      <c r="P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Q682">
        <f>AND(IF(metadata!C682="",FALSE,TRUE),exact(metadata!C682,"other"))</f>
        <v>0</v>
      </c>
      <c r="R682">
        <f>AND(IF(metadata!D682="",FALSE,TRUE),exact(metadata!D682,"metagenome"))</f>
        <v>0</v>
      </c>
      <c r="S682">
        <f>AND(IF(metadata!E682="",FALSE,TRUE),exact(metadata!E682,"256318"))</f>
        <v>0</v>
      </c>
    </row>
    <row r="683" spans="1:19">
      <c r="A683" s="4">
        <f>IF(B683=" "," ",HYPERLINK(CONCATENATE("#metadata!",ADDRESS(INDEX($K$2:$K$1001,MATCH(ROWS($I$2:I683),$I$2:$I$1001,0),0),1)),INDEX($N$2:$N$1001,MATCH(ROWS($I$2:I683),$I$2:$I$1001,0),0)))</f>
        <v>0</v>
      </c>
      <c r="B683" s="3">
        <f>IF(OR(INDEX($J$2:$J$1001,MATCH(ROWS($I$2:I683),$I$2:$I$1001,0),1)&gt;=100000,INDEX($P$1005:$S$1005,1,MATCH(COLUMNS($P$1006:P1006),$P$1006:$S$1006,0))&gt;=100000), " ",IF(INDEX($P$2:$S$1001,MATCH(ROWS($I$2:I683),$I$2:$I$1001,0),MATCH(COLUMNS($P$1006:P1006),$P$1006:$S$1006,0)), HYPERLINK("#",""), HYPERLINK(CONCATENATE("#metadata!", ADDRESS(INDEX($K$2:$K$1001,MATCH(ROWS($I$2:I683),$I$2:$I$1001,0),0), INDEX($P$1004:$S$1004,1,MATCH(COLUMNS($P$1006:P1006),$P$1006:$S$1006,0)))),"Fix")))</f>
        <v>0</v>
      </c>
      <c r="C683" s="3">
        <f>IF(OR(INDEX($J$2:$J$1001,MATCH(ROWS($I$2:I683),$I$2:$I$1001,0),1)&gt;=100000,INDEX($P$1005:$S$1005,1,MATCH(COLUMNS($P$1006:Q1006),$P$1006:$S$1006,0))&gt;=100000), " ",IF(INDEX($P$2:$S$1001,MATCH(ROWS($I$2:I683),$I$2:$I$1001,0),MATCH(COLUMNS($P$1006:Q1006),$P$1006:$S$1006,0)), HYPERLINK("#",""), HYPERLINK(CONCATENATE("#metadata!", ADDRESS(INDEX($K$2:$K$1001,MATCH(ROWS($I$2:I683),$I$2:$I$1001,0),0), INDEX($P$1004:$S$1004,1,MATCH(COLUMNS($P$1006:Q1006),$P$1006:$S$1006,0)))),"Fix")))</f>
        <v>0</v>
      </c>
      <c r="D683" s="3">
        <f>IF(OR(INDEX($J$2:$J$1001,MATCH(ROWS($I$2:I683),$I$2:$I$1001,0),1)&gt;=100000,INDEX($P$1005:$S$1005,1,MATCH(COLUMNS($P$1006:R1006),$P$1006:$S$1006,0))&gt;=100000), " ",IF(INDEX($P$2:$S$1001,MATCH(ROWS($I$2:I683),$I$2:$I$1001,0),MATCH(COLUMNS($P$1006:R1006),$P$1006:$S$1006,0)), HYPERLINK("#",""), HYPERLINK(CONCATENATE("#metadata!", ADDRESS(INDEX($K$2:$K$1001,MATCH(ROWS($I$2:I683),$I$2:$I$1001,0),0), INDEX($P$1004:$S$1004,1,MATCH(COLUMNS($P$1006:R1006),$P$1006:$S$1006,0)))),"Fix")))</f>
        <v>0</v>
      </c>
      <c r="E683" s="3">
        <f>IF(OR(INDEX($J$2:$J$1001,MATCH(ROWS($I$2:I683),$I$2:$I$1001,0),1)&gt;=100000,INDEX($P$1005:$S$1005,1,MATCH(COLUMNS($P$1006:S1006),$P$1006:$S$1006,0))&gt;=100000), " ",IF(INDEX($P$2:$S$1001,MATCH(ROWS($I$2:I683),$I$2:$I$1001,0),MATCH(COLUMNS($P$1006:S1006),$P$1006:$S$1006,0)), HYPERLINK("#",""), HYPERLINK(CONCATENATE("#metadata!", ADDRESS(INDEX($K$2:$K$1001,MATCH(ROWS($I$2:I683),$I$2:$I$1001,0),0), INDEX($P$1004:$S$1004,1,MATCH(COLUMNS($P$1006:S1006),$P$1006:$S$1006,0)))),"Fix")))</f>
        <v>0</v>
      </c>
      <c r="I683">
        <v>0</v>
      </c>
      <c r="J683">
        <v>0</v>
      </c>
      <c r="K683">
        <v>0</v>
      </c>
      <c r="L683">
        <f>IF(M683,TRUE,AND(P683:S683))</f>
        <v>0</v>
      </c>
      <c r="M683">
        <f>COUNTBLANK(metadata!B683:E683)=COLUMNS(metadata!B683:E683)</f>
        <v>0</v>
      </c>
      <c r="N683">
        <v>0</v>
      </c>
      <c r="P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Q683">
        <f>AND(IF(metadata!C683="",FALSE,TRUE),exact(metadata!C683,"other"))</f>
        <v>0</v>
      </c>
      <c r="R683">
        <f>AND(IF(metadata!D683="",FALSE,TRUE),exact(metadata!D683,"metagenome"))</f>
        <v>0</v>
      </c>
      <c r="S683">
        <f>AND(IF(metadata!E683="",FALSE,TRUE),exact(metadata!E683,"256318"))</f>
        <v>0</v>
      </c>
    </row>
    <row r="684" spans="1:19">
      <c r="A684" s="4">
        <f>IF(B684=" "," ",HYPERLINK(CONCATENATE("#metadata!",ADDRESS(INDEX($K$2:$K$1001,MATCH(ROWS($I$2:I684),$I$2:$I$1001,0),0),1)),INDEX($N$2:$N$1001,MATCH(ROWS($I$2:I684),$I$2:$I$1001,0),0)))</f>
        <v>0</v>
      </c>
      <c r="B684" s="3">
        <f>IF(OR(INDEX($J$2:$J$1001,MATCH(ROWS($I$2:I684),$I$2:$I$1001,0),1)&gt;=100000,INDEX($P$1005:$S$1005,1,MATCH(COLUMNS($P$1006:P1006),$P$1006:$S$1006,0))&gt;=100000), " ",IF(INDEX($P$2:$S$1001,MATCH(ROWS($I$2:I684),$I$2:$I$1001,0),MATCH(COLUMNS($P$1006:P1006),$P$1006:$S$1006,0)), HYPERLINK("#",""), HYPERLINK(CONCATENATE("#metadata!", ADDRESS(INDEX($K$2:$K$1001,MATCH(ROWS($I$2:I684),$I$2:$I$1001,0),0), INDEX($P$1004:$S$1004,1,MATCH(COLUMNS($P$1006:P1006),$P$1006:$S$1006,0)))),"Fix")))</f>
        <v>0</v>
      </c>
      <c r="C684" s="3">
        <f>IF(OR(INDEX($J$2:$J$1001,MATCH(ROWS($I$2:I684),$I$2:$I$1001,0),1)&gt;=100000,INDEX($P$1005:$S$1005,1,MATCH(COLUMNS($P$1006:Q1006),$P$1006:$S$1006,0))&gt;=100000), " ",IF(INDEX($P$2:$S$1001,MATCH(ROWS($I$2:I684),$I$2:$I$1001,0),MATCH(COLUMNS($P$1006:Q1006),$P$1006:$S$1006,0)), HYPERLINK("#",""), HYPERLINK(CONCATENATE("#metadata!", ADDRESS(INDEX($K$2:$K$1001,MATCH(ROWS($I$2:I684),$I$2:$I$1001,0),0), INDEX($P$1004:$S$1004,1,MATCH(COLUMNS($P$1006:Q1006),$P$1006:$S$1006,0)))),"Fix")))</f>
        <v>0</v>
      </c>
      <c r="D684" s="3">
        <f>IF(OR(INDEX($J$2:$J$1001,MATCH(ROWS($I$2:I684),$I$2:$I$1001,0),1)&gt;=100000,INDEX($P$1005:$S$1005,1,MATCH(COLUMNS($P$1006:R1006),$P$1006:$S$1006,0))&gt;=100000), " ",IF(INDEX($P$2:$S$1001,MATCH(ROWS($I$2:I684),$I$2:$I$1001,0),MATCH(COLUMNS($P$1006:R1006),$P$1006:$S$1006,0)), HYPERLINK("#",""), HYPERLINK(CONCATENATE("#metadata!", ADDRESS(INDEX($K$2:$K$1001,MATCH(ROWS($I$2:I684),$I$2:$I$1001,0),0), INDEX($P$1004:$S$1004,1,MATCH(COLUMNS($P$1006:R1006),$P$1006:$S$1006,0)))),"Fix")))</f>
        <v>0</v>
      </c>
      <c r="E684" s="3">
        <f>IF(OR(INDEX($J$2:$J$1001,MATCH(ROWS($I$2:I684),$I$2:$I$1001,0),1)&gt;=100000,INDEX($P$1005:$S$1005,1,MATCH(COLUMNS($P$1006:S1006),$P$1006:$S$1006,0))&gt;=100000), " ",IF(INDEX($P$2:$S$1001,MATCH(ROWS($I$2:I684),$I$2:$I$1001,0),MATCH(COLUMNS($P$1006:S1006),$P$1006:$S$1006,0)), HYPERLINK("#",""), HYPERLINK(CONCATENATE("#metadata!", ADDRESS(INDEX($K$2:$K$1001,MATCH(ROWS($I$2:I684),$I$2:$I$1001,0),0), INDEX($P$1004:$S$1004,1,MATCH(COLUMNS($P$1006:S1006),$P$1006:$S$1006,0)))),"Fix")))</f>
        <v>0</v>
      </c>
      <c r="I684">
        <v>0</v>
      </c>
      <c r="J684">
        <v>0</v>
      </c>
      <c r="K684">
        <v>0</v>
      </c>
      <c r="L684">
        <f>IF(M684,TRUE,AND(P684:S684))</f>
        <v>0</v>
      </c>
      <c r="M684">
        <f>COUNTBLANK(metadata!B684:E684)=COLUMNS(metadata!B684:E684)</f>
        <v>0</v>
      </c>
      <c r="N684">
        <v>0</v>
      </c>
      <c r="P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Q684">
        <f>AND(IF(metadata!C684="",FALSE,TRUE),exact(metadata!C684,"other"))</f>
        <v>0</v>
      </c>
      <c r="R684">
        <f>AND(IF(metadata!D684="",FALSE,TRUE),exact(metadata!D684,"metagenome"))</f>
        <v>0</v>
      </c>
      <c r="S684">
        <f>AND(IF(metadata!E684="",FALSE,TRUE),exact(metadata!E684,"256318"))</f>
        <v>0</v>
      </c>
    </row>
    <row r="685" spans="1:19">
      <c r="A685" s="4">
        <f>IF(B685=" "," ",HYPERLINK(CONCATENATE("#metadata!",ADDRESS(INDEX($K$2:$K$1001,MATCH(ROWS($I$2:I685),$I$2:$I$1001,0),0),1)),INDEX($N$2:$N$1001,MATCH(ROWS($I$2:I685),$I$2:$I$1001,0),0)))</f>
        <v>0</v>
      </c>
      <c r="B685" s="3">
        <f>IF(OR(INDEX($J$2:$J$1001,MATCH(ROWS($I$2:I685),$I$2:$I$1001,0),1)&gt;=100000,INDEX($P$1005:$S$1005,1,MATCH(COLUMNS($P$1006:P1006),$P$1006:$S$1006,0))&gt;=100000), " ",IF(INDEX($P$2:$S$1001,MATCH(ROWS($I$2:I685),$I$2:$I$1001,0),MATCH(COLUMNS($P$1006:P1006),$P$1006:$S$1006,0)), HYPERLINK("#",""), HYPERLINK(CONCATENATE("#metadata!", ADDRESS(INDEX($K$2:$K$1001,MATCH(ROWS($I$2:I685),$I$2:$I$1001,0),0), INDEX($P$1004:$S$1004,1,MATCH(COLUMNS($P$1006:P1006),$P$1006:$S$1006,0)))),"Fix")))</f>
        <v>0</v>
      </c>
      <c r="C685" s="3">
        <f>IF(OR(INDEX($J$2:$J$1001,MATCH(ROWS($I$2:I685),$I$2:$I$1001,0),1)&gt;=100000,INDEX($P$1005:$S$1005,1,MATCH(COLUMNS($P$1006:Q1006),$P$1006:$S$1006,0))&gt;=100000), " ",IF(INDEX($P$2:$S$1001,MATCH(ROWS($I$2:I685),$I$2:$I$1001,0),MATCH(COLUMNS($P$1006:Q1006),$P$1006:$S$1006,0)), HYPERLINK("#",""), HYPERLINK(CONCATENATE("#metadata!", ADDRESS(INDEX($K$2:$K$1001,MATCH(ROWS($I$2:I685),$I$2:$I$1001,0),0), INDEX($P$1004:$S$1004,1,MATCH(COLUMNS($P$1006:Q1006),$P$1006:$S$1006,0)))),"Fix")))</f>
        <v>0</v>
      </c>
      <c r="D685" s="3">
        <f>IF(OR(INDEX($J$2:$J$1001,MATCH(ROWS($I$2:I685),$I$2:$I$1001,0),1)&gt;=100000,INDEX($P$1005:$S$1005,1,MATCH(COLUMNS($P$1006:R1006),$P$1006:$S$1006,0))&gt;=100000), " ",IF(INDEX($P$2:$S$1001,MATCH(ROWS($I$2:I685),$I$2:$I$1001,0),MATCH(COLUMNS($P$1006:R1006),$P$1006:$S$1006,0)), HYPERLINK("#",""), HYPERLINK(CONCATENATE("#metadata!", ADDRESS(INDEX($K$2:$K$1001,MATCH(ROWS($I$2:I685),$I$2:$I$1001,0),0), INDEX($P$1004:$S$1004,1,MATCH(COLUMNS($P$1006:R1006),$P$1006:$S$1006,0)))),"Fix")))</f>
        <v>0</v>
      </c>
      <c r="E685" s="3">
        <f>IF(OR(INDEX($J$2:$J$1001,MATCH(ROWS($I$2:I685),$I$2:$I$1001,0),1)&gt;=100000,INDEX($P$1005:$S$1005,1,MATCH(COLUMNS($P$1006:S1006),$P$1006:$S$1006,0))&gt;=100000), " ",IF(INDEX($P$2:$S$1001,MATCH(ROWS($I$2:I685),$I$2:$I$1001,0),MATCH(COLUMNS($P$1006:S1006),$P$1006:$S$1006,0)), HYPERLINK("#",""), HYPERLINK(CONCATENATE("#metadata!", ADDRESS(INDEX($K$2:$K$1001,MATCH(ROWS($I$2:I685),$I$2:$I$1001,0),0), INDEX($P$1004:$S$1004,1,MATCH(COLUMNS($P$1006:S1006),$P$1006:$S$1006,0)))),"Fix")))</f>
        <v>0</v>
      </c>
      <c r="I685">
        <v>0</v>
      </c>
      <c r="J685">
        <v>0</v>
      </c>
      <c r="K685">
        <v>0</v>
      </c>
      <c r="L685">
        <f>IF(M685,TRUE,AND(P685:S685))</f>
        <v>0</v>
      </c>
      <c r="M685">
        <f>COUNTBLANK(metadata!B685:E685)=COLUMNS(metadata!B685:E685)</f>
        <v>0</v>
      </c>
      <c r="N685">
        <v>0</v>
      </c>
      <c r="P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Q685">
        <f>AND(IF(metadata!C685="",FALSE,TRUE),exact(metadata!C685,"other"))</f>
        <v>0</v>
      </c>
      <c r="R685">
        <f>AND(IF(metadata!D685="",FALSE,TRUE),exact(metadata!D685,"metagenome"))</f>
        <v>0</v>
      </c>
      <c r="S685">
        <f>AND(IF(metadata!E685="",FALSE,TRUE),exact(metadata!E685,"256318"))</f>
        <v>0</v>
      </c>
    </row>
    <row r="686" spans="1:19">
      <c r="A686" s="4">
        <f>IF(B686=" "," ",HYPERLINK(CONCATENATE("#metadata!",ADDRESS(INDEX($K$2:$K$1001,MATCH(ROWS($I$2:I686),$I$2:$I$1001,0),0),1)),INDEX($N$2:$N$1001,MATCH(ROWS($I$2:I686),$I$2:$I$1001,0),0)))</f>
        <v>0</v>
      </c>
      <c r="B686" s="3">
        <f>IF(OR(INDEX($J$2:$J$1001,MATCH(ROWS($I$2:I686),$I$2:$I$1001,0),1)&gt;=100000,INDEX($P$1005:$S$1005,1,MATCH(COLUMNS($P$1006:P1006),$P$1006:$S$1006,0))&gt;=100000), " ",IF(INDEX($P$2:$S$1001,MATCH(ROWS($I$2:I686),$I$2:$I$1001,0),MATCH(COLUMNS($P$1006:P1006),$P$1006:$S$1006,0)), HYPERLINK("#",""), HYPERLINK(CONCATENATE("#metadata!", ADDRESS(INDEX($K$2:$K$1001,MATCH(ROWS($I$2:I686),$I$2:$I$1001,0),0), INDEX($P$1004:$S$1004,1,MATCH(COLUMNS($P$1006:P1006),$P$1006:$S$1006,0)))),"Fix")))</f>
        <v>0</v>
      </c>
      <c r="C686" s="3">
        <f>IF(OR(INDEX($J$2:$J$1001,MATCH(ROWS($I$2:I686),$I$2:$I$1001,0),1)&gt;=100000,INDEX($P$1005:$S$1005,1,MATCH(COLUMNS($P$1006:Q1006),$P$1006:$S$1006,0))&gt;=100000), " ",IF(INDEX($P$2:$S$1001,MATCH(ROWS($I$2:I686),$I$2:$I$1001,0),MATCH(COLUMNS($P$1006:Q1006),$P$1006:$S$1006,0)), HYPERLINK("#",""), HYPERLINK(CONCATENATE("#metadata!", ADDRESS(INDEX($K$2:$K$1001,MATCH(ROWS($I$2:I686),$I$2:$I$1001,0),0), INDEX($P$1004:$S$1004,1,MATCH(COLUMNS($P$1006:Q1006),$P$1006:$S$1006,0)))),"Fix")))</f>
        <v>0</v>
      </c>
      <c r="D686" s="3">
        <f>IF(OR(INDEX($J$2:$J$1001,MATCH(ROWS($I$2:I686),$I$2:$I$1001,0),1)&gt;=100000,INDEX($P$1005:$S$1005,1,MATCH(COLUMNS($P$1006:R1006),$P$1006:$S$1006,0))&gt;=100000), " ",IF(INDEX($P$2:$S$1001,MATCH(ROWS($I$2:I686),$I$2:$I$1001,0),MATCH(COLUMNS($P$1006:R1006),$P$1006:$S$1006,0)), HYPERLINK("#",""), HYPERLINK(CONCATENATE("#metadata!", ADDRESS(INDEX($K$2:$K$1001,MATCH(ROWS($I$2:I686),$I$2:$I$1001,0),0), INDEX($P$1004:$S$1004,1,MATCH(COLUMNS($P$1006:R1006),$P$1006:$S$1006,0)))),"Fix")))</f>
        <v>0</v>
      </c>
      <c r="E686" s="3">
        <f>IF(OR(INDEX($J$2:$J$1001,MATCH(ROWS($I$2:I686),$I$2:$I$1001,0),1)&gt;=100000,INDEX($P$1005:$S$1005,1,MATCH(COLUMNS($P$1006:S1006),$P$1006:$S$1006,0))&gt;=100000), " ",IF(INDEX($P$2:$S$1001,MATCH(ROWS($I$2:I686),$I$2:$I$1001,0),MATCH(COLUMNS($P$1006:S1006),$P$1006:$S$1006,0)), HYPERLINK("#",""), HYPERLINK(CONCATENATE("#metadata!", ADDRESS(INDEX($K$2:$K$1001,MATCH(ROWS($I$2:I686),$I$2:$I$1001,0),0), INDEX($P$1004:$S$1004,1,MATCH(COLUMNS($P$1006:S1006),$P$1006:$S$1006,0)))),"Fix")))</f>
        <v>0</v>
      </c>
      <c r="I686">
        <v>0</v>
      </c>
      <c r="J686">
        <v>0</v>
      </c>
      <c r="K686">
        <v>0</v>
      </c>
      <c r="L686">
        <f>IF(M686,TRUE,AND(P686:S686))</f>
        <v>0</v>
      </c>
      <c r="M686">
        <f>COUNTBLANK(metadata!B686:E686)=COLUMNS(metadata!B686:E686)</f>
        <v>0</v>
      </c>
      <c r="N686">
        <v>0</v>
      </c>
      <c r="P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Q686">
        <f>AND(IF(metadata!C686="",FALSE,TRUE),exact(metadata!C686,"other"))</f>
        <v>0</v>
      </c>
      <c r="R686">
        <f>AND(IF(metadata!D686="",FALSE,TRUE),exact(metadata!D686,"metagenome"))</f>
        <v>0</v>
      </c>
      <c r="S686">
        <f>AND(IF(metadata!E686="",FALSE,TRUE),exact(metadata!E686,"256318"))</f>
        <v>0</v>
      </c>
    </row>
    <row r="687" spans="1:19">
      <c r="A687" s="4">
        <f>IF(B687=" "," ",HYPERLINK(CONCATENATE("#metadata!",ADDRESS(INDEX($K$2:$K$1001,MATCH(ROWS($I$2:I687),$I$2:$I$1001,0),0),1)),INDEX($N$2:$N$1001,MATCH(ROWS($I$2:I687),$I$2:$I$1001,0),0)))</f>
        <v>0</v>
      </c>
      <c r="B687" s="3">
        <f>IF(OR(INDEX($J$2:$J$1001,MATCH(ROWS($I$2:I687),$I$2:$I$1001,0),1)&gt;=100000,INDEX($P$1005:$S$1005,1,MATCH(COLUMNS($P$1006:P1006),$P$1006:$S$1006,0))&gt;=100000), " ",IF(INDEX($P$2:$S$1001,MATCH(ROWS($I$2:I687),$I$2:$I$1001,0),MATCH(COLUMNS($P$1006:P1006),$P$1006:$S$1006,0)), HYPERLINK("#",""), HYPERLINK(CONCATENATE("#metadata!", ADDRESS(INDEX($K$2:$K$1001,MATCH(ROWS($I$2:I687),$I$2:$I$1001,0),0), INDEX($P$1004:$S$1004,1,MATCH(COLUMNS($P$1006:P1006),$P$1006:$S$1006,0)))),"Fix")))</f>
        <v>0</v>
      </c>
      <c r="C687" s="3">
        <f>IF(OR(INDEX($J$2:$J$1001,MATCH(ROWS($I$2:I687),$I$2:$I$1001,0),1)&gt;=100000,INDEX($P$1005:$S$1005,1,MATCH(COLUMNS($P$1006:Q1006),$P$1006:$S$1006,0))&gt;=100000), " ",IF(INDEX($P$2:$S$1001,MATCH(ROWS($I$2:I687),$I$2:$I$1001,0),MATCH(COLUMNS($P$1006:Q1006),$P$1006:$S$1006,0)), HYPERLINK("#",""), HYPERLINK(CONCATENATE("#metadata!", ADDRESS(INDEX($K$2:$K$1001,MATCH(ROWS($I$2:I687),$I$2:$I$1001,0),0), INDEX($P$1004:$S$1004,1,MATCH(COLUMNS($P$1006:Q1006),$P$1006:$S$1006,0)))),"Fix")))</f>
        <v>0</v>
      </c>
      <c r="D687" s="3">
        <f>IF(OR(INDEX($J$2:$J$1001,MATCH(ROWS($I$2:I687),$I$2:$I$1001,0),1)&gt;=100000,INDEX($P$1005:$S$1005,1,MATCH(COLUMNS($P$1006:R1006),$P$1006:$S$1006,0))&gt;=100000), " ",IF(INDEX($P$2:$S$1001,MATCH(ROWS($I$2:I687),$I$2:$I$1001,0),MATCH(COLUMNS($P$1006:R1006),$P$1006:$S$1006,0)), HYPERLINK("#",""), HYPERLINK(CONCATENATE("#metadata!", ADDRESS(INDEX($K$2:$K$1001,MATCH(ROWS($I$2:I687),$I$2:$I$1001,0),0), INDEX($P$1004:$S$1004,1,MATCH(COLUMNS($P$1006:R1006),$P$1006:$S$1006,0)))),"Fix")))</f>
        <v>0</v>
      </c>
      <c r="E687" s="3">
        <f>IF(OR(INDEX($J$2:$J$1001,MATCH(ROWS($I$2:I687),$I$2:$I$1001,0),1)&gt;=100000,INDEX($P$1005:$S$1005,1,MATCH(COLUMNS($P$1006:S1006),$P$1006:$S$1006,0))&gt;=100000), " ",IF(INDEX($P$2:$S$1001,MATCH(ROWS($I$2:I687),$I$2:$I$1001,0),MATCH(COLUMNS($P$1006:S1006),$P$1006:$S$1006,0)), HYPERLINK("#",""), HYPERLINK(CONCATENATE("#metadata!", ADDRESS(INDEX($K$2:$K$1001,MATCH(ROWS($I$2:I687),$I$2:$I$1001,0),0), INDEX($P$1004:$S$1004,1,MATCH(COLUMNS($P$1006:S1006),$P$1006:$S$1006,0)))),"Fix")))</f>
        <v>0</v>
      </c>
      <c r="I687">
        <v>0</v>
      </c>
      <c r="J687">
        <v>0</v>
      </c>
      <c r="K687">
        <v>0</v>
      </c>
      <c r="L687">
        <f>IF(M687,TRUE,AND(P687:S687))</f>
        <v>0</v>
      </c>
      <c r="M687">
        <f>COUNTBLANK(metadata!B687:E687)=COLUMNS(metadata!B687:E687)</f>
        <v>0</v>
      </c>
      <c r="N687">
        <v>0</v>
      </c>
      <c r="P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Q687">
        <f>AND(IF(metadata!C687="",FALSE,TRUE),exact(metadata!C687,"other"))</f>
        <v>0</v>
      </c>
      <c r="R687">
        <f>AND(IF(metadata!D687="",FALSE,TRUE),exact(metadata!D687,"metagenome"))</f>
        <v>0</v>
      </c>
      <c r="S687">
        <f>AND(IF(metadata!E687="",FALSE,TRUE),exact(metadata!E687,"256318"))</f>
        <v>0</v>
      </c>
    </row>
    <row r="688" spans="1:19">
      <c r="A688" s="4">
        <f>IF(B688=" "," ",HYPERLINK(CONCATENATE("#metadata!",ADDRESS(INDEX($K$2:$K$1001,MATCH(ROWS($I$2:I688),$I$2:$I$1001,0),0),1)),INDEX($N$2:$N$1001,MATCH(ROWS($I$2:I688),$I$2:$I$1001,0),0)))</f>
        <v>0</v>
      </c>
      <c r="B688" s="3">
        <f>IF(OR(INDEX($J$2:$J$1001,MATCH(ROWS($I$2:I688),$I$2:$I$1001,0),1)&gt;=100000,INDEX($P$1005:$S$1005,1,MATCH(COLUMNS($P$1006:P1006),$P$1006:$S$1006,0))&gt;=100000), " ",IF(INDEX($P$2:$S$1001,MATCH(ROWS($I$2:I688),$I$2:$I$1001,0),MATCH(COLUMNS($P$1006:P1006),$P$1006:$S$1006,0)), HYPERLINK("#",""), HYPERLINK(CONCATENATE("#metadata!", ADDRESS(INDEX($K$2:$K$1001,MATCH(ROWS($I$2:I688),$I$2:$I$1001,0),0), INDEX($P$1004:$S$1004,1,MATCH(COLUMNS($P$1006:P1006),$P$1006:$S$1006,0)))),"Fix")))</f>
        <v>0</v>
      </c>
      <c r="C688" s="3">
        <f>IF(OR(INDEX($J$2:$J$1001,MATCH(ROWS($I$2:I688),$I$2:$I$1001,0),1)&gt;=100000,INDEX($P$1005:$S$1005,1,MATCH(COLUMNS($P$1006:Q1006),$P$1006:$S$1006,0))&gt;=100000), " ",IF(INDEX($P$2:$S$1001,MATCH(ROWS($I$2:I688),$I$2:$I$1001,0),MATCH(COLUMNS($P$1006:Q1006),$P$1006:$S$1006,0)), HYPERLINK("#",""), HYPERLINK(CONCATENATE("#metadata!", ADDRESS(INDEX($K$2:$K$1001,MATCH(ROWS($I$2:I688),$I$2:$I$1001,0),0), INDEX($P$1004:$S$1004,1,MATCH(COLUMNS($P$1006:Q1006),$P$1006:$S$1006,0)))),"Fix")))</f>
        <v>0</v>
      </c>
      <c r="D688" s="3">
        <f>IF(OR(INDEX($J$2:$J$1001,MATCH(ROWS($I$2:I688),$I$2:$I$1001,0),1)&gt;=100000,INDEX($P$1005:$S$1005,1,MATCH(COLUMNS($P$1006:R1006),$P$1006:$S$1006,0))&gt;=100000), " ",IF(INDEX($P$2:$S$1001,MATCH(ROWS($I$2:I688),$I$2:$I$1001,0),MATCH(COLUMNS($P$1006:R1006),$P$1006:$S$1006,0)), HYPERLINK("#",""), HYPERLINK(CONCATENATE("#metadata!", ADDRESS(INDEX($K$2:$K$1001,MATCH(ROWS($I$2:I688),$I$2:$I$1001,0),0), INDEX($P$1004:$S$1004,1,MATCH(COLUMNS($P$1006:R1006),$P$1006:$S$1006,0)))),"Fix")))</f>
        <v>0</v>
      </c>
      <c r="E688" s="3">
        <f>IF(OR(INDEX($J$2:$J$1001,MATCH(ROWS($I$2:I688),$I$2:$I$1001,0),1)&gt;=100000,INDEX($P$1005:$S$1005,1,MATCH(COLUMNS($P$1006:S1006),$P$1006:$S$1006,0))&gt;=100000), " ",IF(INDEX($P$2:$S$1001,MATCH(ROWS($I$2:I688),$I$2:$I$1001,0),MATCH(COLUMNS($P$1006:S1006),$P$1006:$S$1006,0)), HYPERLINK("#",""), HYPERLINK(CONCATENATE("#metadata!", ADDRESS(INDEX($K$2:$K$1001,MATCH(ROWS($I$2:I688),$I$2:$I$1001,0),0), INDEX($P$1004:$S$1004,1,MATCH(COLUMNS($P$1006:S1006),$P$1006:$S$1006,0)))),"Fix")))</f>
        <v>0</v>
      </c>
      <c r="I688">
        <v>0</v>
      </c>
      <c r="J688">
        <v>0</v>
      </c>
      <c r="K688">
        <v>0</v>
      </c>
      <c r="L688">
        <f>IF(M688,TRUE,AND(P688:S688))</f>
        <v>0</v>
      </c>
      <c r="M688">
        <f>COUNTBLANK(metadata!B688:E688)=COLUMNS(metadata!B688:E688)</f>
        <v>0</v>
      </c>
      <c r="N688">
        <v>0</v>
      </c>
      <c r="P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Q688">
        <f>AND(IF(metadata!C688="",FALSE,TRUE),exact(metadata!C688,"other"))</f>
        <v>0</v>
      </c>
      <c r="R688">
        <f>AND(IF(metadata!D688="",FALSE,TRUE),exact(metadata!D688,"metagenome"))</f>
        <v>0</v>
      </c>
      <c r="S688">
        <f>AND(IF(metadata!E688="",FALSE,TRUE),exact(metadata!E688,"256318"))</f>
        <v>0</v>
      </c>
    </row>
    <row r="689" spans="1:19">
      <c r="A689" s="4">
        <f>IF(B689=" "," ",HYPERLINK(CONCATENATE("#metadata!",ADDRESS(INDEX($K$2:$K$1001,MATCH(ROWS($I$2:I689),$I$2:$I$1001,0),0),1)),INDEX($N$2:$N$1001,MATCH(ROWS($I$2:I689),$I$2:$I$1001,0),0)))</f>
        <v>0</v>
      </c>
      <c r="B689" s="3">
        <f>IF(OR(INDEX($J$2:$J$1001,MATCH(ROWS($I$2:I689),$I$2:$I$1001,0),1)&gt;=100000,INDEX($P$1005:$S$1005,1,MATCH(COLUMNS($P$1006:P1006),$P$1006:$S$1006,0))&gt;=100000), " ",IF(INDEX($P$2:$S$1001,MATCH(ROWS($I$2:I689),$I$2:$I$1001,0),MATCH(COLUMNS($P$1006:P1006),$P$1006:$S$1006,0)), HYPERLINK("#",""), HYPERLINK(CONCATENATE("#metadata!", ADDRESS(INDEX($K$2:$K$1001,MATCH(ROWS($I$2:I689),$I$2:$I$1001,0),0), INDEX($P$1004:$S$1004,1,MATCH(COLUMNS($P$1006:P1006),$P$1006:$S$1006,0)))),"Fix")))</f>
        <v>0</v>
      </c>
      <c r="C689" s="3">
        <f>IF(OR(INDEX($J$2:$J$1001,MATCH(ROWS($I$2:I689),$I$2:$I$1001,0),1)&gt;=100000,INDEX($P$1005:$S$1005,1,MATCH(COLUMNS($P$1006:Q1006),$P$1006:$S$1006,0))&gt;=100000), " ",IF(INDEX($P$2:$S$1001,MATCH(ROWS($I$2:I689),$I$2:$I$1001,0),MATCH(COLUMNS($P$1006:Q1006),$P$1006:$S$1006,0)), HYPERLINK("#",""), HYPERLINK(CONCATENATE("#metadata!", ADDRESS(INDEX($K$2:$K$1001,MATCH(ROWS($I$2:I689),$I$2:$I$1001,0),0), INDEX($P$1004:$S$1004,1,MATCH(COLUMNS($P$1006:Q1006),$P$1006:$S$1006,0)))),"Fix")))</f>
        <v>0</v>
      </c>
      <c r="D689" s="3">
        <f>IF(OR(INDEX($J$2:$J$1001,MATCH(ROWS($I$2:I689),$I$2:$I$1001,0),1)&gt;=100000,INDEX($P$1005:$S$1005,1,MATCH(COLUMNS($P$1006:R1006),$P$1006:$S$1006,0))&gt;=100000), " ",IF(INDEX($P$2:$S$1001,MATCH(ROWS($I$2:I689),$I$2:$I$1001,0),MATCH(COLUMNS($P$1006:R1006),$P$1006:$S$1006,0)), HYPERLINK("#",""), HYPERLINK(CONCATENATE("#metadata!", ADDRESS(INDEX($K$2:$K$1001,MATCH(ROWS($I$2:I689),$I$2:$I$1001,0),0), INDEX($P$1004:$S$1004,1,MATCH(COLUMNS($P$1006:R1006),$P$1006:$S$1006,0)))),"Fix")))</f>
        <v>0</v>
      </c>
      <c r="E689" s="3">
        <f>IF(OR(INDEX($J$2:$J$1001,MATCH(ROWS($I$2:I689),$I$2:$I$1001,0),1)&gt;=100000,INDEX($P$1005:$S$1005,1,MATCH(COLUMNS($P$1006:S1006),$P$1006:$S$1006,0))&gt;=100000), " ",IF(INDEX($P$2:$S$1001,MATCH(ROWS($I$2:I689),$I$2:$I$1001,0),MATCH(COLUMNS($P$1006:S1006),$P$1006:$S$1006,0)), HYPERLINK("#",""), HYPERLINK(CONCATENATE("#metadata!", ADDRESS(INDEX($K$2:$K$1001,MATCH(ROWS($I$2:I689),$I$2:$I$1001,0),0), INDEX($P$1004:$S$1004,1,MATCH(COLUMNS($P$1006:S1006),$P$1006:$S$1006,0)))),"Fix")))</f>
        <v>0</v>
      </c>
      <c r="I689">
        <v>0</v>
      </c>
      <c r="J689">
        <v>0</v>
      </c>
      <c r="K689">
        <v>0</v>
      </c>
      <c r="L689">
        <f>IF(M689,TRUE,AND(P689:S689))</f>
        <v>0</v>
      </c>
      <c r="M689">
        <f>COUNTBLANK(metadata!B689:E689)=COLUMNS(metadata!B689:E689)</f>
        <v>0</v>
      </c>
      <c r="N689">
        <v>0</v>
      </c>
      <c r="P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Q689">
        <f>AND(IF(metadata!C689="",FALSE,TRUE),exact(metadata!C689,"other"))</f>
        <v>0</v>
      </c>
      <c r="R689">
        <f>AND(IF(metadata!D689="",FALSE,TRUE),exact(metadata!D689,"metagenome"))</f>
        <v>0</v>
      </c>
      <c r="S689">
        <f>AND(IF(metadata!E689="",FALSE,TRUE),exact(metadata!E689,"256318"))</f>
        <v>0</v>
      </c>
    </row>
    <row r="690" spans="1:19">
      <c r="A690" s="4">
        <f>IF(B690=" "," ",HYPERLINK(CONCATENATE("#metadata!",ADDRESS(INDEX($K$2:$K$1001,MATCH(ROWS($I$2:I690),$I$2:$I$1001,0),0),1)),INDEX($N$2:$N$1001,MATCH(ROWS($I$2:I690),$I$2:$I$1001,0),0)))</f>
        <v>0</v>
      </c>
      <c r="B690" s="3">
        <f>IF(OR(INDEX($J$2:$J$1001,MATCH(ROWS($I$2:I690),$I$2:$I$1001,0),1)&gt;=100000,INDEX($P$1005:$S$1005,1,MATCH(COLUMNS($P$1006:P1006),$P$1006:$S$1006,0))&gt;=100000), " ",IF(INDEX($P$2:$S$1001,MATCH(ROWS($I$2:I690),$I$2:$I$1001,0),MATCH(COLUMNS($P$1006:P1006),$P$1006:$S$1006,0)), HYPERLINK("#",""), HYPERLINK(CONCATENATE("#metadata!", ADDRESS(INDEX($K$2:$K$1001,MATCH(ROWS($I$2:I690),$I$2:$I$1001,0),0), INDEX($P$1004:$S$1004,1,MATCH(COLUMNS($P$1006:P1006),$P$1006:$S$1006,0)))),"Fix")))</f>
        <v>0</v>
      </c>
      <c r="C690" s="3">
        <f>IF(OR(INDEX($J$2:$J$1001,MATCH(ROWS($I$2:I690),$I$2:$I$1001,0),1)&gt;=100000,INDEX($P$1005:$S$1005,1,MATCH(COLUMNS($P$1006:Q1006),$P$1006:$S$1006,0))&gt;=100000), " ",IF(INDEX($P$2:$S$1001,MATCH(ROWS($I$2:I690),$I$2:$I$1001,0),MATCH(COLUMNS($P$1006:Q1006),$P$1006:$S$1006,0)), HYPERLINK("#",""), HYPERLINK(CONCATENATE("#metadata!", ADDRESS(INDEX($K$2:$K$1001,MATCH(ROWS($I$2:I690),$I$2:$I$1001,0),0), INDEX($P$1004:$S$1004,1,MATCH(COLUMNS($P$1006:Q1006),$P$1006:$S$1006,0)))),"Fix")))</f>
        <v>0</v>
      </c>
      <c r="D690" s="3">
        <f>IF(OR(INDEX($J$2:$J$1001,MATCH(ROWS($I$2:I690),$I$2:$I$1001,0),1)&gt;=100000,INDEX($P$1005:$S$1005,1,MATCH(COLUMNS($P$1006:R1006),$P$1006:$S$1006,0))&gt;=100000), " ",IF(INDEX($P$2:$S$1001,MATCH(ROWS($I$2:I690),$I$2:$I$1001,0),MATCH(COLUMNS($P$1006:R1006),$P$1006:$S$1006,0)), HYPERLINK("#",""), HYPERLINK(CONCATENATE("#metadata!", ADDRESS(INDEX($K$2:$K$1001,MATCH(ROWS($I$2:I690),$I$2:$I$1001,0),0), INDEX($P$1004:$S$1004,1,MATCH(COLUMNS($P$1006:R1006),$P$1006:$S$1006,0)))),"Fix")))</f>
        <v>0</v>
      </c>
      <c r="E690" s="3">
        <f>IF(OR(INDEX($J$2:$J$1001,MATCH(ROWS($I$2:I690),$I$2:$I$1001,0),1)&gt;=100000,INDEX($P$1005:$S$1005,1,MATCH(COLUMNS($P$1006:S1006),$P$1006:$S$1006,0))&gt;=100000), " ",IF(INDEX($P$2:$S$1001,MATCH(ROWS($I$2:I690),$I$2:$I$1001,0),MATCH(COLUMNS($P$1006:S1006),$P$1006:$S$1006,0)), HYPERLINK("#",""), HYPERLINK(CONCATENATE("#metadata!", ADDRESS(INDEX($K$2:$K$1001,MATCH(ROWS($I$2:I690),$I$2:$I$1001,0),0), INDEX($P$1004:$S$1004,1,MATCH(COLUMNS($P$1006:S1006),$P$1006:$S$1006,0)))),"Fix")))</f>
        <v>0</v>
      </c>
      <c r="I690">
        <v>0</v>
      </c>
      <c r="J690">
        <v>0</v>
      </c>
      <c r="K690">
        <v>0</v>
      </c>
      <c r="L690">
        <f>IF(M690,TRUE,AND(P690:S690))</f>
        <v>0</v>
      </c>
      <c r="M690">
        <f>COUNTBLANK(metadata!B690:E690)=COLUMNS(metadata!B690:E690)</f>
        <v>0</v>
      </c>
      <c r="N690">
        <v>0</v>
      </c>
      <c r="P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Q690">
        <f>AND(IF(metadata!C690="",FALSE,TRUE),exact(metadata!C690,"other"))</f>
        <v>0</v>
      </c>
      <c r="R690">
        <f>AND(IF(metadata!D690="",FALSE,TRUE),exact(metadata!D690,"metagenome"))</f>
        <v>0</v>
      </c>
      <c r="S690">
        <f>AND(IF(metadata!E690="",FALSE,TRUE),exact(metadata!E690,"256318"))</f>
        <v>0</v>
      </c>
    </row>
    <row r="691" spans="1:19">
      <c r="A691" s="4">
        <f>IF(B691=" "," ",HYPERLINK(CONCATENATE("#metadata!",ADDRESS(INDEX($K$2:$K$1001,MATCH(ROWS($I$2:I691),$I$2:$I$1001,0),0),1)),INDEX($N$2:$N$1001,MATCH(ROWS($I$2:I691),$I$2:$I$1001,0),0)))</f>
        <v>0</v>
      </c>
      <c r="B691" s="3">
        <f>IF(OR(INDEX($J$2:$J$1001,MATCH(ROWS($I$2:I691),$I$2:$I$1001,0),1)&gt;=100000,INDEX($P$1005:$S$1005,1,MATCH(COLUMNS($P$1006:P1006),$P$1006:$S$1006,0))&gt;=100000), " ",IF(INDEX($P$2:$S$1001,MATCH(ROWS($I$2:I691),$I$2:$I$1001,0),MATCH(COLUMNS($P$1006:P1006),$P$1006:$S$1006,0)), HYPERLINK("#",""), HYPERLINK(CONCATENATE("#metadata!", ADDRESS(INDEX($K$2:$K$1001,MATCH(ROWS($I$2:I691),$I$2:$I$1001,0),0), INDEX($P$1004:$S$1004,1,MATCH(COLUMNS($P$1006:P1006),$P$1006:$S$1006,0)))),"Fix")))</f>
        <v>0</v>
      </c>
      <c r="C691" s="3">
        <f>IF(OR(INDEX($J$2:$J$1001,MATCH(ROWS($I$2:I691),$I$2:$I$1001,0),1)&gt;=100000,INDEX($P$1005:$S$1005,1,MATCH(COLUMNS($P$1006:Q1006),$P$1006:$S$1006,0))&gt;=100000), " ",IF(INDEX($P$2:$S$1001,MATCH(ROWS($I$2:I691),$I$2:$I$1001,0),MATCH(COLUMNS($P$1006:Q1006),$P$1006:$S$1006,0)), HYPERLINK("#",""), HYPERLINK(CONCATENATE("#metadata!", ADDRESS(INDEX($K$2:$K$1001,MATCH(ROWS($I$2:I691),$I$2:$I$1001,0),0), INDEX($P$1004:$S$1004,1,MATCH(COLUMNS($P$1006:Q1006),$P$1006:$S$1006,0)))),"Fix")))</f>
        <v>0</v>
      </c>
      <c r="D691" s="3">
        <f>IF(OR(INDEX($J$2:$J$1001,MATCH(ROWS($I$2:I691),$I$2:$I$1001,0),1)&gt;=100000,INDEX($P$1005:$S$1005,1,MATCH(COLUMNS($P$1006:R1006),$P$1006:$S$1006,0))&gt;=100000), " ",IF(INDEX($P$2:$S$1001,MATCH(ROWS($I$2:I691),$I$2:$I$1001,0),MATCH(COLUMNS($P$1006:R1006),$P$1006:$S$1006,0)), HYPERLINK("#",""), HYPERLINK(CONCATENATE("#metadata!", ADDRESS(INDEX($K$2:$K$1001,MATCH(ROWS($I$2:I691),$I$2:$I$1001,0),0), INDEX($P$1004:$S$1004,1,MATCH(COLUMNS($P$1006:R1006),$P$1006:$S$1006,0)))),"Fix")))</f>
        <v>0</v>
      </c>
      <c r="E691" s="3">
        <f>IF(OR(INDEX($J$2:$J$1001,MATCH(ROWS($I$2:I691),$I$2:$I$1001,0),1)&gt;=100000,INDEX($P$1005:$S$1005,1,MATCH(COLUMNS($P$1006:S1006),$P$1006:$S$1006,0))&gt;=100000), " ",IF(INDEX($P$2:$S$1001,MATCH(ROWS($I$2:I691),$I$2:$I$1001,0),MATCH(COLUMNS($P$1006:S1006),$P$1006:$S$1006,0)), HYPERLINK("#",""), HYPERLINK(CONCATENATE("#metadata!", ADDRESS(INDEX($K$2:$K$1001,MATCH(ROWS($I$2:I691),$I$2:$I$1001,0),0), INDEX($P$1004:$S$1004,1,MATCH(COLUMNS($P$1006:S1006),$P$1006:$S$1006,0)))),"Fix")))</f>
        <v>0</v>
      </c>
      <c r="I691">
        <v>0</v>
      </c>
      <c r="J691">
        <v>0</v>
      </c>
      <c r="K691">
        <v>0</v>
      </c>
      <c r="L691">
        <f>IF(M691,TRUE,AND(P691:S691))</f>
        <v>0</v>
      </c>
      <c r="M691">
        <f>COUNTBLANK(metadata!B691:E691)=COLUMNS(metadata!B691:E691)</f>
        <v>0</v>
      </c>
      <c r="N691">
        <v>0</v>
      </c>
      <c r="P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Q691">
        <f>AND(IF(metadata!C691="",FALSE,TRUE),exact(metadata!C691,"other"))</f>
        <v>0</v>
      </c>
      <c r="R691">
        <f>AND(IF(metadata!D691="",FALSE,TRUE),exact(metadata!D691,"metagenome"))</f>
        <v>0</v>
      </c>
      <c r="S691">
        <f>AND(IF(metadata!E691="",FALSE,TRUE),exact(metadata!E691,"256318"))</f>
        <v>0</v>
      </c>
    </row>
    <row r="692" spans="1:19">
      <c r="A692" s="4">
        <f>IF(B692=" "," ",HYPERLINK(CONCATENATE("#metadata!",ADDRESS(INDEX($K$2:$K$1001,MATCH(ROWS($I$2:I692),$I$2:$I$1001,0),0),1)),INDEX($N$2:$N$1001,MATCH(ROWS($I$2:I692),$I$2:$I$1001,0),0)))</f>
        <v>0</v>
      </c>
      <c r="B692" s="3">
        <f>IF(OR(INDEX($J$2:$J$1001,MATCH(ROWS($I$2:I692),$I$2:$I$1001,0),1)&gt;=100000,INDEX($P$1005:$S$1005,1,MATCH(COLUMNS($P$1006:P1006),$P$1006:$S$1006,0))&gt;=100000), " ",IF(INDEX($P$2:$S$1001,MATCH(ROWS($I$2:I692),$I$2:$I$1001,0),MATCH(COLUMNS($P$1006:P1006),$P$1006:$S$1006,0)), HYPERLINK("#",""), HYPERLINK(CONCATENATE("#metadata!", ADDRESS(INDEX($K$2:$K$1001,MATCH(ROWS($I$2:I692),$I$2:$I$1001,0),0), INDEX($P$1004:$S$1004,1,MATCH(COLUMNS($P$1006:P1006),$P$1006:$S$1006,0)))),"Fix")))</f>
        <v>0</v>
      </c>
      <c r="C692" s="3">
        <f>IF(OR(INDEX($J$2:$J$1001,MATCH(ROWS($I$2:I692),$I$2:$I$1001,0),1)&gt;=100000,INDEX($P$1005:$S$1005,1,MATCH(COLUMNS($P$1006:Q1006),$P$1006:$S$1006,0))&gt;=100000), " ",IF(INDEX($P$2:$S$1001,MATCH(ROWS($I$2:I692),$I$2:$I$1001,0),MATCH(COLUMNS($P$1006:Q1006),$P$1006:$S$1006,0)), HYPERLINK("#",""), HYPERLINK(CONCATENATE("#metadata!", ADDRESS(INDEX($K$2:$K$1001,MATCH(ROWS($I$2:I692),$I$2:$I$1001,0),0), INDEX($P$1004:$S$1004,1,MATCH(COLUMNS($P$1006:Q1006),$P$1006:$S$1006,0)))),"Fix")))</f>
        <v>0</v>
      </c>
      <c r="D692" s="3">
        <f>IF(OR(INDEX($J$2:$J$1001,MATCH(ROWS($I$2:I692),$I$2:$I$1001,0),1)&gt;=100000,INDEX($P$1005:$S$1005,1,MATCH(COLUMNS($P$1006:R1006),$P$1006:$S$1006,0))&gt;=100000), " ",IF(INDEX($P$2:$S$1001,MATCH(ROWS($I$2:I692),$I$2:$I$1001,0),MATCH(COLUMNS($P$1006:R1006),$P$1006:$S$1006,0)), HYPERLINK("#",""), HYPERLINK(CONCATENATE("#metadata!", ADDRESS(INDEX($K$2:$K$1001,MATCH(ROWS($I$2:I692),$I$2:$I$1001,0),0), INDEX($P$1004:$S$1004,1,MATCH(COLUMNS($P$1006:R1006),$P$1006:$S$1006,0)))),"Fix")))</f>
        <v>0</v>
      </c>
      <c r="E692" s="3">
        <f>IF(OR(INDEX($J$2:$J$1001,MATCH(ROWS($I$2:I692),$I$2:$I$1001,0),1)&gt;=100000,INDEX($P$1005:$S$1005,1,MATCH(COLUMNS($P$1006:S1006),$P$1006:$S$1006,0))&gt;=100000), " ",IF(INDEX($P$2:$S$1001,MATCH(ROWS($I$2:I692),$I$2:$I$1001,0),MATCH(COLUMNS($P$1006:S1006),$P$1006:$S$1006,0)), HYPERLINK("#",""), HYPERLINK(CONCATENATE("#metadata!", ADDRESS(INDEX($K$2:$K$1001,MATCH(ROWS($I$2:I692),$I$2:$I$1001,0),0), INDEX($P$1004:$S$1004,1,MATCH(COLUMNS($P$1006:S1006),$P$1006:$S$1006,0)))),"Fix")))</f>
        <v>0</v>
      </c>
      <c r="I692">
        <v>0</v>
      </c>
      <c r="J692">
        <v>0</v>
      </c>
      <c r="K692">
        <v>0</v>
      </c>
      <c r="L692">
        <f>IF(M692,TRUE,AND(P692:S692))</f>
        <v>0</v>
      </c>
      <c r="M692">
        <f>COUNTBLANK(metadata!B692:E692)=COLUMNS(metadata!B692:E692)</f>
        <v>0</v>
      </c>
      <c r="N692">
        <v>0</v>
      </c>
      <c r="P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Q692">
        <f>AND(IF(metadata!C692="",FALSE,TRUE),exact(metadata!C692,"other"))</f>
        <v>0</v>
      </c>
      <c r="R692">
        <f>AND(IF(metadata!D692="",FALSE,TRUE),exact(metadata!D692,"metagenome"))</f>
        <v>0</v>
      </c>
      <c r="S692">
        <f>AND(IF(metadata!E692="",FALSE,TRUE),exact(metadata!E692,"256318"))</f>
        <v>0</v>
      </c>
    </row>
    <row r="693" spans="1:19">
      <c r="A693" s="4">
        <f>IF(B693=" "," ",HYPERLINK(CONCATENATE("#metadata!",ADDRESS(INDEX($K$2:$K$1001,MATCH(ROWS($I$2:I693),$I$2:$I$1001,0),0),1)),INDEX($N$2:$N$1001,MATCH(ROWS($I$2:I693),$I$2:$I$1001,0),0)))</f>
        <v>0</v>
      </c>
      <c r="B693" s="3">
        <f>IF(OR(INDEX($J$2:$J$1001,MATCH(ROWS($I$2:I693),$I$2:$I$1001,0),1)&gt;=100000,INDEX($P$1005:$S$1005,1,MATCH(COLUMNS($P$1006:P1006),$P$1006:$S$1006,0))&gt;=100000), " ",IF(INDEX($P$2:$S$1001,MATCH(ROWS($I$2:I693),$I$2:$I$1001,0),MATCH(COLUMNS($P$1006:P1006),$P$1006:$S$1006,0)), HYPERLINK("#",""), HYPERLINK(CONCATENATE("#metadata!", ADDRESS(INDEX($K$2:$K$1001,MATCH(ROWS($I$2:I693),$I$2:$I$1001,0),0), INDEX($P$1004:$S$1004,1,MATCH(COLUMNS($P$1006:P1006),$P$1006:$S$1006,0)))),"Fix")))</f>
        <v>0</v>
      </c>
      <c r="C693" s="3">
        <f>IF(OR(INDEX($J$2:$J$1001,MATCH(ROWS($I$2:I693),$I$2:$I$1001,0),1)&gt;=100000,INDEX($P$1005:$S$1005,1,MATCH(COLUMNS($P$1006:Q1006),$P$1006:$S$1006,0))&gt;=100000), " ",IF(INDEX($P$2:$S$1001,MATCH(ROWS($I$2:I693),$I$2:$I$1001,0),MATCH(COLUMNS($P$1006:Q1006),$P$1006:$S$1006,0)), HYPERLINK("#",""), HYPERLINK(CONCATENATE("#metadata!", ADDRESS(INDEX($K$2:$K$1001,MATCH(ROWS($I$2:I693),$I$2:$I$1001,0),0), INDEX($P$1004:$S$1004,1,MATCH(COLUMNS($P$1006:Q1006),$P$1006:$S$1006,0)))),"Fix")))</f>
        <v>0</v>
      </c>
      <c r="D693" s="3">
        <f>IF(OR(INDEX($J$2:$J$1001,MATCH(ROWS($I$2:I693),$I$2:$I$1001,0),1)&gt;=100000,INDEX($P$1005:$S$1005,1,MATCH(COLUMNS($P$1006:R1006),$P$1006:$S$1006,0))&gt;=100000), " ",IF(INDEX($P$2:$S$1001,MATCH(ROWS($I$2:I693),$I$2:$I$1001,0),MATCH(COLUMNS($P$1006:R1006),$P$1006:$S$1006,0)), HYPERLINK("#",""), HYPERLINK(CONCATENATE("#metadata!", ADDRESS(INDEX($K$2:$K$1001,MATCH(ROWS($I$2:I693),$I$2:$I$1001,0),0), INDEX($P$1004:$S$1004,1,MATCH(COLUMNS($P$1006:R1006),$P$1006:$S$1006,0)))),"Fix")))</f>
        <v>0</v>
      </c>
      <c r="E693" s="3">
        <f>IF(OR(INDEX($J$2:$J$1001,MATCH(ROWS($I$2:I693),$I$2:$I$1001,0),1)&gt;=100000,INDEX($P$1005:$S$1005,1,MATCH(COLUMNS($P$1006:S1006),$P$1006:$S$1006,0))&gt;=100000), " ",IF(INDEX($P$2:$S$1001,MATCH(ROWS($I$2:I693),$I$2:$I$1001,0),MATCH(COLUMNS($P$1006:S1006),$P$1006:$S$1006,0)), HYPERLINK("#",""), HYPERLINK(CONCATENATE("#metadata!", ADDRESS(INDEX($K$2:$K$1001,MATCH(ROWS($I$2:I693),$I$2:$I$1001,0),0), INDEX($P$1004:$S$1004,1,MATCH(COLUMNS($P$1006:S1006),$P$1006:$S$1006,0)))),"Fix")))</f>
        <v>0</v>
      </c>
      <c r="I693">
        <v>0</v>
      </c>
      <c r="J693">
        <v>0</v>
      </c>
      <c r="K693">
        <v>0</v>
      </c>
      <c r="L693">
        <f>IF(M693,TRUE,AND(P693:S693))</f>
        <v>0</v>
      </c>
      <c r="M693">
        <f>COUNTBLANK(metadata!B693:E693)=COLUMNS(metadata!B693:E693)</f>
        <v>0</v>
      </c>
      <c r="N693">
        <v>0</v>
      </c>
      <c r="P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Q693">
        <f>AND(IF(metadata!C693="",FALSE,TRUE),exact(metadata!C693,"other"))</f>
        <v>0</v>
      </c>
      <c r="R693">
        <f>AND(IF(metadata!D693="",FALSE,TRUE),exact(metadata!D693,"metagenome"))</f>
        <v>0</v>
      </c>
      <c r="S693">
        <f>AND(IF(metadata!E693="",FALSE,TRUE),exact(metadata!E693,"256318"))</f>
        <v>0</v>
      </c>
    </row>
    <row r="694" spans="1:19">
      <c r="A694" s="4">
        <f>IF(B694=" "," ",HYPERLINK(CONCATENATE("#metadata!",ADDRESS(INDEX($K$2:$K$1001,MATCH(ROWS($I$2:I694),$I$2:$I$1001,0),0),1)),INDEX($N$2:$N$1001,MATCH(ROWS($I$2:I694),$I$2:$I$1001,0),0)))</f>
        <v>0</v>
      </c>
      <c r="B694" s="3">
        <f>IF(OR(INDEX($J$2:$J$1001,MATCH(ROWS($I$2:I694),$I$2:$I$1001,0),1)&gt;=100000,INDEX($P$1005:$S$1005,1,MATCH(COLUMNS($P$1006:P1006),$P$1006:$S$1006,0))&gt;=100000), " ",IF(INDEX($P$2:$S$1001,MATCH(ROWS($I$2:I694),$I$2:$I$1001,0),MATCH(COLUMNS($P$1006:P1006),$P$1006:$S$1006,0)), HYPERLINK("#",""), HYPERLINK(CONCATENATE("#metadata!", ADDRESS(INDEX($K$2:$K$1001,MATCH(ROWS($I$2:I694),$I$2:$I$1001,0),0), INDEX($P$1004:$S$1004,1,MATCH(COLUMNS($P$1006:P1006),$P$1006:$S$1006,0)))),"Fix")))</f>
        <v>0</v>
      </c>
      <c r="C694" s="3">
        <f>IF(OR(INDEX($J$2:$J$1001,MATCH(ROWS($I$2:I694),$I$2:$I$1001,0),1)&gt;=100000,INDEX($P$1005:$S$1005,1,MATCH(COLUMNS($P$1006:Q1006),$P$1006:$S$1006,0))&gt;=100000), " ",IF(INDEX($P$2:$S$1001,MATCH(ROWS($I$2:I694),$I$2:$I$1001,0),MATCH(COLUMNS($P$1006:Q1006),$P$1006:$S$1006,0)), HYPERLINK("#",""), HYPERLINK(CONCATENATE("#metadata!", ADDRESS(INDEX($K$2:$K$1001,MATCH(ROWS($I$2:I694),$I$2:$I$1001,0),0), INDEX($P$1004:$S$1004,1,MATCH(COLUMNS($P$1006:Q1006),$P$1006:$S$1006,0)))),"Fix")))</f>
        <v>0</v>
      </c>
      <c r="D694" s="3">
        <f>IF(OR(INDEX($J$2:$J$1001,MATCH(ROWS($I$2:I694),$I$2:$I$1001,0),1)&gt;=100000,INDEX($P$1005:$S$1005,1,MATCH(COLUMNS($P$1006:R1006),$P$1006:$S$1006,0))&gt;=100000), " ",IF(INDEX($P$2:$S$1001,MATCH(ROWS($I$2:I694),$I$2:$I$1001,0),MATCH(COLUMNS($P$1006:R1006),$P$1006:$S$1006,0)), HYPERLINK("#",""), HYPERLINK(CONCATENATE("#metadata!", ADDRESS(INDEX($K$2:$K$1001,MATCH(ROWS($I$2:I694),$I$2:$I$1001,0),0), INDEX($P$1004:$S$1004,1,MATCH(COLUMNS($P$1006:R1006),$P$1006:$S$1006,0)))),"Fix")))</f>
        <v>0</v>
      </c>
      <c r="E694" s="3">
        <f>IF(OR(INDEX($J$2:$J$1001,MATCH(ROWS($I$2:I694),$I$2:$I$1001,0),1)&gt;=100000,INDEX($P$1005:$S$1005,1,MATCH(COLUMNS($P$1006:S1006),$P$1006:$S$1006,0))&gt;=100000), " ",IF(INDEX($P$2:$S$1001,MATCH(ROWS($I$2:I694),$I$2:$I$1001,0),MATCH(COLUMNS($P$1006:S1006),$P$1006:$S$1006,0)), HYPERLINK("#",""), HYPERLINK(CONCATENATE("#metadata!", ADDRESS(INDEX($K$2:$K$1001,MATCH(ROWS($I$2:I694),$I$2:$I$1001,0),0), INDEX($P$1004:$S$1004,1,MATCH(COLUMNS($P$1006:S1006),$P$1006:$S$1006,0)))),"Fix")))</f>
        <v>0</v>
      </c>
      <c r="I694">
        <v>0</v>
      </c>
      <c r="J694">
        <v>0</v>
      </c>
      <c r="K694">
        <v>0</v>
      </c>
      <c r="L694">
        <f>IF(M694,TRUE,AND(P694:S694))</f>
        <v>0</v>
      </c>
      <c r="M694">
        <f>COUNTBLANK(metadata!B694:E694)=COLUMNS(metadata!B694:E694)</f>
        <v>0</v>
      </c>
      <c r="N694">
        <v>0</v>
      </c>
      <c r="P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Q694">
        <f>AND(IF(metadata!C694="",FALSE,TRUE),exact(metadata!C694,"other"))</f>
        <v>0</v>
      </c>
      <c r="R694">
        <f>AND(IF(metadata!D694="",FALSE,TRUE),exact(metadata!D694,"metagenome"))</f>
        <v>0</v>
      </c>
      <c r="S694">
        <f>AND(IF(metadata!E694="",FALSE,TRUE),exact(metadata!E694,"256318"))</f>
        <v>0</v>
      </c>
    </row>
    <row r="695" spans="1:19">
      <c r="A695" s="4">
        <f>IF(B695=" "," ",HYPERLINK(CONCATENATE("#metadata!",ADDRESS(INDEX($K$2:$K$1001,MATCH(ROWS($I$2:I695),$I$2:$I$1001,0),0),1)),INDEX($N$2:$N$1001,MATCH(ROWS($I$2:I695),$I$2:$I$1001,0),0)))</f>
        <v>0</v>
      </c>
      <c r="B695" s="3">
        <f>IF(OR(INDEX($J$2:$J$1001,MATCH(ROWS($I$2:I695),$I$2:$I$1001,0),1)&gt;=100000,INDEX($P$1005:$S$1005,1,MATCH(COLUMNS($P$1006:P1006),$P$1006:$S$1006,0))&gt;=100000), " ",IF(INDEX($P$2:$S$1001,MATCH(ROWS($I$2:I695),$I$2:$I$1001,0),MATCH(COLUMNS($P$1006:P1006),$P$1006:$S$1006,0)), HYPERLINK("#",""), HYPERLINK(CONCATENATE("#metadata!", ADDRESS(INDEX($K$2:$K$1001,MATCH(ROWS($I$2:I695),$I$2:$I$1001,0),0), INDEX($P$1004:$S$1004,1,MATCH(COLUMNS($P$1006:P1006),$P$1006:$S$1006,0)))),"Fix")))</f>
        <v>0</v>
      </c>
      <c r="C695" s="3">
        <f>IF(OR(INDEX($J$2:$J$1001,MATCH(ROWS($I$2:I695),$I$2:$I$1001,0),1)&gt;=100000,INDEX($P$1005:$S$1005,1,MATCH(COLUMNS($P$1006:Q1006),$P$1006:$S$1006,0))&gt;=100000), " ",IF(INDEX($P$2:$S$1001,MATCH(ROWS($I$2:I695),$I$2:$I$1001,0),MATCH(COLUMNS($P$1006:Q1006),$P$1006:$S$1006,0)), HYPERLINK("#",""), HYPERLINK(CONCATENATE("#metadata!", ADDRESS(INDEX($K$2:$K$1001,MATCH(ROWS($I$2:I695),$I$2:$I$1001,0),0), INDEX($P$1004:$S$1004,1,MATCH(COLUMNS($P$1006:Q1006),$P$1006:$S$1006,0)))),"Fix")))</f>
        <v>0</v>
      </c>
      <c r="D695" s="3">
        <f>IF(OR(INDEX($J$2:$J$1001,MATCH(ROWS($I$2:I695),$I$2:$I$1001,0),1)&gt;=100000,INDEX($P$1005:$S$1005,1,MATCH(COLUMNS($P$1006:R1006),$P$1006:$S$1006,0))&gt;=100000), " ",IF(INDEX($P$2:$S$1001,MATCH(ROWS($I$2:I695),$I$2:$I$1001,0),MATCH(COLUMNS($P$1006:R1006),$P$1006:$S$1006,0)), HYPERLINK("#",""), HYPERLINK(CONCATENATE("#metadata!", ADDRESS(INDEX($K$2:$K$1001,MATCH(ROWS($I$2:I695),$I$2:$I$1001,0),0), INDEX($P$1004:$S$1004,1,MATCH(COLUMNS($P$1006:R1006),$P$1006:$S$1006,0)))),"Fix")))</f>
        <v>0</v>
      </c>
      <c r="E695" s="3">
        <f>IF(OR(INDEX($J$2:$J$1001,MATCH(ROWS($I$2:I695),$I$2:$I$1001,0),1)&gt;=100000,INDEX($P$1005:$S$1005,1,MATCH(COLUMNS($P$1006:S1006),$P$1006:$S$1006,0))&gt;=100000), " ",IF(INDEX($P$2:$S$1001,MATCH(ROWS($I$2:I695),$I$2:$I$1001,0),MATCH(COLUMNS($P$1006:S1006),$P$1006:$S$1006,0)), HYPERLINK("#",""), HYPERLINK(CONCATENATE("#metadata!", ADDRESS(INDEX($K$2:$K$1001,MATCH(ROWS($I$2:I695),$I$2:$I$1001,0),0), INDEX($P$1004:$S$1004,1,MATCH(COLUMNS($P$1006:S1006),$P$1006:$S$1006,0)))),"Fix")))</f>
        <v>0</v>
      </c>
      <c r="I695">
        <v>0</v>
      </c>
      <c r="J695">
        <v>0</v>
      </c>
      <c r="K695">
        <v>0</v>
      </c>
      <c r="L695">
        <f>IF(M695,TRUE,AND(P695:S695))</f>
        <v>0</v>
      </c>
      <c r="M695">
        <f>COUNTBLANK(metadata!B695:E695)=COLUMNS(metadata!B695:E695)</f>
        <v>0</v>
      </c>
      <c r="N695">
        <v>0</v>
      </c>
      <c r="P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Q695">
        <f>AND(IF(metadata!C695="",FALSE,TRUE),exact(metadata!C695,"other"))</f>
        <v>0</v>
      </c>
      <c r="R695">
        <f>AND(IF(metadata!D695="",FALSE,TRUE),exact(metadata!D695,"metagenome"))</f>
        <v>0</v>
      </c>
      <c r="S695">
        <f>AND(IF(metadata!E695="",FALSE,TRUE),exact(metadata!E695,"256318"))</f>
        <v>0</v>
      </c>
    </row>
    <row r="696" spans="1:19">
      <c r="A696" s="4">
        <f>IF(B696=" "," ",HYPERLINK(CONCATENATE("#metadata!",ADDRESS(INDEX($K$2:$K$1001,MATCH(ROWS($I$2:I696),$I$2:$I$1001,0),0),1)),INDEX($N$2:$N$1001,MATCH(ROWS($I$2:I696),$I$2:$I$1001,0),0)))</f>
        <v>0</v>
      </c>
      <c r="B696" s="3">
        <f>IF(OR(INDEX($J$2:$J$1001,MATCH(ROWS($I$2:I696),$I$2:$I$1001,0),1)&gt;=100000,INDEX($P$1005:$S$1005,1,MATCH(COLUMNS($P$1006:P1006),$P$1006:$S$1006,0))&gt;=100000), " ",IF(INDEX($P$2:$S$1001,MATCH(ROWS($I$2:I696),$I$2:$I$1001,0),MATCH(COLUMNS($P$1006:P1006),$P$1006:$S$1006,0)), HYPERLINK("#",""), HYPERLINK(CONCATENATE("#metadata!", ADDRESS(INDEX($K$2:$K$1001,MATCH(ROWS($I$2:I696),$I$2:$I$1001,0),0), INDEX($P$1004:$S$1004,1,MATCH(COLUMNS($P$1006:P1006),$P$1006:$S$1006,0)))),"Fix")))</f>
        <v>0</v>
      </c>
      <c r="C696" s="3">
        <f>IF(OR(INDEX($J$2:$J$1001,MATCH(ROWS($I$2:I696),$I$2:$I$1001,0),1)&gt;=100000,INDEX($P$1005:$S$1005,1,MATCH(COLUMNS($P$1006:Q1006),$P$1006:$S$1006,0))&gt;=100000), " ",IF(INDEX($P$2:$S$1001,MATCH(ROWS($I$2:I696),$I$2:$I$1001,0),MATCH(COLUMNS($P$1006:Q1006),$P$1006:$S$1006,0)), HYPERLINK("#",""), HYPERLINK(CONCATENATE("#metadata!", ADDRESS(INDEX($K$2:$K$1001,MATCH(ROWS($I$2:I696),$I$2:$I$1001,0),0), INDEX($P$1004:$S$1004,1,MATCH(COLUMNS($P$1006:Q1006),$P$1006:$S$1006,0)))),"Fix")))</f>
        <v>0</v>
      </c>
      <c r="D696" s="3">
        <f>IF(OR(INDEX($J$2:$J$1001,MATCH(ROWS($I$2:I696),$I$2:$I$1001,0),1)&gt;=100000,INDEX($P$1005:$S$1005,1,MATCH(COLUMNS($P$1006:R1006),$P$1006:$S$1006,0))&gt;=100000), " ",IF(INDEX($P$2:$S$1001,MATCH(ROWS($I$2:I696),$I$2:$I$1001,0),MATCH(COLUMNS($P$1006:R1006),$P$1006:$S$1006,0)), HYPERLINK("#",""), HYPERLINK(CONCATENATE("#metadata!", ADDRESS(INDEX($K$2:$K$1001,MATCH(ROWS($I$2:I696),$I$2:$I$1001,0),0), INDEX($P$1004:$S$1004,1,MATCH(COLUMNS($P$1006:R1006),$P$1006:$S$1006,0)))),"Fix")))</f>
        <v>0</v>
      </c>
      <c r="E696" s="3">
        <f>IF(OR(INDEX($J$2:$J$1001,MATCH(ROWS($I$2:I696),$I$2:$I$1001,0),1)&gt;=100000,INDEX($P$1005:$S$1005,1,MATCH(COLUMNS($P$1006:S1006),$P$1006:$S$1006,0))&gt;=100000), " ",IF(INDEX($P$2:$S$1001,MATCH(ROWS($I$2:I696),$I$2:$I$1001,0),MATCH(COLUMNS($P$1006:S1006),$P$1006:$S$1006,0)), HYPERLINK("#",""), HYPERLINK(CONCATENATE("#metadata!", ADDRESS(INDEX($K$2:$K$1001,MATCH(ROWS($I$2:I696),$I$2:$I$1001,0),0), INDEX($P$1004:$S$1004,1,MATCH(COLUMNS($P$1006:S1006),$P$1006:$S$1006,0)))),"Fix")))</f>
        <v>0</v>
      </c>
      <c r="I696">
        <v>0</v>
      </c>
      <c r="J696">
        <v>0</v>
      </c>
      <c r="K696">
        <v>0</v>
      </c>
      <c r="L696">
        <f>IF(M696,TRUE,AND(P696:S696))</f>
        <v>0</v>
      </c>
      <c r="M696">
        <f>COUNTBLANK(metadata!B696:E696)=COLUMNS(metadata!B696:E696)</f>
        <v>0</v>
      </c>
      <c r="N696">
        <v>0</v>
      </c>
      <c r="P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Q696">
        <f>AND(IF(metadata!C696="",FALSE,TRUE),exact(metadata!C696,"other"))</f>
        <v>0</v>
      </c>
      <c r="R696">
        <f>AND(IF(metadata!D696="",FALSE,TRUE),exact(metadata!D696,"metagenome"))</f>
        <v>0</v>
      </c>
      <c r="S696">
        <f>AND(IF(metadata!E696="",FALSE,TRUE),exact(metadata!E696,"256318"))</f>
        <v>0</v>
      </c>
    </row>
    <row r="697" spans="1:19">
      <c r="A697" s="4">
        <f>IF(B697=" "," ",HYPERLINK(CONCATENATE("#metadata!",ADDRESS(INDEX($K$2:$K$1001,MATCH(ROWS($I$2:I697),$I$2:$I$1001,0),0),1)),INDEX($N$2:$N$1001,MATCH(ROWS($I$2:I697),$I$2:$I$1001,0),0)))</f>
        <v>0</v>
      </c>
      <c r="B697" s="3">
        <f>IF(OR(INDEX($J$2:$J$1001,MATCH(ROWS($I$2:I697),$I$2:$I$1001,0),1)&gt;=100000,INDEX($P$1005:$S$1005,1,MATCH(COLUMNS($P$1006:P1006),$P$1006:$S$1006,0))&gt;=100000), " ",IF(INDEX($P$2:$S$1001,MATCH(ROWS($I$2:I697),$I$2:$I$1001,0),MATCH(COLUMNS($P$1006:P1006),$P$1006:$S$1006,0)), HYPERLINK("#",""), HYPERLINK(CONCATENATE("#metadata!", ADDRESS(INDEX($K$2:$K$1001,MATCH(ROWS($I$2:I697),$I$2:$I$1001,0),0), INDEX($P$1004:$S$1004,1,MATCH(COLUMNS($P$1006:P1006),$P$1006:$S$1006,0)))),"Fix")))</f>
        <v>0</v>
      </c>
      <c r="C697" s="3">
        <f>IF(OR(INDEX($J$2:$J$1001,MATCH(ROWS($I$2:I697),$I$2:$I$1001,0),1)&gt;=100000,INDEX($P$1005:$S$1005,1,MATCH(COLUMNS($P$1006:Q1006),$P$1006:$S$1006,0))&gt;=100000), " ",IF(INDEX($P$2:$S$1001,MATCH(ROWS($I$2:I697),$I$2:$I$1001,0),MATCH(COLUMNS($P$1006:Q1006),$P$1006:$S$1006,0)), HYPERLINK("#",""), HYPERLINK(CONCATENATE("#metadata!", ADDRESS(INDEX($K$2:$K$1001,MATCH(ROWS($I$2:I697),$I$2:$I$1001,0),0), INDEX($P$1004:$S$1004,1,MATCH(COLUMNS($P$1006:Q1006),$P$1006:$S$1006,0)))),"Fix")))</f>
        <v>0</v>
      </c>
      <c r="D697" s="3">
        <f>IF(OR(INDEX($J$2:$J$1001,MATCH(ROWS($I$2:I697),$I$2:$I$1001,0),1)&gt;=100000,INDEX($P$1005:$S$1005,1,MATCH(COLUMNS($P$1006:R1006),$P$1006:$S$1006,0))&gt;=100000), " ",IF(INDEX($P$2:$S$1001,MATCH(ROWS($I$2:I697),$I$2:$I$1001,0),MATCH(COLUMNS($P$1006:R1006),$P$1006:$S$1006,0)), HYPERLINK("#",""), HYPERLINK(CONCATENATE("#metadata!", ADDRESS(INDEX($K$2:$K$1001,MATCH(ROWS($I$2:I697),$I$2:$I$1001,0),0), INDEX($P$1004:$S$1004,1,MATCH(COLUMNS($P$1006:R1006),$P$1006:$S$1006,0)))),"Fix")))</f>
        <v>0</v>
      </c>
      <c r="E697" s="3">
        <f>IF(OR(INDEX($J$2:$J$1001,MATCH(ROWS($I$2:I697),$I$2:$I$1001,0),1)&gt;=100000,INDEX($P$1005:$S$1005,1,MATCH(COLUMNS($P$1006:S1006),$P$1006:$S$1006,0))&gt;=100000), " ",IF(INDEX($P$2:$S$1001,MATCH(ROWS($I$2:I697),$I$2:$I$1001,0),MATCH(COLUMNS($P$1006:S1006),$P$1006:$S$1006,0)), HYPERLINK("#",""), HYPERLINK(CONCATENATE("#metadata!", ADDRESS(INDEX($K$2:$K$1001,MATCH(ROWS($I$2:I697),$I$2:$I$1001,0),0), INDEX($P$1004:$S$1004,1,MATCH(COLUMNS($P$1006:S1006),$P$1006:$S$1006,0)))),"Fix")))</f>
        <v>0</v>
      </c>
      <c r="I697">
        <v>0</v>
      </c>
      <c r="J697">
        <v>0</v>
      </c>
      <c r="K697">
        <v>0</v>
      </c>
      <c r="L697">
        <f>IF(M697,TRUE,AND(P697:S697))</f>
        <v>0</v>
      </c>
      <c r="M697">
        <f>COUNTBLANK(metadata!B697:E697)=COLUMNS(metadata!B697:E697)</f>
        <v>0</v>
      </c>
      <c r="N697">
        <v>0</v>
      </c>
      <c r="P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Q697">
        <f>AND(IF(metadata!C697="",FALSE,TRUE),exact(metadata!C697,"other"))</f>
        <v>0</v>
      </c>
      <c r="R697">
        <f>AND(IF(metadata!D697="",FALSE,TRUE),exact(metadata!D697,"metagenome"))</f>
        <v>0</v>
      </c>
      <c r="S697">
        <f>AND(IF(metadata!E697="",FALSE,TRUE),exact(metadata!E697,"256318"))</f>
        <v>0</v>
      </c>
    </row>
    <row r="698" spans="1:19">
      <c r="A698" s="4">
        <f>IF(B698=" "," ",HYPERLINK(CONCATENATE("#metadata!",ADDRESS(INDEX($K$2:$K$1001,MATCH(ROWS($I$2:I698),$I$2:$I$1001,0),0),1)),INDEX($N$2:$N$1001,MATCH(ROWS($I$2:I698),$I$2:$I$1001,0),0)))</f>
        <v>0</v>
      </c>
      <c r="B698" s="3">
        <f>IF(OR(INDEX($J$2:$J$1001,MATCH(ROWS($I$2:I698),$I$2:$I$1001,0),1)&gt;=100000,INDEX($P$1005:$S$1005,1,MATCH(COLUMNS($P$1006:P1006),$P$1006:$S$1006,0))&gt;=100000), " ",IF(INDEX($P$2:$S$1001,MATCH(ROWS($I$2:I698),$I$2:$I$1001,0),MATCH(COLUMNS($P$1006:P1006),$P$1006:$S$1006,0)), HYPERLINK("#",""), HYPERLINK(CONCATENATE("#metadata!", ADDRESS(INDEX($K$2:$K$1001,MATCH(ROWS($I$2:I698),$I$2:$I$1001,0),0), INDEX($P$1004:$S$1004,1,MATCH(COLUMNS($P$1006:P1006),$P$1006:$S$1006,0)))),"Fix")))</f>
        <v>0</v>
      </c>
      <c r="C698" s="3">
        <f>IF(OR(INDEX($J$2:$J$1001,MATCH(ROWS($I$2:I698),$I$2:$I$1001,0),1)&gt;=100000,INDEX($P$1005:$S$1005,1,MATCH(COLUMNS($P$1006:Q1006),$P$1006:$S$1006,0))&gt;=100000), " ",IF(INDEX($P$2:$S$1001,MATCH(ROWS($I$2:I698),$I$2:$I$1001,0),MATCH(COLUMNS($P$1006:Q1006),$P$1006:$S$1006,0)), HYPERLINK("#",""), HYPERLINK(CONCATENATE("#metadata!", ADDRESS(INDEX($K$2:$K$1001,MATCH(ROWS($I$2:I698),$I$2:$I$1001,0),0), INDEX($P$1004:$S$1004,1,MATCH(COLUMNS($P$1006:Q1006),$P$1006:$S$1006,0)))),"Fix")))</f>
        <v>0</v>
      </c>
      <c r="D698" s="3">
        <f>IF(OR(INDEX($J$2:$J$1001,MATCH(ROWS($I$2:I698),$I$2:$I$1001,0),1)&gt;=100000,INDEX($P$1005:$S$1005,1,MATCH(COLUMNS($P$1006:R1006),$P$1006:$S$1006,0))&gt;=100000), " ",IF(INDEX($P$2:$S$1001,MATCH(ROWS($I$2:I698),$I$2:$I$1001,0),MATCH(COLUMNS($P$1006:R1006),$P$1006:$S$1006,0)), HYPERLINK("#",""), HYPERLINK(CONCATENATE("#metadata!", ADDRESS(INDEX($K$2:$K$1001,MATCH(ROWS($I$2:I698),$I$2:$I$1001,0),0), INDEX($P$1004:$S$1004,1,MATCH(COLUMNS($P$1006:R1006),$P$1006:$S$1006,0)))),"Fix")))</f>
        <v>0</v>
      </c>
      <c r="E698" s="3">
        <f>IF(OR(INDEX($J$2:$J$1001,MATCH(ROWS($I$2:I698),$I$2:$I$1001,0),1)&gt;=100000,INDEX($P$1005:$S$1005,1,MATCH(COLUMNS($P$1006:S1006),$P$1006:$S$1006,0))&gt;=100000), " ",IF(INDEX($P$2:$S$1001,MATCH(ROWS($I$2:I698),$I$2:$I$1001,0),MATCH(COLUMNS($P$1006:S1006),$P$1006:$S$1006,0)), HYPERLINK("#",""), HYPERLINK(CONCATENATE("#metadata!", ADDRESS(INDEX($K$2:$K$1001,MATCH(ROWS($I$2:I698),$I$2:$I$1001,0),0), INDEX($P$1004:$S$1004,1,MATCH(COLUMNS($P$1006:S1006),$P$1006:$S$1006,0)))),"Fix")))</f>
        <v>0</v>
      </c>
      <c r="I698">
        <v>0</v>
      </c>
      <c r="J698">
        <v>0</v>
      </c>
      <c r="K698">
        <v>0</v>
      </c>
      <c r="L698">
        <f>IF(M698,TRUE,AND(P698:S698))</f>
        <v>0</v>
      </c>
      <c r="M698">
        <f>COUNTBLANK(metadata!B698:E698)=COLUMNS(metadata!B698:E698)</f>
        <v>0</v>
      </c>
      <c r="N698">
        <v>0</v>
      </c>
      <c r="P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Q698">
        <f>AND(IF(metadata!C698="",FALSE,TRUE),exact(metadata!C698,"other"))</f>
        <v>0</v>
      </c>
      <c r="R698">
        <f>AND(IF(metadata!D698="",FALSE,TRUE),exact(metadata!D698,"metagenome"))</f>
        <v>0</v>
      </c>
      <c r="S698">
        <f>AND(IF(metadata!E698="",FALSE,TRUE),exact(metadata!E698,"256318"))</f>
        <v>0</v>
      </c>
    </row>
    <row r="699" spans="1:19">
      <c r="A699" s="4">
        <f>IF(B699=" "," ",HYPERLINK(CONCATENATE("#metadata!",ADDRESS(INDEX($K$2:$K$1001,MATCH(ROWS($I$2:I699),$I$2:$I$1001,0),0),1)),INDEX($N$2:$N$1001,MATCH(ROWS($I$2:I699),$I$2:$I$1001,0),0)))</f>
        <v>0</v>
      </c>
      <c r="B699" s="3">
        <f>IF(OR(INDEX($J$2:$J$1001,MATCH(ROWS($I$2:I699),$I$2:$I$1001,0),1)&gt;=100000,INDEX($P$1005:$S$1005,1,MATCH(COLUMNS($P$1006:P1006),$P$1006:$S$1006,0))&gt;=100000), " ",IF(INDEX($P$2:$S$1001,MATCH(ROWS($I$2:I699),$I$2:$I$1001,0),MATCH(COLUMNS($P$1006:P1006),$P$1006:$S$1006,0)), HYPERLINK("#",""), HYPERLINK(CONCATENATE("#metadata!", ADDRESS(INDEX($K$2:$K$1001,MATCH(ROWS($I$2:I699),$I$2:$I$1001,0),0), INDEX($P$1004:$S$1004,1,MATCH(COLUMNS($P$1006:P1006),$P$1006:$S$1006,0)))),"Fix")))</f>
        <v>0</v>
      </c>
      <c r="C699" s="3">
        <f>IF(OR(INDEX($J$2:$J$1001,MATCH(ROWS($I$2:I699),$I$2:$I$1001,0),1)&gt;=100000,INDEX($P$1005:$S$1005,1,MATCH(COLUMNS($P$1006:Q1006),$P$1006:$S$1006,0))&gt;=100000), " ",IF(INDEX($P$2:$S$1001,MATCH(ROWS($I$2:I699),$I$2:$I$1001,0),MATCH(COLUMNS($P$1006:Q1006),$P$1006:$S$1006,0)), HYPERLINK("#",""), HYPERLINK(CONCATENATE("#metadata!", ADDRESS(INDEX($K$2:$K$1001,MATCH(ROWS($I$2:I699),$I$2:$I$1001,0),0), INDEX($P$1004:$S$1004,1,MATCH(COLUMNS($P$1006:Q1006),$P$1006:$S$1006,0)))),"Fix")))</f>
        <v>0</v>
      </c>
      <c r="D699" s="3">
        <f>IF(OR(INDEX($J$2:$J$1001,MATCH(ROWS($I$2:I699),$I$2:$I$1001,0),1)&gt;=100000,INDEX($P$1005:$S$1005,1,MATCH(COLUMNS($P$1006:R1006),$P$1006:$S$1006,0))&gt;=100000), " ",IF(INDEX($P$2:$S$1001,MATCH(ROWS($I$2:I699),$I$2:$I$1001,0),MATCH(COLUMNS($P$1006:R1006),$P$1006:$S$1006,0)), HYPERLINK("#",""), HYPERLINK(CONCATENATE("#metadata!", ADDRESS(INDEX($K$2:$K$1001,MATCH(ROWS($I$2:I699),$I$2:$I$1001,0),0), INDEX($P$1004:$S$1004,1,MATCH(COLUMNS($P$1006:R1006),$P$1006:$S$1006,0)))),"Fix")))</f>
        <v>0</v>
      </c>
      <c r="E699" s="3">
        <f>IF(OR(INDEX($J$2:$J$1001,MATCH(ROWS($I$2:I699),$I$2:$I$1001,0),1)&gt;=100000,INDEX($P$1005:$S$1005,1,MATCH(COLUMNS($P$1006:S1006),$P$1006:$S$1006,0))&gt;=100000), " ",IF(INDEX($P$2:$S$1001,MATCH(ROWS($I$2:I699),$I$2:$I$1001,0),MATCH(COLUMNS($P$1006:S1006),$P$1006:$S$1006,0)), HYPERLINK("#",""), HYPERLINK(CONCATENATE("#metadata!", ADDRESS(INDEX($K$2:$K$1001,MATCH(ROWS($I$2:I699),$I$2:$I$1001,0),0), INDEX($P$1004:$S$1004,1,MATCH(COLUMNS($P$1006:S1006),$P$1006:$S$1006,0)))),"Fix")))</f>
        <v>0</v>
      </c>
      <c r="I699">
        <v>0</v>
      </c>
      <c r="J699">
        <v>0</v>
      </c>
      <c r="K699">
        <v>0</v>
      </c>
      <c r="L699">
        <f>IF(M699,TRUE,AND(P699:S699))</f>
        <v>0</v>
      </c>
      <c r="M699">
        <f>COUNTBLANK(metadata!B699:E699)=COLUMNS(metadata!B699:E699)</f>
        <v>0</v>
      </c>
      <c r="N699">
        <v>0</v>
      </c>
      <c r="P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Q699">
        <f>AND(IF(metadata!C699="",FALSE,TRUE),exact(metadata!C699,"other"))</f>
        <v>0</v>
      </c>
      <c r="R699">
        <f>AND(IF(metadata!D699="",FALSE,TRUE),exact(metadata!D699,"metagenome"))</f>
        <v>0</v>
      </c>
      <c r="S699">
        <f>AND(IF(metadata!E699="",FALSE,TRUE),exact(metadata!E699,"256318"))</f>
        <v>0</v>
      </c>
    </row>
    <row r="700" spans="1:19">
      <c r="A700" s="4">
        <f>IF(B700=" "," ",HYPERLINK(CONCATENATE("#metadata!",ADDRESS(INDEX($K$2:$K$1001,MATCH(ROWS($I$2:I700),$I$2:$I$1001,0),0),1)),INDEX($N$2:$N$1001,MATCH(ROWS($I$2:I700),$I$2:$I$1001,0),0)))</f>
        <v>0</v>
      </c>
      <c r="B700" s="3">
        <f>IF(OR(INDEX($J$2:$J$1001,MATCH(ROWS($I$2:I700),$I$2:$I$1001,0),1)&gt;=100000,INDEX($P$1005:$S$1005,1,MATCH(COLUMNS($P$1006:P1006),$P$1006:$S$1006,0))&gt;=100000), " ",IF(INDEX($P$2:$S$1001,MATCH(ROWS($I$2:I700),$I$2:$I$1001,0),MATCH(COLUMNS($P$1006:P1006),$P$1006:$S$1006,0)), HYPERLINK("#",""), HYPERLINK(CONCATENATE("#metadata!", ADDRESS(INDEX($K$2:$K$1001,MATCH(ROWS($I$2:I700),$I$2:$I$1001,0),0), INDEX($P$1004:$S$1004,1,MATCH(COLUMNS($P$1006:P1006),$P$1006:$S$1006,0)))),"Fix")))</f>
        <v>0</v>
      </c>
      <c r="C700" s="3">
        <f>IF(OR(INDEX($J$2:$J$1001,MATCH(ROWS($I$2:I700),$I$2:$I$1001,0),1)&gt;=100000,INDEX($P$1005:$S$1005,1,MATCH(COLUMNS($P$1006:Q1006),$P$1006:$S$1006,0))&gt;=100000), " ",IF(INDEX($P$2:$S$1001,MATCH(ROWS($I$2:I700),$I$2:$I$1001,0),MATCH(COLUMNS($P$1006:Q1006),$P$1006:$S$1006,0)), HYPERLINK("#",""), HYPERLINK(CONCATENATE("#metadata!", ADDRESS(INDEX($K$2:$K$1001,MATCH(ROWS($I$2:I700),$I$2:$I$1001,0),0), INDEX($P$1004:$S$1004,1,MATCH(COLUMNS($P$1006:Q1006),$P$1006:$S$1006,0)))),"Fix")))</f>
        <v>0</v>
      </c>
      <c r="D700" s="3">
        <f>IF(OR(INDEX($J$2:$J$1001,MATCH(ROWS($I$2:I700),$I$2:$I$1001,0),1)&gt;=100000,INDEX($P$1005:$S$1005,1,MATCH(COLUMNS($P$1006:R1006),$P$1006:$S$1006,0))&gt;=100000), " ",IF(INDEX($P$2:$S$1001,MATCH(ROWS($I$2:I700),$I$2:$I$1001,0),MATCH(COLUMNS($P$1006:R1006),$P$1006:$S$1006,0)), HYPERLINK("#",""), HYPERLINK(CONCATENATE("#metadata!", ADDRESS(INDEX($K$2:$K$1001,MATCH(ROWS($I$2:I700),$I$2:$I$1001,0),0), INDEX($P$1004:$S$1004,1,MATCH(COLUMNS($P$1006:R1006),$P$1006:$S$1006,0)))),"Fix")))</f>
        <v>0</v>
      </c>
      <c r="E700" s="3">
        <f>IF(OR(INDEX($J$2:$J$1001,MATCH(ROWS($I$2:I700),$I$2:$I$1001,0),1)&gt;=100000,INDEX($P$1005:$S$1005,1,MATCH(COLUMNS($P$1006:S1006),$P$1006:$S$1006,0))&gt;=100000), " ",IF(INDEX($P$2:$S$1001,MATCH(ROWS($I$2:I700),$I$2:$I$1001,0),MATCH(COLUMNS($P$1006:S1006),$P$1006:$S$1006,0)), HYPERLINK("#",""), HYPERLINK(CONCATENATE("#metadata!", ADDRESS(INDEX($K$2:$K$1001,MATCH(ROWS($I$2:I700),$I$2:$I$1001,0),0), INDEX($P$1004:$S$1004,1,MATCH(COLUMNS($P$1006:S1006),$P$1006:$S$1006,0)))),"Fix")))</f>
        <v>0</v>
      </c>
      <c r="I700">
        <v>0</v>
      </c>
      <c r="J700">
        <v>0</v>
      </c>
      <c r="K700">
        <v>0</v>
      </c>
      <c r="L700">
        <f>IF(M700,TRUE,AND(P700:S700))</f>
        <v>0</v>
      </c>
      <c r="M700">
        <f>COUNTBLANK(metadata!B700:E700)=COLUMNS(metadata!B700:E700)</f>
        <v>0</v>
      </c>
      <c r="N700">
        <v>0</v>
      </c>
      <c r="P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Q700">
        <f>AND(IF(metadata!C700="",FALSE,TRUE),exact(metadata!C700,"other"))</f>
        <v>0</v>
      </c>
      <c r="R700">
        <f>AND(IF(metadata!D700="",FALSE,TRUE),exact(metadata!D700,"metagenome"))</f>
        <v>0</v>
      </c>
      <c r="S700">
        <f>AND(IF(metadata!E700="",FALSE,TRUE),exact(metadata!E700,"256318"))</f>
        <v>0</v>
      </c>
    </row>
    <row r="701" spans="1:19">
      <c r="A701" s="4">
        <f>IF(B701=" "," ",HYPERLINK(CONCATENATE("#metadata!",ADDRESS(INDEX($K$2:$K$1001,MATCH(ROWS($I$2:I701),$I$2:$I$1001,0),0),1)),INDEX($N$2:$N$1001,MATCH(ROWS($I$2:I701),$I$2:$I$1001,0),0)))</f>
        <v>0</v>
      </c>
      <c r="B701" s="3">
        <f>IF(OR(INDEX($J$2:$J$1001,MATCH(ROWS($I$2:I701),$I$2:$I$1001,0),1)&gt;=100000,INDEX($P$1005:$S$1005,1,MATCH(COLUMNS($P$1006:P1006),$P$1006:$S$1006,0))&gt;=100000), " ",IF(INDEX($P$2:$S$1001,MATCH(ROWS($I$2:I701),$I$2:$I$1001,0),MATCH(COLUMNS($P$1006:P1006),$P$1006:$S$1006,0)), HYPERLINK("#",""), HYPERLINK(CONCATENATE("#metadata!", ADDRESS(INDEX($K$2:$K$1001,MATCH(ROWS($I$2:I701),$I$2:$I$1001,0),0), INDEX($P$1004:$S$1004,1,MATCH(COLUMNS($P$1006:P1006),$P$1006:$S$1006,0)))),"Fix")))</f>
        <v>0</v>
      </c>
      <c r="C701" s="3">
        <f>IF(OR(INDEX($J$2:$J$1001,MATCH(ROWS($I$2:I701),$I$2:$I$1001,0),1)&gt;=100000,INDEX($P$1005:$S$1005,1,MATCH(COLUMNS($P$1006:Q1006),$P$1006:$S$1006,0))&gt;=100000), " ",IF(INDEX($P$2:$S$1001,MATCH(ROWS($I$2:I701),$I$2:$I$1001,0),MATCH(COLUMNS($P$1006:Q1006),$P$1006:$S$1006,0)), HYPERLINK("#",""), HYPERLINK(CONCATENATE("#metadata!", ADDRESS(INDEX($K$2:$K$1001,MATCH(ROWS($I$2:I701),$I$2:$I$1001,0),0), INDEX($P$1004:$S$1004,1,MATCH(COLUMNS($P$1006:Q1006),$P$1006:$S$1006,0)))),"Fix")))</f>
        <v>0</v>
      </c>
      <c r="D701" s="3">
        <f>IF(OR(INDEX($J$2:$J$1001,MATCH(ROWS($I$2:I701),$I$2:$I$1001,0),1)&gt;=100000,INDEX($P$1005:$S$1005,1,MATCH(COLUMNS($P$1006:R1006),$P$1006:$S$1006,0))&gt;=100000), " ",IF(INDEX($P$2:$S$1001,MATCH(ROWS($I$2:I701),$I$2:$I$1001,0),MATCH(COLUMNS($P$1006:R1006),$P$1006:$S$1006,0)), HYPERLINK("#",""), HYPERLINK(CONCATENATE("#metadata!", ADDRESS(INDEX($K$2:$K$1001,MATCH(ROWS($I$2:I701),$I$2:$I$1001,0),0), INDEX($P$1004:$S$1004,1,MATCH(COLUMNS($P$1006:R1006),$P$1006:$S$1006,0)))),"Fix")))</f>
        <v>0</v>
      </c>
      <c r="E701" s="3">
        <f>IF(OR(INDEX($J$2:$J$1001,MATCH(ROWS($I$2:I701),$I$2:$I$1001,0),1)&gt;=100000,INDEX($P$1005:$S$1005,1,MATCH(COLUMNS($P$1006:S1006),$P$1006:$S$1006,0))&gt;=100000), " ",IF(INDEX($P$2:$S$1001,MATCH(ROWS($I$2:I701),$I$2:$I$1001,0),MATCH(COLUMNS($P$1006:S1006),$P$1006:$S$1006,0)), HYPERLINK("#",""), HYPERLINK(CONCATENATE("#metadata!", ADDRESS(INDEX($K$2:$K$1001,MATCH(ROWS($I$2:I701),$I$2:$I$1001,0),0), INDEX($P$1004:$S$1004,1,MATCH(COLUMNS($P$1006:S1006),$P$1006:$S$1006,0)))),"Fix")))</f>
        <v>0</v>
      </c>
      <c r="I701">
        <v>0</v>
      </c>
      <c r="J701">
        <v>0</v>
      </c>
      <c r="K701">
        <v>0</v>
      </c>
      <c r="L701">
        <f>IF(M701,TRUE,AND(P701:S701))</f>
        <v>0</v>
      </c>
      <c r="M701">
        <f>COUNTBLANK(metadata!B701:E701)=COLUMNS(metadata!B701:E701)</f>
        <v>0</v>
      </c>
      <c r="N701">
        <v>0</v>
      </c>
      <c r="P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Q701">
        <f>AND(IF(metadata!C701="",FALSE,TRUE),exact(metadata!C701,"other"))</f>
        <v>0</v>
      </c>
      <c r="R701">
        <f>AND(IF(metadata!D701="",FALSE,TRUE),exact(metadata!D701,"metagenome"))</f>
        <v>0</v>
      </c>
      <c r="S701">
        <f>AND(IF(metadata!E701="",FALSE,TRUE),exact(metadata!E701,"256318"))</f>
        <v>0</v>
      </c>
    </row>
    <row r="702" spans="1:19">
      <c r="A702" s="4">
        <f>IF(B702=" "," ",HYPERLINK(CONCATENATE("#metadata!",ADDRESS(INDEX($K$2:$K$1001,MATCH(ROWS($I$2:I702),$I$2:$I$1001,0),0),1)),INDEX($N$2:$N$1001,MATCH(ROWS($I$2:I702),$I$2:$I$1001,0),0)))</f>
        <v>0</v>
      </c>
      <c r="B702" s="3">
        <f>IF(OR(INDEX($J$2:$J$1001,MATCH(ROWS($I$2:I702),$I$2:$I$1001,0),1)&gt;=100000,INDEX($P$1005:$S$1005,1,MATCH(COLUMNS($P$1006:P1006),$P$1006:$S$1006,0))&gt;=100000), " ",IF(INDEX($P$2:$S$1001,MATCH(ROWS($I$2:I702),$I$2:$I$1001,0),MATCH(COLUMNS($P$1006:P1006),$P$1006:$S$1006,0)), HYPERLINK("#",""), HYPERLINK(CONCATENATE("#metadata!", ADDRESS(INDEX($K$2:$K$1001,MATCH(ROWS($I$2:I702),$I$2:$I$1001,0),0), INDEX($P$1004:$S$1004,1,MATCH(COLUMNS($P$1006:P1006),$P$1006:$S$1006,0)))),"Fix")))</f>
        <v>0</v>
      </c>
      <c r="C702" s="3">
        <f>IF(OR(INDEX($J$2:$J$1001,MATCH(ROWS($I$2:I702),$I$2:$I$1001,0),1)&gt;=100000,INDEX($P$1005:$S$1005,1,MATCH(COLUMNS($P$1006:Q1006),$P$1006:$S$1006,0))&gt;=100000), " ",IF(INDEX($P$2:$S$1001,MATCH(ROWS($I$2:I702),$I$2:$I$1001,0),MATCH(COLUMNS($P$1006:Q1006),$P$1006:$S$1006,0)), HYPERLINK("#",""), HYPERLINK(CONCATENATE("#metadata!", ADDRESS(INDEX($K$2:$K$1001,MATCH(ROWS($I$2:I702),$I$2:$I$1001,0),0), INDEX($P$1004:$S$1004,1,MATCH(COLUMNS($P$1006:Q1006),$P$1006:$S$1006,0)))),"Fix")))</f>
        <v>0</v>
      </c>
      <c r="D702" s="3">
        <f>IF(OR(INDEX($J$2:$J$1001,MATCH(ROWS($I$2:I702),$I$2:$I$1001,0),1)&gt;=100000,INDEX($P$1005:$S$1005,1,MATCH(COLUMNS($P$1006:R1006),$P$1006:$S$1006,0))&gt;=100000), " ",IF(INDEX($P$2:$S$1001,MATCH(ROWS($I$2:I702),$I$2:$I$1001,0),MATCH(COLUMNS($P$1006:R1006),$P$1006:$S$1006,0)), HYPERLINK("#",""), HYPERLINK(CONCATENATE("#metadata!", ADDRESS(INDEX($K$2:$K$1001,MATCH(ROWS($I$2:I702),$I$2:$I$1001,0),0), INDEX($P$1004:$S$1004,1,MATCH(COLUMNS($P$1006:R1006),$P$1006:$S$1006,0)))),"Fix")))</f>
        <v>0</v>
      </c>
      <c r="E702" s="3">
        <f>IF(OR(INDEX($J$2:$J$1001,MATCH(ROWS($I$2:I702),$I$2:$I$1001,0),1)&gt;=100000,INDEX($P$1005:$S$1005,1,MATCH(COLUMNS($P$1006:S1006),$P$1006:$S$1006,0))&gt;=100000), " ",IF(INDEX($P$2:$S$1001,MATCH(ROWS($I$2:I702),$I$2:$I$1001,0),MATCH(COLUMNS($P$1006:S1006),$P$1006:$S$1006,0)), HYPERLINK("#",""), HYPERLINK(CONCATENATE("#metadata!", ADDRESS(INDEX($K$2:$K$1001,MATCH(ROWS($I$2:I702),$I$2:$I$1001,0),0), INDEX($P$1004:$S$1004,1,MATCH(COLUMNS($P$1006:S1006),$P$1006:$S$1006,0)))),"Fix")))</f>
        <v>0</v>
      </c>
      <c r="I702">
        <v>0</v>
      </c>
      <c r="J702">
        <v>0</v>
      </c>
      <c r="K702">
        <v>0</v>
      </c>
      <c r="L702">
        <f>IF(M702,TRUE,AND(P702:S702))</f>
        <v>0</v>
      </c>
      <c r="M702">
        <f>COUNTBLANK(metadata!B702:E702)=COLUMNS(metadata!B702:E702)</f>
        <v>0</v>
      </c>
      <c r="N702">
        <v>0</v>
      </c>
      <c r="P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Q702">
        <f>AND(IF(metadata!C702="",FALSE,TRUE),exact(metadata!C702,"other"))</f>
        <v>0</v>
      </c>
      <c r="R702">
        <f>AND(IF(metadata!D702="",FALSE,TRUE),exact(metadata!D702,"metagenome"))</f>
        <v>0</v>
      </c>
      <c r="S702">
        <f>AND(IF(metadata!E702="",FALSE,TRUE),exact(metadata!E702,"256318"))</f>
        <v>0</v>
      </c>
    </row>
    <row r="703" spans="1:19">
      <c r="A703" s="4">
        <f>IF(B703=" "," ",HYPERLINK(CONCATENATE("#metadata!",ADDRESS(INDEX($K$2:$K$1001,MATCH(ROWS($I$2:I703),$I$2:$I$1001,0),0),1)),INDEX($N$2:$N$1001,MATCH(ROWS($I$2:I703),$I$2:$I$1001,0),0)))</f>
        <v>0</v>
      </c>
      <c r="B703" s="3">
        <f>IF(OR(INDEX($J$2:$J$1001,MATCH(ROWS($I$2:I703),$I$2:$I$1001,0),1)&gt;=100000,INDEX($P$1005:$S$1005,1,MATCH(COLUMNS($P$1006:P1006),$P$1006:$S$1006,0))&gt;=100000), " ",IF(INDEX($P$2:$S$1001,MATCH(ROWS($I$2:I703),$I$2:$I$1001,0),MATCH(COLUMNS($P$1006:P1006),$P$1006:$S$1006,0)), HYPERLINK("#",""), HYPERLINK(CONCATENATE("#metadata!", ADDRESS(INDEX($K$2:$K$1001,MATCH(ROWS($I$2:I703),$I$2:$I$1001,0),0), INDEX($P$1004:$S$1004,1,MATCH(COLUMNS($P$1006:P1006),$P$1006:$S$1006,0)))),"Fix")))</f>
        <v>0</v>
      </c>
      <c r="C703" s="3">
        <f>IF(OR(INDEX($J$2:$J$1001,MATCH(ROWS($I$2:I703),$I$2:$I$1001,0),1)&gt;=100000,INDEX($P$1005:$S$1005,1,MATCH(COLUMNS($P$1006:Q1006),$P$1006:$S$1006,0))&gt;=100000), " ",IF(INDEX($P$2:$S$1001,MATCH(ROWS($I$2:I703),$I$2:$I$1001,0),MATCH(COLUMNS($P$1006:Q1006),$P$1006:$S$1006,0)), HYPERLINK("#",""), HYPERLINK(CONCATENATE("#metadata!", ADDRESS(INDEX($K$2:$K$1001,MATCH(ROWS($I$2:I703),$I$2:$I$1001,0),0), INDEX($P$1004:$S$1004,1,MATCH(COLUMNS($P$1006:Q1006),$P$1006:$S$1006,0)))),"Fix")))</f>
        <v>0</v>
      </c>
      <c r="D703" s="3">
        <f>IF(OR(INDEX($J$2:$J$1001,MATCH(ROWS($I$2:I703),$I$2:$I$1001,0),1)&gt;=100000,INDEX($P$1005:$S$1005,1,MATCH(COLUMNS($P$1006:R1006),$P$1006:$S$1006,0))&gt;=100000), " ",IF(INDEX($P$2:$S$1001,MATCH(ROWS($I$2:I703),$I$2:$I$1001,0),MATCH(COLUMNS($P$1006:R1006),$P$1006:$S$1006,0)), HYPERLINK("#",""), HYPERLINK(CONCATENATE("#metadata!", ADDRESS(INDEX($K$2:$K$1001,MATCH(ROWS($I$2:I703),$I$2:$I$1001,0),0), INDEX($P$1004:$S$1004,1,MATCH(COLUMNS($P$1006:R1006),$P$1006:$S$1006,0)))),"Fix")))</f>
        <v>0</v>
      </c>
      <c r="E703" s="3">
        <f>IF(OR(INDEX($J$2:$J$1001,MATCH(ROWS($I$2:I703),$I$2:$I$1001,0),1)&gt;=100000,INDEX($P$1005:$S$1005,1,MATCH(COLUMNS($P$1006:S1006),$P$1006:$S$1006,0))&gt;=100000), " ",IF(INDEX($P$2:$S$1001,MATCH(ROWS($I$2:I703),$I$2:$I$1001,0),MATCH(COLUMNS($P$1006:S1006),$P$1006:$S$1006,0)), HYPERLINK("#",""), HYPERLINK(CONCATENATE("#metadata!", ADDRESS(INDEX($K$2:$K$1001,MATCH(ROWS($I$2:I703),$I$2:$I$1001,0),0), INDEX($P$1004:$S$1004,1,MATCH(COLUMNS($P$1006:S1006),$P$1006:$S$1006,0)))),"Fix")))</f>
        <v>0</v>
      </c>
      <c r="I703">
        <v>0</v>
      </c>
      <c r="J703">
        <v>0</v>
      </c>
      <c r="K703">
        <v>0</v>
      </c>
      <c r="L703">
        <f>IF(M703,TRUE,AND(P703:S703))</f>
        <v>0</v>
      </c>
      <c r="M703">
        <f>COUNTBLANK(metadata!B703:E703)=COLUMNS(metadata!B703:E703)</f>
        <v>0</v>
      </c>
      <c r="N703">
        <v>0</v>
      </c>
      <c r="P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Q703">
        <f>AND(IF(metadata!C703="",FALSE,TRUE),exact(metadata!C703,"other"))</f>
        <v>0</v>
      </c>
      <c r="R703">
        <f>AND(IF(metadata!D703="",FALSE,TRUE),exact(metadata!D703,"metagenome"))</f>
        <v>0</v>
      </c>
      <c r="S703">
        <f>AND(IF(metadata!E703="",FALSE,TRUE),exact(metadata!E703,"256318"))</f>
        <v>0</v>
      </c>
    </row>
    <row r="704" spans="1:19">
      <c r="A704" s="4">
        <f>IF(B704=" "," ",HYPERLINK(CONCATENATE("#metadata!",ADDRESS(INDEX($K$2:$K$1001,MATCH(ROWS($I$2:I704),$I$2:$I$1001,0),0),1)),INDEX($N$2:$N$1001,MATCH(ROWS($I$2:I704),$I$2:$I$1001,0),0)))</f>
        <v>0</v>
      </c>
      <c r="B704" s="3">
        <f>IF(OR(INDEX($J$2:$J$1001,MATCH(ROWS($I$2:I704),$I$2:$I$1001,0),1)&gt;=100000,INDEX($P$1005:$S$1005,1,MATCH(COLUMNS($P$1006:P1006),$P$1006:$S$1006,0))&gt;=100000), " ",IF(INDEX($P$2:$S$1001,MATCH(ROWS($I$2:I704),$I$2:$I$1001,0),MATCH(COLUMNS($P$1006:P1006),$P$1006:$S$1006,0)), HYPERLINK("#",""), HYPERLINK(CONCATENATE("#metadata!", ADDRESS(INDEX($K$2:$K$1001,MATCH(ROWS($I$2:I704),$I$2:$I$1001,0),0), INDEX($P$1004:$S$1004,1,MATCH(COLUMNS($P$1006:P1006),$P$1006:$S$1006,0)))),"Fix")))</f>
        <v>0</v>
      </c>
      <c r="C704" s="3">
        <f>IF(OR(INDEX($J$2:$J$1001,MATCH(ROWS($I$2:I704),$I$2:$I$1001,0),1)&gt;=100000,INDEX($P$1005:$S$1005,1,MATCH(COLUMNS($P$1006:Q1006),$P$1006:$S$1006,0))&gt;=100000), " ",IF(INDEX($P$2:$S$1001,MATCH(ROWS($I$2:I704),$I$2:$I$1001,0),MATCH(COLUMNS($P$1006:Q1006),$P$1006:$S$1006,0)), HYPERLINK("#",""), HYPERLINK(CONCATENATE("#metadata!", ADDRESS(INDEX($K$2:$K$1001,MATCH(ROWS($I$2:I704),$I$2:$I$1001,0),0), INDEX($P$1004:$S$1004,1,MATCH(COLUMNS($P$1006:Q1006),$P$1006:$S$1006,0)))),"Fix")))</f>
        <v>0</v>
      </c>
      <c r="D704" s="3">
        <f>IF(OR(INDEX($J$2:$J$1001,MATCH(ROWS($I$2:I704),$I$2:$I$1001,0),1)&gt;=100000,INDEX($P$1005:$S$1005,1,MATCH(COLUMNS($P$1006:R1006),$P$1006:$S$1006,0))&gt;=100000), " ",IF(INDEX($P$2:$S$1001,MATCH(ROWS($I$2:I704),$I$2:$I$1001,0),MATCH(COLUMNS($P$1006:R1006),$P$1006:$S$1006,0)), HYPERLINK("#",""), HYPERLINK(CONCATENATE("#metadata!", ADDRESS(INDEX($K$2:$K$1001,MATCH(ROWS($I$2:I704),$I$2:$I$1001,0),0), INDEX($P$1004:$S$1004,1,MATCH(COLUMNS($P$1006:R1006),$P$1006:$S$1006,0)))),"Fix")))</f>
        <v>0</v>
      </c>
      <c r="E704" s="3">
        <f>IF(OR(INDEX($J$2:$J$1001,MATCH(ROWS($I$2:I704),$I$2:$I$1001,0),1)&gt;=100000,INDEX($P$1005:$S$1005,1,MATCH(COLUMNS($P$1006:S1006),$P$1006:$S$1006,0))&gt;=100000), " ",IF(INDEX($P$2:$S$1001,MATCH(ROWS($I$2:I704),$I$2:$I$1001,0),MATCH(COLUMNS($P$1006:S1006),$P$1006:$S$1006,0)), HYPERLINK("#",""), HYPERLINK(CONCATENATE("#metadata!", ADDRESS(INDEX($K$2:$K$1001,MATCH(ROWS($I$2:I704),$I$2:$I$1001,0),0), INDEX($P$1004:$S$1004,1,MATCH(COLUMNS($P$1006:S1006),$P$1006:$S$1006,0)))),"Fix")))</f>
        <v>0</v>
      </c>
      <c r="I704">
        <v>0</v>
      </c>
      <c r="J704">
        <v>0</v>
      </c>
      <c r="K704">
        <v>0</v>
      </c>
      <c r="L704">
        <f>IF(M704,TRUE,AND(P704:S704))</f>
        <v>0</v>
      </c>
      <c r="M704">
        <f>COUNTBLANK(metadata!B704:E704)=COLUMNS(metadata!B704:E704)</f>
        <v>0</v>
      </c>
      <c r="N704">
        <v>0</v>
      </c>
      <c r="P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Q704">
        <f>AND(IF(metadata!C704="",FALSE,TRUE),exact(metadata!C704,"other"))</f>
        <v>0</v>
      </c>
      <c r="R704">
        <f>AND(IF(metadata!D704="",FALSE,TRUE),exact(metadata!D704,"metagenome"))</f>
        <v>0</v>
      </c>
      <c r="S704">
        <f>AND(IF(metadata!E704="",FALSE,TRUE),exact(metadata!E704,"256318"))</f>
        <v>0</v>
      </c>
    </row>
    <row r="705" spans="1:19">
      <c r="A705" s="4">
        <f>IF(B705=" "," ",HYPERLINK(CONCATENATE("#metadata!",ADDRESS(INDEX($K$2:$K$1001,MATCH(ROWS($I$2:I705),$I$2:$I$1001,0),0),1)),INDEX($N$2:$N$1001,MATCH(ROWS($I$2:I705),$I$2:$I$1001,0),0)))</f>
        <v>0</v>
      </c>
      <c r="B705" s="3">
        <f>IF(OR(INDEX($J$2:$J$1001,MATCH(ROWS($I$2:I705),$I$2:$I$1001,0),1)&gt;=100000,INDEX($P$1005:$S$1005,1,MATCH(COLUMNS($P$1006:P1006),$P$1006:$S$1006,0))&gt;=100000), " ",IF(INDEX($P$2:$S$1001,MATCH(ROWS($I$2:I705),$I$2:$I$1001,0),MATCH(COLUMNS($P$1006:P1006),$P$1006:$S$1006,0)), HYPERLINK("#",""), HYPERLINK(CONCATENATE("#metadata!", ADDRESS(INDEX($K$2:$K$1001,MATCH(ROWS($I$2:I705),$I$2:$I$1001,0),0), INDEX($P$1004:$S$1004,1,MATCH(COLUMNS($P$1006:P1006),$P$1006:$S$1006,0)))),"Fix")))</f>
        <v>0</v>
      </c>
      <c r="C705" s="3">
        <f>IF(OR(INDEX($J$2:$J$1001,MATCH(ROWS($I$2:I705),$I$2:$I$1001,0),1)&gt;=100000,INDEX($P$1005:$S$1005,1,MATCH(COLUMNS($P$1006:Q1006),$P$1006:$S$1006,0))&gt;=100000), " ",IF(INDEX($P$2:$S$1001,MATCH(ROWS($I$2:I705),$I$2:$I$1001,0),MATCH(COLUMNS($P$1006:Q1006),$P$1006:$S$1006,0)), HYPERLINK("#",""), HYPERLINK(CONCATENATE("#metadata!", ADDRESS(INDEX($K$2:$K$1001,MATCH(ROWS($I$2:I705),$I$2:$I$1001,0),0), INDEX($P$1004:$S$1004,1,MATCH(COLUMNS($P$1006:Q1006),$P$1006:$S$1006,0)))),"Fix")))</f>
        <v>0</v>
      </c>
      <c r="D705" s="3">
        <f>IF(OR(INDEX($J$2:$J$1001,MATCH(ROWS($I$2:I705),$I$2:$I$1001,0),1)&gt;=100000,INDEX($P$1005:$S$1005,1,MATCH(COLUMNS($P$1006:R1006),$P$1006:$S$1006,0))&gt;=100000), " ",IF(INDEX($P$2:$S$1001,MATCH(ROWS($I$2:I705),$I$2:$I$1001,0),MATCH(COLUMNS($P$1006:R1006),$P$1006:$S$1006,0)), HYPERLINK("#",""), HYPERLINK(CONCATENATE("#metadata!", ADDRESS(INDEX($K$2:$K$1001,MATCH(ROWS($I$2:I705),$I$2:$I$1001,0),0), INDEX($P$1004:$S$1004,1,MATCH(COLUMNS($P$1006:R1006),$P$1006:$S$1006,0)))),"Fix")))</f>
        <v>0</v>
      </c>
      <c r="E705" s="3">
        <f>IF(OR(INDEX($J$2:$J$1001,MATCH(ROWS($I$2:I705),$I$2:$I$1001,0),1)&gt;=100000,INDEX($P$1005:$S$1005,1,MATCH(COLUMNS($P$1006:S1006),$P$1006:$S$1006,0))&gt;=100000), " ",IF(INDEX($P$2:$S$1001,MATCH(ROWS($I$2:I705),$I$2:$I$1001,0),MATCH(COLUMNS($P$1006:S1006),$P$1006:$S$1006,0)), HYPERLINK("#",""), HYPERLINK(CONCATENATE("#metadata!", ADDRESS(INDEX($K$2:$K$1001,MATCH(ROWS($I$2:I705),$I$2:$I$1001,0),0), INDEX($P$1004:$S$1004,1,MATCH(COLUMNS($P$1006:S1006),$P$1006:$S$1006,0)))),"Fix")))</f>
        <v>0</v>
      </c>
      <c r="I705">
        <v>0</v>
      </c>
      <c r="J705">
        <v>0</v>
      </c>
      <c r="K705">
        <v>0</v>
      </c>
      <c r="L705">
        <f>IF(M705,TRUE,AND(P705:S705))</f>
        <v>0</v>
      </c>
      <c r="M705">
        <f>COUNTBLANK(metadata!B705:E705)=COLUMNS(metadata!B705:E705)</f>
        <v>0</v>
      </c>
      <c r="N705">
        <v>0</v>
      </c>
      <c r="P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Q705">
        <f>AND(IF(metadata!C705="",FALSE,TRUE),exact(metadata!C705,"other"))</f>
        <v>0</v>
      </c>
      <c r="R705">
        <f>AND(IF(metadata!D705="",FALSE,TRUE),exact(metadata!D705,"metagenome"))</f>
        <v>0</v>
      </c>
      <c r="S705">
        <f>AND(IF(metadata!E705="",FALSE,TRUE),exact(metadata!E705,"256318"))</f>
        <v>0</v>
      </c>
    </row>
    <row r="706" spans="1:19">
      <c r="A706" s="4">
        <f>IF(B706=" "," ",HYPERLINK(CONCATENATE("#metadata!",ADDRESS(INDEX($K$2:$K$1001,MATCH(ROWS($I$2:I706),$I$2:$I$1001,0),0),1)),INDEX($N$2:$N$1001,MATCH(ROWS($I$2:I706),$I$2:$I$1001,0),0)))</f>
        <v>0</v>
      </c>
      <c r="B706" s="3">
        <f>IF(OR(INDEX($J$2:$J$1001,MATCH(ROWS($I$2:I706),$I$2:$I$1001,0),1)&gt;=100000,INDEX($P$1005:$S$1005,1,MATCH(COLUMNS($P$1006:P1006),$P$1006:$S$1006,0))&gt;=100000), " ",IF(INDEX($P$2:$S$1001,MATCH(ROWS($I$2:I706),$I$2:$I$1001,0),MATCH(COLUMNS($P$1006:P1006),$P$1006:$S$1006,0)), HYPERLINK("#",""), HYPERLINK(CONCATENATE("#metadata!", ADDRESS(INDEX($K$2:$K$1001,MATCH(ROWS($I$2:I706),$I$2:$I$1001,0),0), INDEX($P$1004:$S$1004,1,MATCH(COLUMNS($P$1006:P1006),$P$1006:$S$1006,0)))),"Fix")))</f>
        <v>0</v>
      </c>
      <c r="C706" s="3">
        <f>IF(OR(INDEX($J$2:$J$1001,MATCH(ROWS($I$2:I706),$I$2:$I$1001,0),1)&gt;=100000,INDEX($P$1005:$S$1005,1,MATCH(COLUMNS($P$1006:Q1006),$P$1006:$S$1006,0))&gt;=100000), " ",IF(INDEX($P$2:$S$1001,MATCH(ROWS($I$2:I706),$I$2:$I$1001,0),MATCH(COLUMNS($P$1006:Q1006),$P$1006:$S$1006,0)), HYPERLINK("#",""), HYPERLINK(CONCATENATE("#metadata!", ADDRESS(INDEX($K$2:$K$1001,MATCH(ROWS($I$2:I706),$I$2:$I$1001,0),0), INDEX($P$1004:$S$1004,1,MATCH(COLUMNS($P$1006:Q1006),$P$1006:$S$1006,0)))),"Fix")))</f>
        <v>0</v>
      </c>
      <c r="D706" s="3">
        <f>IF(OR(INDEX($J$2:$J$1001,MATCH(ROWS($I$2:I706),$I$2:$I$1001,0),1)&gt;=100000,INDEX($P$1005:$S$1005,1,MATCH(COLUMNS($P$1006:R1006),$P$1006:$S$1006,0))&gt;=100000), " ",IF(INDEX($P$2:$S$1001,MATCH(ROWS($I$2:I706),$I$2:$I$1001,0),MATCH(COLUMNS($P$1006:R1006),$P$1006:$S$1006,0)), HYPERLINK("#",""), HYPERLINK(CONCATENATE("#metadata!", ADDRESS(INDEX($K$2:$K$1001,MATCH(ROWS($I$2:I706),$I$2:$I$1001,0),0), INDEX($P$1004:$S$1004,1,MATCH(COLUMNS($P$1006:R1006),$P$1006:$S$1006,0)))),"Fix")))</f>
        <v>0</v>
      </c>
      <c r="E706" s="3">
        <f>IF(OR(INDEX($J$2:$J$1001,MATCH(ROWS($I$2:I706),$I$2:$I$1001,0),1)&gt;=100000,INDEX($P$1005:$S$1005,1,MATCH(COLUMNS($P$1006:S1006),$P$1006:$S$1006,0))&gt;=100000), " ",IF(INDEX($P$2:$S$1001,MATCH(ROWS($I$2:I706),$I$2:$I$1001,0),MATCH(COLUMNS($P$1006:S1006),$P$1006:$S$1006,0)), HYPERLINK("#",""), HYPERLINK(CONCATENATE("#metadata!", ADDRESS(INDEX($K$2:$K$1001,MATCH(ROWS($I$2:I706),$I$2:$I$1001,0),0), INDEX($P$1004:$S$1004,1,MATCH(COLUMNS($P$1006:S1006),$P$1006:$S$1006,0)))),"Fix")))</f>
        <v>0</v>
      </c>
      <c r="I706">
        <v>0</v>
      </c>
      <c r="J706">
        <v>0</v>
      </c>
      <c r="K706">
        <v>0</v>
      </c>
      <c r="L706">
        <f>IF(M706,TRUE,AND(P706:S706))</f>
        <v>0</v>
      </c>
      <c r="M706">
        <f>COUNTBLANK(metadata!B706:E706)=COLUMNS(metadata!B706:E706)</f>
        <v>0</v>
      </c>
      <c r="N706">
        <v>0</v>
      </c>
      <c r="P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Q706">
        <f>AND(IF(metadata!C706="",FALSE,TRUE),exact(metadata!C706,"other"))</f>
        <v>0</v>
      </c>
      <c r="R706">
        <f>AND(IF(metadata!D706="",FALSE,TRUE),exact(metadata!D706,"metagenome"))</f>
        <v>0</v>
      </c>
      <c r="S706">
        <f>AND(IF(metadata!E706="",FALSE,TRUE),exact(metadata!E706,"256318"))</f>
        <v>0</v>
      </c>
    </row>
    <row r="707" spans="1:19">
      <c r="A707" s="4">
        <f>IF(B707=" "," ",HYPERLINK(CONCATENATE("#metadata!",ADDRESS(INDEX($K$2:$K$1001,MATCH(ROWS($I$2:I707),$I$2:$I$1001,0),0),1)),INDEX($N$2:$N$1001,MATCH(ROWS($I$2:I707),$I$2:$I$1001,0),0)))</f>
        <v>0</v>
      </c>
      <c r="B707" s="3">
        <f>IF(OR(INDEX($J$2:$J$1001,MATCH(ROWS($I$2:I707),$I$2:$I$1001,0),1)&gt;=100000,INDEX($P$1005:$S$1005,1,MATCH(COLUMNS($P$1006:P1006),$P$1006:$S$1006,0))&gt;=100000), " ",IF(INDEX($P$2:$S$1001,MATCH(ROWS($I$2:I707),$I$2:$I$1001,0),MATCH(COLUMNS($P$1006:P1006),$P$1006:$S$1006,0)), HYPERLINK("#",""), HYPERLINK(CONCATENATE("#metadata!", ADDRESS(INDEX($K$2:$K$1001,MATCH(ROWS($I$2:I707),$I$2:$I$1001,0),0), INDEX($P$1004:$S$1004,1,MATCH(COLUMNS($P$1006:P1006),$P$1006:$S$1006,0)))),"Fix")))</f>
        <v>0</v>
      </c>
      <c r="C707" s="3">
        <f>IF(OR(INDEX($J$2:$J$1001,MATCH(ROWS($I$2:I707),$I$2:$I$1001,0),1)&gt;=100000,INDEX($P$1005:$S$1005,1,MATCH(COLUMNS($P$1006:Q1006),$P$1006:$S$1006,0))&gt;=100000), " ",IF(INDEX($P$2:$S$1001,MATCH(ROWS($I$2:I707),$I$2:$I$1001,0),MATCH(COLUMNS($P$1006:Q1006),$P$1006:$S$1006,0)), HYPERLINK("#",""), HYPERLINK(CONCATENATE("#metadata!", ADDRESS(INDEX($K$2:$K$1001,MATCH(ROWS($I$2:I707),$I$2:$I$1001,0),0), INDEX($P$1004:$S$1004,1,MATCH(COLUMNS($P$1006:Q1006),$P$1006:$S$1006,0)))),"Fix")))</f>
        <v>0</v>
      </c>
      <c r="D707" s="3">
        <f>IF(OR(INDEX($J$2:$J$1001,MATCH(ROWS($I$2:I707),$I$2:$I$1001,0),1)&gt;=100000,INDEX($P$1005:$S$1005,1,MATCH(COLUMNS($P$1006:R1006),$P$1006:$S$1006,0))&gt;=100000), " ",IF(INDEX($P$2:$S$1001,MATCH(ROWS($I$2:I707),$I$2:$I$1001,0),MATCH(COLUMNS($P$1006:R1006),$P$1006:$S$1006,0)), HYPERLINK("#",""), HYPERLINK(CONCATENATE("#metadata!", ADDRESS(INDEX($K$2:$K$1001,MATCH(ROWS($I$2:I707),$I$2:$I$1001,0),0), INDEX($P$1004:$S$1004,1,MATCH(COLUMNS($P$1006:R1006),$P$1006:$S$1006,0)))),"Fix")))</f>
        <v>0</v>
      </c>
      <c r="E707" s="3">
        <f>IF(OR(INDEX($J$2:$J$1001,MATCH(ROWS($I$2:I707),$I$2:$I$1001,0),1)&gt;=100000,INDEX($P$1005:$S$1005,1,MATCH(COLUMNS($P$1006:S1006),$P$1006:$S$1006,0))&gt;=100000), " ",IF(INDEX($P$2:$S$1001,MATCH(ROWS($I$2:I707),$I$2:$I$1001,0),MATCH(COLUMNS($P$1006:S1006),$P$1006:$S$1006,0)), HYPERLINK("#",""), HYPERLINK(CONCATENATE("#metadata!", ADDRESS(INDEX($K$2:$K$1001,MATCH(ROWS($I$2:I707),$I$2:$I$1001,0),0), INDEX($P$1004:$S$1004,1,MATCH(COLUMNS($P$1006:S1006),$P$1006:$S$1006,0)))),"Fix")))</f>
        <v>0</v>
      </c>
      <c r="I707">
        <v>0</v>
      </c>
      <c r="J707">
        <v>0</v>
      </c>
      <c r="K707">
        <v>0</v>
      </c>
      <c r="L707">
        <f>IF(M707,TRUE,AND(P707:S707))</f>
        <v>0</v>
      </c>
      <c r="M707">
        <f>COUNTBLANK(metadata!B707:E707)=COLUMNS(metadata!B707:E707)</f>
        <v>0</v>
      </c>
      <c r="N707">
        <v>0</v>
      </c>
      <c r="P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Q707">
        <f>AND(IF(metadata!C707="",FALSE,TRUE),exact(metadata!C707,"other"))</f>
        <v>0</v>
      </c>
      <c r="R707">
        <f>AND(IF(metadata!D707="",FALSE,TRUE),exact(metadata!D707,"metagenome"))</f>
        <v>0</v>
      </c>
      <c r="S707">
        <f>AND(IF(metadata!E707="",FALSE,TRUE),exact(metadata!E707,"256318"))</f>
        <v>0</v>
      </c>
    </row>
    <row r="708" spans="1:19">
      <c r="A708" s="4">
        <f>IF(B708=" "," ",HYPERLINK(CONCATENATE("#metadata!",ADDRESS(INDEX($K$2:$K$1001,MATCH(ROWS($I$2:I708),$I$2:$I$1001,0),0),1)),INDEX($N$2:$N$1001,MATCH(ROWS($I$2:I708),$I$2:$I$1001,0),0)))</f>
        <v>0</v>
      </c>
      <c r="B708" s="3">
        <f>IF(OR(INDEX($J$2:$J$1001,MATCH(ROWS($I$2:I708),$I$2:$I$1001,0),1)&gt;=100000,INDEX($P$1005:$S$1005,1,MATCH(COLUMNS($P$1006:P1006),$P$1006:$S$1006,0))&gt;=100000), " ",IF(INDEX($P$2:$S$1001,MATCH(ROWS($I$2:I708),$I$2:$I$1001,0),MATCH(COLUMNS($P$1006:P1006),$P$1006:$S$1006,0)), HYPERLINK("#",""), HYPERLINK(CONCATENATE("#metadata!", ADDRESS(INDEX($K$2:$K$1001,MATCH(ROWS($I$2:I708),$I$2:$I$1001,0),0), INDEX($P$1004:$S$1004,1,MATCH(COLUMNS($P$1006:P1006),$P$1006:$S$1006,0)))),"Fix")))</f>
        <v>0</v>
      </c>
      <c r="C708" s="3">
        <f>IF(OR(INDEX($J$2:$J$1001,MATCH(ROWS($I$2:I708),$I$2:$I$1001,0),1)&gt;=100000,INDEX($P$1005:$S$1005,1,MATCH(COLUMNS($P$1006:Q1006),$P$1006:$S$1006,0))&gt;=100000), " ",IF(INDEX($P$2:$S$1001,MATCH(ROWS($I$2:I708),$I$2:$I$1001,0),MATCH(COLUMNS($P$1006:Q1006),$P$1006:$S$1006,0)), HYPERLINK("#",""), HYPERLINK(CONCATENATE("#metadata!", ADDRESS(INDEX($K$2:$K$1001,MATCH(ROWS($I$2:I708),$I$2:$I$1001,0),0), INDEX($P$1004:$S$1004,1,MATCH(COLUMNS($P$1006:Q1006),$P$1006:$S$1006,0)))),"Fix")))</f>
        <v>0</v>
      </c>
      <c r="D708" s="3">
        <f>IF(OR(INDEX($J$2:$J$1001,MATCH(ROWS($I$2:I708),$I$2:$I$1001,0),1)&gt;=100000,INDEX($P$1005:$S$1005,1,MATCH(COLUMNS($P$1006:R1006),$P$1006:$S$1006,0))&gt;=100000), " ",IF(INDEX($P$2:$S$1001,MATCH(ROWS($I$2:I708),$I$2:$I$1001,0),MATCH(COLUMNS($P$1006:R1006),$P$1006:$S$1006,0)), HYPERLINK("#",""), HYPERLINK(CONCATENATE("#metadata!", ADDRESS(INDEX($K$2:$K$1001,MATCH(ROWS($I$2:I708),$I$2:$I$1001,0),0), INDEX($P$1004:$S$1004,1,MATCH(COLUMNS($P$1006:R1006),$P$1006:$S$1006,0)))),"Fix")))</f>
        <v>0</v>
      </c>
      <c r="E708" s="3">
        <f>IF(OR(INDEX($J$2:$J$1001,MATCH(ROWS($I$2:I708),$I$2:$I$1001,0),1)&gt;=100000,INDEX($P$1005:$S$1005,1,MATCH(COLUMNS($P$1006:S1006),$P$1006:$S$1006,0))&gt;=100000), " ",IF(INDEX($P$2:$S$1001,MATCH(ROWS($I$2:I708),$I$2:$I$1001,0),MATCH(COLUMNS($P$1006:S1006),$P$1006:$S$1006,0)), HYPERLINK("#",""), HYPERLINK(CONCATENATE("#metadata!", ADDRESS(INDEX($K$2:$K$1001,MATCH(ROWS($I$2:I708),$I$2:$I$1001,0),0), INDEX($P$1004:$S$1004,1,MATCH(COLUMNS($P$1006:S1006),$P$1006:$S$1006,0)))),"Fix")))</f>
        <v>0</v>
      </c>
      <c r="I708">
        <v>0</v>
      </c>
      <c r="J708">
        <v>0</v>
      </c>
      <c r="K708">
        <v>0</v>
      </c>
      <c r="L708">
        <f>IF(M708,TRUE,AND(P708:S708))</f>
        <v>0</v>
      </c>
      <c r="M708">
        <f>COUNTBLANK(metadata!B708:E708)=COLUMNS(metadata!B708:E708)</f>
        <v>0</v>
      </c>
      <c r="N708">
        <v>0</v>
      </c>
      <c r="P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Q708">
        <f>AND(IF(metadata!C708="",FALSE,TRUE),exact(metadata!C708,"other"))</f>
        <v>0</v>
      </c>
      <c r="R708">
        <f>AND(IF(metadata!D708="",FALSE,TRUE),exact(metadata!D708,"metagenome"))</f>
        <v>0</v>
      </c>
      <c r="S708">
        <f>AND(IF(metadata!E708="",FALSE,TRUE),exact(metadata!E708,"256318"))</f>
        <v>0</v>
      </c>
    </row>
    <row r="709" spans="1:19">
      <c r="A709" s="4">
        <f>IF(B709=" "," ",HYPERLINK(CONCATENATE("#metadata!",ADDRESS(INDEX($K$2:$K$1001,MATCH(ROWS($I$2:I709),$I$2:$I$1001,0),0),1)),INDEX($N$2:$N$1001,MATCH(ROWS($I$2:I709),$I$2:$I$1001,0),0)))</f>
        <v>0</v>
      </c>
      <c r="B709" s="3">
        <f>IF(OR(INDEX($J$2:$J$1001,MATCH(ROWS($I$2:I709),$I$2:$I$1001,0),1)&gt;=100000,INDEX($P$1005:$S$1005,1,MATCH(COLUMNS($P$1006:P1006),$P$1006:$S$1006,0))&gt;=100000), " ",IF(INDEX($P$2:$S$1001,MATCH(ROWS($I$2:I709),$I$2:$I$1001,0),MATCH(COLUMNS($P$1006:P1006),$P$1006:$S$1006,0)), HYPERLINK("#",""), HYPERLINK(CONCATENATE("#metadata!", ADDRESS(INDEX($K$2:$K$1001,MATCH(ROWS($I$2:I709),$I$2:$I$1001,0),0), INDEX($P$1004:$S$1004,1,MATCH(COLUMNS($P$1006:P1006),$P$1006:$S$1006,0)))),"Fix")))</f>
        <v>0</v>
      </c>
      <c r="C709" s="3">
        <f>IF(OR(INDEX($J$2:$J$1001,MATCH(ROWS($I$2:I709),$I$2:$I$1001,0),1)&gt;=100000,INDEX($P$1005:$S$1005,1,MATCH(COLUMNS($P$1006:Q1006),$P$1006:$S$1006,0))&gt;=100000), " ",IF(INDEX($P$2:$S$1001,MATCH(ROWS($I$2:I709),$I$2:$I$1001,0),MATCH(COLUMNS($P$1006:Q1006),$P$1006:$S$1006,0)), HYPERLINK("#",""), HYPERLINK(CONCATENATE("#metadata!", ADDRESS(INDEX($K$2:$K$1001,MATCH(ROWS($I$2:I709),$I$2:$I$1001,0),0), INDEX($P$1004:$S$1004,1,MATCH(COLUMNS($P$1006:Q1006),$P$1006:$S$1006,0)))),"Fix")))</f>
        <v>0</v>
      </c>
      <c r="D709" s="3">
        <f>IF(OR(INDEX($J$2:$J$1001,MATCH(ROWS($I$2:I709),$I$2:$I$1001,0),1)&gt;=100000,INDEX($P$1005:$S$1005,1,MATCH(COLUMNS($P$1006:R1006),$P$1006:$S$1006,0))&gt;=100000), " ",IF(INDEX($P$2:$S$1001,MATCH(ROWS($I$2:I709),$I$2:$I$1001,0),MATCH(COLUMNS($P$1006:R1006),$P$1006:$S$1006,0)), HYPERLINK("#",""), HYPERLINK(CONCATENATE("#metadata!", ADDRESS(INDEX($K$2:$K$1001,MATCH(ROWS($I$2:I709),$I$2:$I$1001,0),0), INDEX($P$1004:$S$1004,1,MATCH(COLUMNS($P$1006:R1006),$P$1006:$S$1006,0)))),"Fix")))</f>
        <v>0</v>
      </c>
      <c r="E709" s="3">
        <f>IF(OR(INDEX($J$2:$J$1001,MATCH(ROWS($I$2:I709),$I$2:$I$1001,0),1)&gt;=100000,INDEX($P$1005:$S$1005,1,MATCH(COLUMNS($P$1006:S1006),$P$1006:$S$1006,0))&gt;=100000), " ",IF(INDEX($P$2:$S$1001,MATCH(ROWS($I$2:I709),$I$2:$I$1001,0),MATCH(COLUMNS($P$1006:S1006),$P$1006:$S$1006,0)), HYPERLINK("#",""), HYPERLINK(CONCATENATE("#metadata!", ADDRESS(INDEX($K$2:$K$1001,MATCH(ROWS($I$2:I709),$I$2:$I$1001,0),0), INDEX($P$1004:$S$1004,1,MATCH(COLUMNS($P$1006:S1006),$P$1006:$S$1006,0)))),"Fix")))</f>
        <v>0</v>
      </c>
      <c r="I709">
        <v>0</v>
      </c>
      <c r="J709">
        <v>0</v>
      </c>
      <c r="K709">
        <v>0</v>
      </c>
      <c r="L709">
        <f>IF(M709,TRUE,AND(P709:S709))</f>
        <v>0</v>
      </c>
      <c r="M709">
        <f>COUNTBLANK(metadata!B709:E709)=COLUMNS(metadata!B709:E709)</f>
        <v>0</v>
      </c>
      <c r="N709">
        <v>0</v>
      </c>
      <c r="P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Q709">
        <f>AND(IF(metadata!C709="",FALSE,TRUE),exact(metadata!C709,"other"))</f>
        <v>0</v>
      </c>
      <c r="R709">
        <f>AND(IF(metadata!D709="",FALSE,TRUE),exact(metadata!D709,"metagenome"))</f>
        <v>0</v>
      </c>
      <c r="S709">
        <f>AND(IF(metadata!E709="",FALSE,TRUE),exact(metadata!E709,"256318"))</f>
        <v>0</v>
      </c>
    </row>
    <row r="710" spans="1:19">
      <c r="A710" s="4">
        <f>IF(B710=" "," ",HYPERLINK(CONCATENATE("#metadata!",ADDRESS(INDEX($K$2:$K$1001,MATCH(ROWS($I$2:I710),$I$2:$I$1001,0),0),1)),INDEX($N$2:$N$1001,MATCH(ROWS($I$2:I710),$I$2:$I$1001,0),0)))</f>
        <v>0</v>
      </c>
      <c r="B710" s="3">
        <f>IF(OR(INDEX($J$2:$J$1001,MATCH(ROWS($I$2:I710),$I$2:$I$1001,0),1)&gt;=100000,INDEX($P$1005:$S$1005,1,MATCH(COLUMNS($P$1006:P1006),$P$1006:$S$1006,0))&gt;=100000), " ",IF(INDEX($P$2:$S$1001,MATCH(ROWS($I$2:I710),$I$2:$I$1001,0),MATCH(COLUMNS($P$1006:P1006),$P$1006:$S$1006,0)), HYPERLINK("#",""), HYPERLINK(CONCATENATE("#metadata!", ADDRESS(INDEX($K$2:$K$1001,MATCH(ROWS($I$2:I710),$I$2:$I$1001,0),0), INDEX($P$1004:$S$1004,1,MATCH(COLUMNS($P$1006:P1006),$P$1006:$S$1006,0)))),"Fix")))</f>
        <v>0</v>
      </c>
      <c r="C710" s="3">
        <f>IF(OR(INDEX($J$2:$J$1001,MATCH(ROWS($I$2:I710),$I$2:$I$1001,0),1)&gt;=100000,INDEX($P$1005:$S$1005,1,MATCH(COLUMNS($P$1006:Q1006),$P$1006:$S$1006,0))&gt;=100000), " ",IF(INDEX($P$2:$S$1001,MATCH(ROWS($I$2:I710),$I$2:$I$1001,0),MATCH(COLUMNS($P$1006:Q1006),$P$1006:$S$1006,0)), HYPERLINK("#",""), HYPERLINK(CONCATENATE("#metadata!", ADDRESS(INDEX($K$2:$K$1001,MATCH(ROWS($I$2:I710),$I$2:$I$1001,0),0), INDEX($P$1004:$S$1004,1,MATCH(COLUMNS($P$1006:Q1006),$P$1006:$S$1006,0)))),"Fix")))</f>
        <v>0</v>
      </c>
      <c r="D710" s="3">
        <f>IF(OR(INDEX($J$2:$J$1001,MATCH(ROWS($I$2:I710),$I$2:$I$1001,0),1)&gt;=100000,INDEX($P$1005:$S$1005,1,MATCH(COLUMNS($P$1006:R1006),$P$1006:$S$1006,0))&gt;=100000), " ",IF(INDEX($P$2:$S$1001,MATCH(ROWS($I$2:I710),$I$2:$I$1001,0),MATCH(COLUMNS($P$1006:R1006),$P$1006:$S$1006,0)), HYPERLINK("#",""), HYPERLINK(CONCATENATE("#metadata!", ADDRESS(INDEX($K$2:$K$1001,MATCH(ROWS($I$2:I710),$I$2:$I$1001,0),0), INDEX($P$1004:$S$1004,1,MATCH(COLUMNS($P$1006:R1006),$P$1006:$S$1006,0)))),"Fix")))</f>
        <v>0</v>
      </c>
      <c r="E710" s="3">
        <f>IF(OR(INDEX($J$2:$J$1001,MATCH(ROWS($I$2:I710),$I$2:$I$1001,0),1)&gt;=100000,INDEX($P$1005:$S$1005,1,MATCH(COLUMNS($P$1006:S1006),$P$1006:$S$1006,0))&gt;=100000), " ",IF(INDEX($P$2:$S$1001,MATCH(ROWS($I$2:I710),$I$2:$I$1001,0),MATCH(COLUMNS($P$1006:S1006),$P$1006:$S$1006,0)), HYPERLINK("#",""), HYPERLINK(CONCATENATE("#metadata!", ADDRESS(INDEX($K$2:$K$1001,MATCH(ROWS($I$2:I710),$I$2:$I$1001,0),0), INDEX($P$1004:$S$1004,1,MATCH(COLUMNS($P$1006:S1006),$P$1006:$S$1006,0)))),"Fix")))</f>
        <v>0</v>
      </c>
      <c r="I710">
        <v>0</v>
      </c>
      <c r="J710">
        <v>0</v>
      </c>
      <c r="K710">
        <v>0</v>
      </c>
      <c r="L710">
        <f>IF(M710,TRUE,AND(P710:S710))</f>
        <v>0</v>
      </c>
      <c r="M710">
        <f>COUNTBLANK(metadata!B710:E710)=COLUMNS(metadata!B710:E710)</f>
        <v>0</v>
      </c>
      <c r="N710">
        <v>0</v>
      </c>
      <c r="P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Q710">
        <f>AND(IF(metadata!C710="",FALSE,TRUE),exact(metadata!C710,"other"))</f>
        <v>0</v>
      </c>
      <c r="R710">
        <f>AND(IF(metadata!D710="",FALSE,TRUE),exact(metadata!D710,"metagenome"))</f>
        <v>0</v>
      </c>
      <c r="S710">
        <f>AND(IF(metadata!E710="",FALSE,TRUE),exact(metadata!E710,"256318"))</f>
        <v>0</v>
      </c>
    </row>
    <row r="711" spans="1:19">
      <c r="A711" s="4">
        <f>IF(B711=" "," ",HYPERLINK(CONCATENATE("#metadata!",ADDRESS(INDEX($K$2:$K$1001,MATCH(ROWS($I$2:I711),$I$2:$I$1001,0),0),1)),INDEX($N$2:$N$1001,MATCH(ROWS($I$2:I711),$I$2:$I$1001,0),0)))</f>
        <v>0</v>
      </c>
      <c r="B711" s="3">
        <f>IF(OR(INDEX($J$2:$J$1001,MATCH(ROWS($I$2:I711),$I$2:$I$1001,0),1)&gt;=100000,INDEX($P$1005:$S$1005,1,MATCH(COLUMNS($P$1006:P1006),$P$1006:$S$1006,0))&gt;=100000), " ",IF(INDEX($P$2:$S$1001,MATCH(ROWS($I$2:I711),$I$2:$I$1001,0),MATCH(COLUMNS($P$1006:P1006),$P$1006:$S$1006,0)), HYPERLINK("#",""), HYPERLINK(CONCATENATE("#metadata!", ADDRESS(INDEX($K$2:$K$1001,MATCH(ROWS($I$2:I711),$I$2:$I$1001,0),0), INDEX($P$1004:$S$1004,1,MATCH(COLUMNS($P$1006:P1006),$P$1006:$S$1006,0)))),"Fix")))</f>
        <v>0</v>
      </c>
      <c r="C711" s="3">
        <f>IF(OR(INDEX($J$2:$J$1001,MATCH(ROWS($I$2:I711),$I$2:$I$1001,0),1)&gt;=100000,INDEX($P$1005:$S$1005,1,MATCH(COLUMNS($P$1006:Q1006),$P$1006:$S$1006,0))&gt;=100000), " ",IF(INDEX($P$2:$S$1001,MATCH(ROWS($I$2:I711),$I$2:$I$1001,0),MATCH(COLUMNS($P$1006:Q1006),$P$1006:$S$1006,0)), HYPERLINK("#",""), HYPERLINK(CONCATENATE("#metadata!", ADDRESS(INDEX($K$2:$K$1001,MATCH(ROWS($I$2:I711),$I$2:$I$1001,0),0), INDEX($P$1004:$S$1004,1,MATCH(COLUMNS($P$1006:Q1006),$P$1006:$S$1006,0)))),"Fix")))</f>
        <v>0</v>
      </c>
      <c r="D711" s="3">
        <f>IF(OR(INDEX($J$2:$J$1001,MATCH(ROWS($I$2:I711),$I$2:$I$1001,0),1)&gt;=100000,INDEX($P$1005:$S$1005,1,MATCH(COLUMNS($P$1006:R1006),$P$1006:$S$1006,0))&gt;=100000), " ",IF(INDEX($P$2:$S$1001,MATCH(ROWS($I$2:I711),$I$2:$I$1001,0),MATCH(COLUMNS($P$1006:R1006),$P$1006:$S$1006,0)), HYPERLINK("#",""), HYPERLINK(CONCATENATE("#metadata!", ADDRESS(INDEX($K$2:$K$1001,MATCH(ROWS($I$2:I711),$I$2:$I$1001,0),0), INDEX($P$1004:$S$1004,1,MATCH(COLUMNS($P$1006:R1006),$P$1006:$S$1006,0)))),"Fix")))</f>
        <v>0</v>
      </c>
      <c r="E711" s="3">
        <f>IF(OR(INDEX($J$2:$J$1001,MATCH(ROWS($I$2:I711),$I$2:$I$1001,0),1)&gt;=100000,INDEX($P$1005:$S$1005,1,MATCH(COLUMNS($P$1006:S1006),$P$1006:$S$1006,0))&gt;=100000), " ",IF(INDEX($P$2:$S$1001,MATCH(ROWS($I$2:I711),$I$2:$I$1001,0),MATCH(COLUMNS($P$1006:S1006),$P$1006:$S$1006,0)), HYPERLINK("#",""), HYPERLINK(CONCATENATE("#metadata!", ADDRESS(INDEX($K$2:$K$1001,MATCH(ROWS($I$2:I711),$I$2:$I$1001,0),0), INDEX($P$1004:$S$1004,1,MATCH(COLUMNS($P$1006:S1006),$P$1006:$S$1006,0)))),"Fix")))</f>
        <v>0</v>
      </c>
      <c r="I711">
        <v>0</v>
      </c>
      <c r="J711">
        <v>0</v>
      </c>
      <c r="K711">
        <v>0</v>
      </c>
      <c r="L711">
        <f>IF(M711,TRUE,AND(P711:S711))</f>
        <v>0</v>
      </c>
      <c r="M711">
        <f>COUNTBLANK(metadata!B711:E711)=COLUMNS(metadata!B711:E711)</f>
        <v>0</v>
      </c>
      <c r="N711">
        <v>0</v>
      </c>
      <c r="P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Q711">
        <f>AND(IF(metadata!C711="",FALSE,TRUE),exact(metadata!C711,"other"))</f>
        <v>0</v>
      </c>
      <c r="R711">
        <f>AND(IF(metadata!D711="",FALSE,TRUE),exact(metadata!D711,"metagenome"))</f>
        <v>0</v>
      </c>
      <c r="S711">
        <f>AND(IF(metadata!E711="",FALSE,TRUE),exact(metadata!E711,"256318"))</f>
        <v>0</v>
      </c>
    </row>
    <row r="712" spans="1:19">
      <c r="A712" s="4">
        <f>IF(B712=" "," ",HYPERLINK(CONCATENATE("#metadata!",ADDRESS(INDEX($K$2:$K$1001,MATCH(ROWS($I$2:I712),$I$2:$I$1001,0),0),1)),INDEX($N$2:$N$1001,MATCH(ROWS($I$2:I712),$I$2:$I$1001,0),0)))</f>
        <v>0</v>
      </c>
      <c r="B712" s="3">
        <f>IF(OR(INDEX($J$2:$J$1001,MATCH(ROWS($I$2:I712),$I$2:$I$1001,0),1)&gt;=100000,INDEX($P$1005:$S$1005,1,MATCH(COLUMNS($P$1006:P1006),$P$1006:$S$1006,0))&gt;=100000), " ",IF(INDEX($P$2:$S$1001,MATCH(ROWS($I$2:I712),$I$2:$I$1001,0),MATCH(COLUMNS($P$1006:P1006),$P$1006:$S$1006,0)), HYPERLINK("#",""), HYPERLINK(CONCATENATE("#metadata!", ADDRESS(INDEX($K$2:$K$1001,MATCH(ROWS($I$2:I712),$I$2:$I$1001,0),0), INDEX($P$1004:$S$1004,1,MATCH(COLUMNS($P$1006:P1006),$P$1006:$S$1006,0)))),"Fix")))</f>
        <v>0</v>
      </c>
      <c r="C712" s="3">
        <f>IF(OR(INDEX($J$2:$J$1001,MATCH(ROWS($I$2:I712),$I$2:$I$1001,0),1)&gt;=100000,INDEX($P$1005:$S$1005,1,MATCH(COLUMNS($P$1006:Q1006),$P$1006:$S$1006,0))&gt;=100000), " ",IF(INDEX($P$2:$S$1001,MATCH(ROWS($I$2:I712),$I$2:$I$1001,0),MATCH(COLUMNS($P$1006:Q1006),$P$1006:$S$1006,0)), HYPERLINK("#",""), HYPERLINK(CONCATENATE("#metadata!", ADDRESS(INDEX($K$2:$K$1001,MATCH(ROWS($I$2:I712),$I$2:$I$1001,0),0), INDEX($P$1004:$S$1004,1,MATCH(COLUMNS($P$1006:Q1006),$P$1006:$S$1006,0)))),"Fix")))</f>
        <v>0</v>
      </c>
      <c r="D712" s="3">
        <f>IF(OR(INDEX($J$2:$J$1001,MATCH(ROWS($I$2:I712),$I$2:$I$1001,0),1)&gt;=100000,INDEX($P$1005:$S$1005,1,MATCH(COLUMNS($P$1006:R1006),$P$1006:$S$1006,0))&gt;=100000), " ",IF(INDEX($P$2:$S$1001,MATCH(ROWS($I$2:I712),$I$2:$I$1001,0),MATCH(COLUMNS($P$1006:R1006),$P$1006:$S$1006,0)), HYPERLINK("#",""), HYPERLINK(CONCATENATE("#metadata!", ADDRESS(INDEX($K$2:$K$1001,MATCH(ROWS($I$2:I712),$I$2:$I$1001,0),0), INDEX($P$1004:$S$1004,1,MATCH(COLUMNS($P$1006:R1006),$P$1006:$S$1006,0)))),"Fix")))</f>
        <v>0</v>
      </c>
      <c r="E712" s="3">
        <f>IF(OR(INDEX($J$2:$J$1001,MATCH(ROWS($I$2:I712),$I$2:$I$1001,0),1)&gt;=100000,INDEX($P$1005:$S$1005,1,MATCH(COLUMNS($P$1006:S1006),$P$1006:$S$1006,0))&gt;=100000), " ",IF(INDEX($P$2:$S$1001,MATCH(ROWS($I$2:I712),$I$2:$I$1001,0),MATCH(COLUMNS($P$1006:S1006),$P$1006:$S$1006,0)), HYPERLINK("#",""), HYPERLINK(CONCATENATE("#metadata!", ADDRESS(INDEX($K$2:$K$1001,MATCH(ROWS($I$2:I712),$I$2:$I$1001,0),0), INDEX($P$1004:$S$1004,1,MATCH(COLUMNS($P$1006:S1006),$P$1006:$S$1006,0)))),"Fix")))</f>
        <v>0</v>
      </c>
      <c r="I712">
        <v>0</v>
      </c>
      <c r="J712">
        <v>0</v>
      </c>
      <c r="K712">
        <v>0</v>
      </c>
      <c r="L712">
        <f>IF(M712,TRUE,AND(P712:S712))</f>
        <v>0</v>
      </c>
      <c r="M712">
        <f>COUNTBLANK(metadata!B712:E712)=COLUMNS(metadata!B712:E712)</f>
        <v>0</v>
      </c>
      <c r="N712">
        <v>0</v>
      </c>
      <c r="P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Q712">
        <f>AND(IF(metadata!C712="",FALSE,TRUE),exact(metadata!C712,"other"))</f>
        <v>0</v>
      </c>
      <c r="R712">
        <f>AND(IF(metadata!D712="",FALSE,TRUE),exact(metadata!D712,"metagenome"))</f>
        <v>0</v>
      </c>
      <c r="S712">
        <f>AND(IF(metadata!E712="",FALSE,TRUE),exact(metadata!E712,"256318"))</f>
        <v>0</v>
      </c>
    </row>
    <row r="713" spans="1:19">
      <c r="A713" s="4">
        <f>IF(B713=" "," ",HYPERLINK(CONCATENATE("#metadata!",ADDRESS(INDEX($K$2:$K$1001,MATCH(ROWS($I$2:I713),$I$2:$I$1001,0),0),1)),INDEX($N$2:$N$1001,MATCH(ROWS($I$2:I713),$I$2:$I$1001,0),0)))</f>
        <v>0</v>
      </c>
      <c r="B713" s="3">
        <f>IF(OR(INDEX($J$2:$J$1001,MATCH(ROWS($I$2:I713),$I$2:$I$1001,0),1)&gt;=100000,INDEX($P$1005:$S$1005,1,MATCH(COLUMNS($P$1006:P1006),$P$1006:$S$1006,0))&gt;=100000), " ",IF(INDEX($P$2:$S$1001,MATCH(ROWS($I$2:I713),$I$2:$I$1001,0),MATCH(COLUMNS($P$1006:P1006),$P$1006:$S$1006,0)), HYPERLINK("#",""), HYPERLINK(CONCATENATE("#metadata!", ADDRESS(INDEX($K$2:$K$1001,MATCH(ROWS($I$2:I713),$I$2:$I$1001,0),0), INDEX($P$1004:$S$1004,1,MATCH(COLUMNS($P$1006:P1006),$P$1006:$S$1006,0)))),"Fix")))</f>
        <v>0</v>
      </c>
      <c r="C713" s="3">
        <f>IF(OR(INDEX($J$2:$J$1001,MATCH(ROWS($I$2:I713),$I$2:$I$1001,0),1)&gt;=100000,INDEX($P$1005:$S$1005,1,MATCH(COLUMNS($P$1006:Q1006),$P$1006:$S$1006,0))&gt;=100000), " ",IF(INDEX($P$2:$S$1001,MATCH(ROWS($I$2:I713),$I$2:$I$1001,0),MATCH(COLUMNS($P$1006:Q1006),$P$1006:$S$1006,0)), HYPERLINK("#",""), HYPERLINK(CONCATENATE("#metadata!", ADDRESS(INDEX($K$2:$K$1001,MATCH(ROWS($I$2:I713),$I$2:$I$1001,0),0), INDEX($P$1004:$S$1004,1,MATCH(COLUMNS($P$1006:Q1006),$P$1006:$S$1006,0)))),"Fix")))</f>
        <v>0</v>
      </c>
      <c r="D713" s="3">
        <f>IF(OR(INDEX($J$2:$J$1001,MATCH(ROWS($I$2:I713),$I$2:$I$1001,0),1)&gt;=100000,INDEX($P$1005:$S$1005,1,MATCH(COLUMNS($P$1006:R1006),$P$1006:$S$1006,0))&gt;=100000), " ",IF(INDEX($P$2:$S$1001,MATCH(ROWS($I$2:I713),$I$2:$I$1001,0),MATCH(COLUMNS($P$1006:R1006),$P$1006:$S$1006,0)), HYPERLINK("#",""), HYPERLINK(CONCATENATE("#metadata!", ADDRESS(INDEX($K$2:$K$1001,MATCH(ROWS($I$2:I713),$I$2:$I$1001,0),0), INDEX($P$1004:$S$1004,1,MATCH(COLUMNS($P$1006:R1006),$P$1006:$S$1006,0)))),"Fix")))</f>
        <v>0</v>
      </c>
      <c r="E713" s="3">
        <f>IF(OR(INDEX($J$2:$J$1001,MATCH(ROWS($I$2:I713),$I$2:$I$1001,0),1)&gt;=100000,INDEX($P$1005:$S$1005,1,MATCH(COLUMNS($P$1006:S1006),$P$1006:$S$1006,0))&gt;=100000), " ",IF(INDEX($P$2:$S$1001,MATCH(ROWS($I$2:I713),$I$2:$I$1001,0),MATCH(COLUMNS($P$1006:S1006),$P$1006:$S$1006,0)), HYPERLINK("#",""), HYPERLINK(CONCATENATE("#metadata!", ADDRESS(INDEX($K$2:$K$1001,MATCH(ROWS($I$2:I713),$I$2:$I$1001,0),0), INDEX($P$1004:$S$1004,1,MATCH(COLUMNS($P$1006:S1006),$P$1006:$S$1006,0)))),"Fix")))</f>
        <v>0</v>
      </c>
      <c r="I713">
        <v>0</v>
      </c>
      <c r="J713">
        <v>0</v>
      </c>
      <c r="K713">
        <v>0</v>
      </c>
      <c r="L713">
        <f>IF(M713,TRUE,AND(P713:S713))</f>
        <v>0</v>
      </c>
      <c r="M713">
        <f>COUNTBLANK(metadata!B713:E713)=COLUMNS(metadata!B713:E713)</f>
        <v>0</v>
      </c>
      <c r="N713">
        <v>0</v>
      </c>
      <c r="P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Q713">
        <f>AND(IF(metadata!C713="",FALSE,TRUE),exact(metadata!C713,"other"))</f>
        <v>0</v>
      </c>
      <c r="R713">
        <f>AND(IF(metadata!D713="",FALSE,TRUE),exact(metadata!D713,"metagenome"))</f>
        <v>0</v>
      </c>
      <c r="S713">
        <f>AND(IF(metadata!E713="",FALSE,TRUE),exact(metadata!E713,"256318"))</f>
        <v>0</v>
      </c>
    </row>
    <row r="714" spans="1:19">
      <c r="A714" s="4">
        <f>IF(B714=" "," ",HYPERLINK(CONCATENATE("#metadata!",ADDRESS(INDEX($K$2:$K$1001,MATCH(ROWS($I$2:I714),$I$2:$I$1001,0),0),1)),INDEX($N$2:$N$1001,MATCH(ROWS($I$2:I714),$I$2:$I$1001,0),0)))</f>
        <v>0</v>
      </c>
      <c r="B714" s="3">
        <f>IF(OR(INDEX($J$2:$J$1001,MATCH(ROWS($I$2:I714),$I$2:$I$1001,0),1)&gt;=100000,INDEX($P$1005:$S$1005,1,MATCH(COLUMNS($P$1006:P1006),$P$1006:$S$1006,0))&gt;=100000), " ",IF(INDEX($P$2:$S$1001,MATCH(ROWS($I$2:I714),$I$2:$I$1001,0),MATCH(COLUMNS($P$1006:P1006),$P$1006:$S$1006,0)), HYPERLINK("#",""), HYPERLINK(CONCATENATE("#metadata!", ADDRESS(INDEX($K$2:$K$1001,MATCH(ROWS($I$2:I714),$I$2:$I$1001,0),0), INDEX($P$1004:$S$1004,1,MATCH(COLUMNS($P$1006:P1006),$P$1006:$S$1006,0)))),"Fix")))</f>
        <v>0</v>
      </c>
      <c r="C714" s="3">
        <f>IF(OR(INDEX($J$2:$J$1001,MATCH(ROWS($I$2:I714),$I$2:$I$1001,0),1)&gt;=100000,INDEX($P$1005:$S$1005,1,MATCH(COLUMNS($P$1006:Q1006),$P$1006:$S$1006,0))&gt;=100000), " ",IF(INDEX($P$2:$S$1001,MATCH(ROWS($I$2:I714),$I$2:$I$1001,0),MATCH(COLUMNS($P$1006:Q1006),$P$1006:$S$1006,0)), HYPERLINK("#",""), HYPERLINK(CONCATENATE("#metadata!", ADDRESS(INDEX($K$2:$K$1001,MATCH(ROWS($I$2:I714),$I$2:$I$1001,0),0), INDEX($P$1004:$S$1004,1,MATCH(COLUMNS($P$1006:Q1006),$P$1006:$S$1006,0)))),"Fix")))</f>
        <v>0</v>
      </c>
      <c r="D714" s="3">
        <f>IF(OR(INDEX($J$2:$J$1001,MATCH(ROWS($I$2:I714),$I$2:$I$1001,0),1)&gt;=100000,INDEX($P$1005:$S$1005,1,MATCH(COLUMNS($P$1006:R1006),$P$1006:$S$1006,0))&gt;=100000), " ",IF(INDEX($P$2:$S$1001,MATCH(ROWS($I$2:I714),$I$2:$I$1001,0),MATCH(COLUMNS($P$1006:R1006),$P$1006:$S$1006,0)), HYPERLINK("#",""), HYPERLINK(CONCATENATE("#metadata!", ADDRESS(INDEX($K$2:$K$1001,MATCH(ROWS($I$2:I714),$I$2:$I$1001,0),0), INDEX($P$1004:$S$1004,1,MATCH(COLUMNS($P$1006:R1006),$P$1006:$S$1006,0)))),"Fix")))</f>
        <v>0</v>
      </c>
      <c r="E714" s="3">
        <f>IF(OR(INDEX($J$2:$J$1001,MATCH(ROWS($I$2:I714),$I$2:$I$1001,0),1)&gt;=100000,INDEX($P$1005:$S$1005,1,MATCH(COLUMNS($P$1006:S1006),$P$1006:$S$1006,0))&gt;=100000), " ",IF(INDEX($P$2:$S$1001,MATCH(ROWS($I$2:I714),$I$2:$I$1001,0),MATCH(COLUMNS($P$1006:S1006),$P$1006:$S$1006,0)), HYPERLINK("#",""), HYPERLINK(CONCATENATE("#metadata!", ADDRESS(INDEX($K$2:$K$1001,MATCH(ROWS($I$2:I714),$I$2:$I$1001,0),0), INDEX($P$1004:$S$1004,1,MATCH(COLUMNS($P$1006:S1006),$P$1006:$S$1006,0)))),"Fix")))</f>
        <v>0</v>
      </c>
      <c r="I714">
        <v>0</v>
      </c>
      <c r="J714">
        <v>0</v>
      </c>
      <c r="K714">
        <v>0</v>
      </c>
      <c r="L714">
        <f>IF(M714,TRUE,AND(P714:S714))</f>
        <v>0</v>
      </c>
      <c r="M714">
        <f>COUNTBLANK(metadata!B714:E714)=COLUMNS(metadata!B714:E714)</f>
        <v>0</v>
      </c>
      <c r="N714">
        <v>0</v>
      </c>
      <c r="P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Q714">
        <f>AND(IF(metadata!C714="",FALSE,TRUE),exact(metadata!C714,"other"))</f>
        <v>0</v>
      </c>
      <c r="R714">
        <f>AND(IF(metadata!D714="",FALSE,TRUE),exact(metadata!D714,"metagenome"))</f>
        <v>0</v>
      </c>
      <c r="S714">
        <f>AND(IF(metadata!E714="",FALSE,TRUE),exact(metadata!E714,"256318"))</f>
        <v>0</v>
      </c>
    </row>
    <row r="715" spans="1:19">
      <c r="A715" s="4">
        <f>IF(B715=" "," ",HYPERLINK(CONCATENATE("#metadata!",ADDRESS(INDEX($K$2:$K$1001,MATCH(ROWS($I$2:I715),$I$2:$I$1001,0),0),1)),INDEX($N$2:$N$1001,MATCH(ROWS($I$2:I715),$I$2:$I$1001,0),0)))</f>
        <v>0</v>
      </c>
      <c r="B715" s="3">
        <f>IF(OR(INDEX($J$2:$J$1001,MATCH(ROWS($I$2:I715),$I$2:$I$1001,0),1)&gt;=100000,INDEX($P$1005:$S$1005,1,MATCH(COLUMNS($P$1006:P1006),$P$1006:$S$1006,0))&gt;=100000), " ",IF(INDEX($P$2:$S$1001,MATCH(ROWS($I$2:I715),$I$2:$I$1001,0),MATCH(COLUMNS($P$1006:P1006),$P$1006:$S$1006,0)), HYPERLINK("#",""), HYPERLINK(CONCATENATE("#metadata!", ADDRESS(INDEX($K$2:$K$1001,MATCH(ROWS($I$2:I715),$I$2:$I$1001,0),0), INDEX($P$1004:$S$1004,1,MATCH(COLUMNS($P$1006:P1006),$P$1006:$S$1006,0)))),"Fix")))</f>
        <v>0</v>
      </c>
      <c r="C715" s="3">
        <f>IF(OR(INDEX($J$2:$J$1001,MATCH(ROWS($I$2:I715),$I$2:$I$1001,0),1)&gt;=100000,INDEX($P$1005:$S$1005,1,MATCH(COLUMNS($P$1006:Q1006),$P$1006:$S$1006,0))&gt;=100000), " ",IF(INDEX($P$2:$S$1001,MATCH(ROWS($I$2:I715),$I$2:$I$1001,0),MATCH(COLUMNS($P$1006:Q1006),$P$1006:$S$1006,0)), HYPERLINK("#",""), HYPERLINK(CONCATENATE("#metadata!", ADDRESS(INDEX($K$2:$K$1001,MATCH(ROWS($I$2:I715),$I$2:$I$1001,0),0), INDEX($P$1004:$S$1004,1,MATCH(COLUMNS($P$1006:Q1006),$P$1006:$S$1006,0)))),"Fix")))</f>
        <v>0</v>
      </c>
      <c r="D715" s="3">
        <f>IF(OR(INDEX($J$2:$J$1001,MATCH(ROWS($I$2:I715),$I$2:$I$1001,0),1)&gt;=100000,INDEX($P$1005:$S$1005,1,MATCH(COLUMNS($P$1006:R1006),$P$1006:$S$1006,0))&gt;=100000), " ",IF(INDEX($P$2:$S$1001,MATCH(ROWS($I$2:I715),$I$2:$I$1001,0),MATCH(COLUMNS($P$1006:R1006),$P$1006:$S$1006,0)), HYPERLINK("#",""), HYPERLINK(CONCATENATE("#metadata!", ADDRESS(INDEX($K$2:$K$1001,MATCH(ROWS($I$2:I715),$I$2:$I$1001,0),0), INDEX($P$1004:$S$1004,1,MATCH(COLUMNS($P$1006:R1006),$P$1006:$S$1006,0)))),"Fix")))</f>
        <v>0</v>
      </c>
      <c r="E715" s="3">
        <f>IF(OR(INDEX($J$2:$J$1001,MATCH(ROWS($I$2:I715),$I$2:$I$1001,0),1)&gt;=100000,INDEX($P$1005:$S$1005,1,MATCH(COLUMNS($P$1006:S1006),$P$1006:$S$1006,0))&gt;=100000), " ",IF(INDEX($P$2:$S$1001,MATCH(ROWS($I$2:I715),$I$2:$I$1001,0),MATCH(COLUMNS($P$1006:S1006),$P$1006:$S$1006,0)), HYPERLINK("#",""), HYPERLINK(CONCATENATE("#metadata!", ADDRESS(INDEX($K$2:$K$1001,MATCH(ROWS($I$2:I715),$I$2:$I$1001,0),0), INDEX($P$1004:$S$1004,1,MATCH(COLUMNS($P$1006:S1006),$P$1006:$S$1006,0)))),"Fix")))</f>
        <v>0</v>
      </c>
      <c r="I715">
        <v>0</v>
      </c>
      <c r="J715">
        <v>0</v>
      </c>
      <c r="K715">
        <v>0</v>
      </c>
      <c r="L715">
        <f>IF(M715,TRUE,AND(P715:S715))</f>
        <v>0</v>
      </c>
      <c r="M715">
        <f>COUNTBLANK(metadata!B715:E715)=COLUMNS(metadata!B715:E715)</f>
        <v>0</v>
      </c>
      <c r="N715">
        <v>0</v>
      </c>
      <c r="P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Q715">
        <f>AND(IF(metadata!C715="",FALSE,TRUE),exact(metadata!C715,"other"))</f>
        <v>0</v>
      </c>
      <c r="R715">
        <f>AND(IF(metadata!D715="",FALSE,TRUE),exact(metadata!D715,"metagenome"))</f>
        <v>0</v>
      </c>
      <c r="S715">
        <f>AND(IF(metadata!E715="",FALSE,TRUE),exact(metadata!E715,"256318"))</f>
        <v>0</v>
      </c>
    </row>
    <row r="716" spans="1:19">
      <c r="A716" s="4">
        <f>IF(B716=" "," ",HYPERLINK(CONCATENATE("#metadata!",ADDRESS(INDEX($K$2:$K$1001,MATCH(ROWS($I$2:I716),$I$2:$I$1001,0),0),1)),INDEX($N$2:$N$1001,MATCH(ROWS($I$2:I716),$I$2:$I$1001,0),0)))</f>
        <v>0</v>
      </c>
      <c r="B716" s="3">
        <f>IF(OR(INDEX($J$2:$J$1001,MATCH(ROWS($I$2:I716),$I$2:$I$1001,0),1)&gt;=100000,INDEX($P$1005:$S$1005,1,MATCH(COLUMNS($P$1006:P1006),$P$1006:$S$1006,0))&gt;=100000), " ",IF(INDEX($P$2:$S$1001,MATCH(ROWS($I$2:I716),$I$2:$I$1001,0),MATCH(COLUMNS($P$1006:P1006),$P$1006:$S$1006,0)), HYPERLINK("#",""), HYPERLINK(CONCATENATE("#metadata!", ADDRESS(INDEX($K$2:$K$1001,MATCH(ROWS($I$2:I716),$I$2:$I$1001,0),0), INDEX($P$1004:$S$1004,1,MATCH(COLUMNS($P$1006:P1006),$P$1006:$S$1006,0)))),"Fix")))</f>
        <v>0</v>
      </c>
      <c r="C716" s="3">
        <f>IF(OR(INDEX($J$2:$J$1001,MATCH(ROWS($I$2:I716),$I$2:$I$1001,0),1)&gt;=100000,INDEX($P$1005:$S$1005,1,MATCH(COLUMNS($P$1006:Q1006),$P$1006:$S$1006,0))&gt;=100000), " ",IF(INDEX($P$2:$S$1001,MATCH(ROWS($I$2:I716),$I$2:$I$1001,0),MATCH(COLUMNS($P$1006:Q1006),$P$1006:$S$1006,0)), HYPERLINK("#",""), HYPERLINK(CONCATENATE("#metadata!", ADDRESS(INDEX($K$2:$K$1001,MATCH(ROWS($I$2:I716),$I$2:$I$1001,0),0), INDEX($P$1004:$S$1004,1,MATCH(COLUMNS($P$1006:Q1006),$P$1006:$S$1006,0)))),"Fix")))</f>
        <v>0</v>
      </c>
      <c r="D716" s="3">
        <f>IF(OR(INDEX($J$2:$J$1001,MATCH(ROWS($I$2:I716),$I$2:$I$1001,0),1)&gt;=100000,INDEX($P$1005:$S$1005,1,MATCH(COLUMNS($P$1006:R1006),$P$1006:$S$1006,0))&gt;=100000), " ",IF(INDEX($P$2:$S$1001,MATCH(ROWS($I$2:I716),$I$2:$I$1001,0),MATCH(COLUMNS($P$1006:R1006),$P$1006:$S$1006,0)), HYPERLINK("#",""), HYPERLINK(CONCATENATE("#metadata!", ADDRESS(INDEX($K$2:$K$1001,MATCH(ROWS($I$2:I716),$I$2:$I$1001,0),0), INDEX($P$1004:$S$1004,1,MATCH(COLUMNS($P$1006:R1006),$P$1006:$S$1006,0)))),"Fix")))</f>
        <v>0</v>
      </c>
      <c r="E716" s="3">
        <f>IF(OR(INDEX($J$2:$J$1001,MATCH(ROWS($I$2:I716),$I$2:$I$1001,0),1)&gt;=100000,INDEX($P$1005:$S$1005,1,MATCH(COLUMNS($P$1006:S1006),$P$1006:$S$1006,0))&gt;=100000), " ",IF(INDEX($P$2:$S$1001,MATCH(ROWS($I$2:I716),$I$2:$I$1001,0),MATCH(COLUMNS($P$1006:S1006),$P$1006:$S$1006,0)), HYPERLINK("#",""), HYPERLINK(CONCATENATE("#metadata!", ADDRESS(INDEX($K$2:$K$1001,MATCH(ROWS($I$2:I716),$I$2:$I$1001,0),0), INDEX($P$1004:$S$1004,1,MATCH(COLUMNS($P$1006:S1006),$P$1006:$S$1006,0)))),"Fix")))</f>
        <v>0</v>
      </c>
      <c r="I716">
        <v>0</v>
      </c>
      <c r="J716">
        <v>0</v>
      </c>
      <c r="K716">
        <v>0</v>
      </c>
      <c r="L716">
        <f>IF(M716,TRUE,AND(P716:S716))</f>
        <v>0</v>
      </c>
      <c r="M716">
        <f>COUNTBLANK(metadata!B716:E716)=COLUMNS(metadata!B716:E716)</f>
        <v>0</v>
      </c>
      <c r="N716">
        <v>0</v>
      </c>
      <c r="P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Q716">
        <f>AND(IF(metadata!C716="",FALSE,TRUE),exact(metadata!C716,"other"))</f>
        <v>0</v>
      </c>
      <c r="R716">
        <f>AND(IF(metadata!D716="",FALSE,TRUE),exact(metadata!D716,"metagenome"))</f>
        <v>0</v>
      </c>
      <c r="S716">
        <f>AND(IF(metadata!E716="",FALSE,TRUE),exact(metadata!E716,"256318"))</f>
        <v>0</v>
      </c>
    </row>
    <row r="717" spans="1:19">
      <c r="A717" s="4">
        <f>IF(B717=" "," ",HYPERLINK(CONCATENATE("#metadata!",ADDRESS(INDEX($K$2:$K$1001,MATCH(ROWS($I$2:I717),$I$2:$I$1001,0),0),1)),INDEX($N$2:$N$1001,MATCH(ROWS($I$2:I717),$I$2:$I$1001,0),0)))</f>
        <v>0</v>
      </c>
      <c r="B717" s="3">
        <f>IF(OR(INDEX($J$2:$J$1001,MATCH(ROWS($I$2:I717),$I$2:$I$1001,0),1)&gt;=100000,INDEX($P$1005:$S$1005,1,MATCH(COLUMNS($P$1006:P1006),$P$1006:$S$1006,0))&gt;=100000), " ",IF(INDEX($P$2:$S$1001,MATCH(ROWS($I$2:I717),$I$2:$I$1001,0),MATCH(COLUMNS($P$1006:P1006),$P$1006:$S$1006,0)), HYPERLINK("#",""), HYPERLINK(CONCATENATE("#metadata!", ADDRESS(INDEX($K$2:$K$1001,MATCH(ROWS($I$2:I717),$I$2:$I$1001,0),0), INDEX($P$1004:$S$1004,1,MATCH(COLUMNS($P$1006:P1006),$P$1006:$S$1006,0)))),"Fix")))</f>
        <v>0</v>
      </c>
      <c r="C717" s="3">
        <f>IF(OR(INDEX($J$2:$J$1001,MATCH(ROWS($I$2:I717),$I$2:$I$1001,0),1)&gt;=100000,INDEX($P$1005:$S$1005,1,MATCH(COLUMNS($P$1006:Q1006),$P$1006:$S$1006,0))&gt;=100000), " ",IF(INDEX($P$2:$S$1001,MATCH(ROWS($I$2:I717),$I$2:$I$1001,0),MATCH(COLUMNS($P$1006:Q1006),$P$1006:$S$1006,0)), HYPERLINK("#",""), HYPERLINK(CONCATENATE("#metadata!", ADDRESS(INDEX($K$2:$K$1001,MATCH(ROWS($I$2:I717),$I$2:$I$1001,0),0), INDEX($P$1004:$S$1004,1,MATCH(COLUMNS($P$1006:Q1006),$P$1006:$S$1006,0)))),"Fix")))</f>
        <v>0</v>
      </c>
      <c r="D717" s="3">
        <f>IF(OR(INDEX($J$2:$J$1001,MATCH(ROWS($I$2:I717),$I$2:$I$1001,0),1)&gt;=100000,INDEX($P$1005:$S$1005,1,MATCH(COLUMNS($P$1006:R1006),$P$1006:$S$1006,0))&gt;=100000), " ",IF(INDEX($P$2:$S$1001,MATCH(ROWS($I$2:I717),$I$2:$I$1001,0),MATCH(COLUMNS($P$1006:R1006),$P$1006:$S$1006,0)), HYPERLINK("#",""), HYPERLINK(CONCATENATE("#metadata!", ADDRESS(INDEX($K$2:$K$1001,MATCH(ROWS($I$2:I717),$I$2:$I$1001,0),0), INDEX($P$1004:$S$1004,1,MATCH(COLUMNS($P$1006:R1006),$P$1006:$S$1006,0)))),"Fix")))</f>
        <v>0</v>
      </c>
      <c r="E717" s="3">
        <f>IF(OR(INDEX($J$2:$J$1001,MATCH(ROWS($I$2:I717),$I$2:$I$1001,0),1)&gt;=100000,INDEX($P$1005:$S$1005,1,MATCH(COLUMNS($P$1006:S1006),$P$1006:$S$1006,0))&gt;=100000), " ",IF(INDEX($P$2:$S$1001,MATCH(ROWS($I$2:I717),$I$2:$I$1001,0),MATCH(COLUMNS($P$1006:S1006),$P$1006:$S$1006,0)), HYPERLINK("#",""), HYPERLINK(CONCATENATE("#metadata!", ADDRESS(INDEX($K$2:$K$1001,MATCH(ROWS($I$2:I717),$I$2:$I$1001,0),0), INDEX($P$1004:$S$1004,1,MATCH(COLUMNS($P$1006:S1006),$P$1006:$S$1006,0)))),"Fix")))</f>
        <v>0</v>
      </c>
      <c r="I717">
        <v>0</v>
      </c>
      <c r="J717">
        <v>0</v>
      </c>
      <c r="K717">
        <v>0</v>
      </c>
      <c r="L717">
        <f>IF(M717,TRUE,AND(P717:S717))</f>
        <v>0</v>
      </c>
      <c r="M717">
        <f>COUNTBLANK(metadata!B717:E717)=COLUMNS(metadata!B717:E717)</f>
        <v>0</v>
      </c>
      <c r="N717">
        <v>0</v>
      </c>
      <c r="P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Q717">
        <f>AND(IF(metadata!C717="",FALSE,TRUE),exact(metadata!C717,"other"))</f>
        <v>0</v>
      </c>
      <c r="R717">
        <f>AND(IF(metadata!D717="",FALSE,TRUE),exact(metadata!D717,"metagenome"))</f>
        <v>0</v>
      </c>
      <c r="S717">
        <f>AND(IF(metadata!E717="",FALSE,TRUE),exact(metadata!E717,"256318"))</f>
        <v>0</v>
      </c>
    </row>
    <row r="718" spans="1:19">
      <c r="A718" s="4">
        <f>IF(B718=" "," ",HYPERLINK(CONCATENATE("#metadata!",ADDRESS(INDEX($K$2:$K$1001,MATCH(ROWS($I$2:I718),$I$2:$I$1001,0),0),1)),INDEX($N$2:$N$1001,MATCH(ROWS($I$2:I718),$I$2:$I$1001,0),0)))</f>
        <v>0</v>
      </c>
      <c r="B718" s="3">
        <f>IF(OR(INDEX($J$2:$J$1001,MATCH(ROWS($I$2:I718),$I$2:$I$1001,0),1)&gt;=100000,INDEX($P$1005:$S$1005,1,MATCH(COLUMNS($P$1006:P1006),$P$1006:$S$1006,0))&gt;=100000), " ",IF(INDEX($P$2:$S$1001,MATCH(ROWS($I$2:I718),$I$2:$I$1001,0),MATCH(COLUMNS($P$1006:P1006),$P$1006:$S$1006,0)), HYPERLINK("#",""), HYPERLINK(CONCATENATE("#metadata!", ADDRESS(INDEX($K$2:$K$1001,MATCH(ROWS($I$2:I718),$I$2:$I$1001,0),0), INDEX($P$1004:$S$1004,1,MATCH(COLUMNS($P$1006:P1006),$P$1006:$S$1006,0)))),"Fix")))</f>
        <v>0</v>
      </c>
      <c r="C718" s="3">
        <f>IF(OR(INDEX($J$2:$J$1001,MATCH(ROWS($I$2:I718),$I$2:$I$1001,0),1)&gt;=100000,INDEX($P$1005:$S$1005,1,MATCH(COLUMNS($P$1006:Q1006),$P$1006:$S$1006,0))&gt;=100000), " ",IF(INDEX($P$2:$S$1001,MATCH(ROWS($I$2:I718),$I$2:$I$1001,0),MATCH(COLUMNS($P$1006:Q1006),$P$1006:$S$1006,0)), HYPERLINK("#",""), HYPERLINK(CONCATENATE("#metadata!", ADDRESS(INDEX($K$2:$K$1001,MATCH(ROWS($I$2:I718),$I$2:$I$1001,0),0), INDEX($P$1004:$S$1004,1,MATCH(COLUMNS($P$1006:Q1006),$P$1006:$S$1006,0)))),"Fix")))</f>
        <v>0</v>
      </c>
      <c r="D718" s="3">
        <f>IF(OR(INDEX($J$2:$J$1001,MATCH(ROWS($I$2:I718),$I$2:$I$1001,0),1)&gt;=100000,INDEX($P$1005:$S$1005,1,MATCH(COLUMNS($P$1006:R1006),$P$1006:$S$1006,0))&gt;=100000), " ",IF(INDEX($P$2:$S$1001,MATCH(ROWS($I$2:I718),$I$2:$I$1001,0),MATCH(COLUMNS($P$1006:R1006),$P$1006:$S$1006,0)), HYPERLINK("#",""), HYPERLINK(CONCATENATE("#metadata!", ADDRESS(INDEX($K$2:$K$1001,MATCH(ROWS($I$2:I718),$I$2:$I$1001,0),0), INDEX($P$1004:$S$1004,1,MATCH(COLUMNS($P$1006:R1006),$P$1006:$S$1006,0)))),"Fix")))</f>
        <v>0</v>
      </c>
      <c r="E718" s="3">
        <f>IF(OR(INDEX($J$2:$J$1001,MATCH(ROWS($I$2:I718),$I$2:$I$1001,0),1)&gt;=100000,INDEX($P$1005:$S$1005,1,MATCH(COLUMNS($P$1006:S1006),$P$1006:$S$1006,0))&gt;=100000), " ",IF(INDEX($P$2:$S$1001,MATCH(ROWS($I$2:I718),$I$2:$I$1001,0),MATCH(COLUMNS($P$1006:S1006),$P$1006:$S$1006,0)), HYPERLINK("#",""), HYPERLINK(CONCATENATE("#metadata!", ADDRESS(INDEX($K$2:$K$1001,MATCH(ROWS($I$2:I718),$I$2:$I$1001,0),0), INDEX($P$1004:$S$1004,1,MATCH(COLUMNS($P$1006:S1006),$P$1006:$S$1006,0)))),"Fix")))</f>
        <v>0</v>
      </c>
      <c r="I718">
        <v>0</v>
      </c>
      <c r="J718">
        <v>0</v>
      </c>
      <c r="K718">
        <v>0</v>
      </c>
      <c r="L718">
        <f>IF(M718,TRUE,AND(P718:S718))</f>
        <v>0</v>
      </c>
      <c r="M718">
        <f>COUNTBLANK(metadata!B718:E718)=COLUMNS(metadata!B718:E718)</f>
        <v>0</v>
      </c>
      <c r="N718">
        <v>0</v>
      </c>
      <c r="P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Q718">
        <f>AND(IF(metadata!C718="",FALSE,TRUE),exact(metadata!C718,"other"))</f>
        <v>0</v>
      </c>
      <c r="R718">
        <f>AND(IF(metadata!D718="",FALSE,TRUE),exact(metadata!D718,"metagenome"))</f>
        <v>0</v>
      </c>
      <c r="S718">
        <f>AND(IF(metadata!E718="",FALSE,TRUE),exact(metadata!E718,"256318"))</f>
        <v>0</v>
      </c>
    </row>
    <row r="719" spans="1:19">
      <c r="A719" s="4">
        <f>IF(B719=" "," ",HYPERLINK(CONCATENATE("#metadata!",ADDRESS(INDEX($K$2:$K$1001,MATCH(ROWS($I$2:I719),$I$2:$I$1001,0),0),1)),INDEX($N$2:$N$1001,MATCH(ROWS($I$2:I719),$I$2:$I$1001,0),0)))</f>
        <v>0</v>
      </c>
      <c r="B719" s="3">
        <f>IF(OR(INDEX($J$2:$J$1001,MATCH(ROWS($I$2:I719),$I$2:$I$1001,0),1)&gt;=100000,INDEX($P$1005:$S$1005,1,MATCH(COLUMNS($P$1006:P1006),$P$1006:$S$1006,0))&gt;=100000), " ",IF(INDEX($P$2:$S$1001,MATCH(ROWS($I$2:I719),$I$2:$I$1001,0),MATCH(COLUMNS($P$1006:P1006),$P$1006:$S$1006,0)), HYPERLINK("#",""), HYPERLINK(CONCATENATE("#metadata!", ADDRESS(INDEX($K$2:$K$1001,MATCH(ROWS($I$2:I719),$I$2:$I$1001,0),0), INDEX($P$1004:$S$1004,1,MATCH(COLUMNS($P$1006:P1006),$P$1006:$S$1006,0)))),"Fix")))</f>
        <v>0</v>
      </c>
      <c r="C719" s="3">
        <f>IF(OR(INDEX($J$2:$J$1001,MATCH(ROWS($I$2:I719),$I$2:$I$1001,0),1)&gt;=100000,INDEX($P$1005:$S$1005,1,MATCH(COLUMNS($P$1006:Q1006),$P$1006:$S$1006,0))&gt;=100000), " ",IF(INDEX($P$2:$S$1001,MATCH(ROWS($I$2:I719),$I$2:$I$1001,0),MATCH(COLUMNS($P$1006:Q1006),$P$1006:$S$1006,0)), HYPERLINK("#",""), HYPERLINK(CONCATENATE("#metadata!", ADDRESS(INDEX($K$2:$K$1001,MATCH(ROWS($I$2:I719),$I$2:$I$1001,0),0), INDEX($P$1004:$S$1004,1,MATCH(COLUMNS($P$1006:Q1006),$P$1006:$S$1006,0)))),"Fix")))</f>
        <v>0</v>
      </c>
      <c r="D719" s="3">
        <f>IF(OR(INDEX($J$2:$J$1001,MATCH(ROWS($I$2:I719),$I$2:$I$1001,0),1)&gt;=100000,INDEX($P$1005:$S$1005,1,MATCH(COLUMNS($P$1006:R1006),$P$1006:$S$1006,0))&gt;=100000), " ",IF(INDEX($P$2:$S$1001,MATCH(ROWS($I$2:I719),$I$2:$I$1001,0),MATCH(COLUMNS($P$1006:R1006),$P$1006:$S$1006,0)), HYPERLINK("#",""), HYPERLINK(CONCATENATE("#metadata!", ADDRESS(INDEX($K$2:$K$1001,MATCH(ROWS($I$2:I719),$I$2:$I$1001,0),0), INDEX($P$1004:$S$1004,1,MATCH(COLUMNS($P$1006:R1006),$P$1006:$S$1006,0)))),"Fix")))</f>
        <v>0</v>
      </c>
      <c r="E719" s="3">
        <f>IF(OR(INDEX($J$2:$J$1001,MATCH(ROWS($I$2:I719),$I$2:$I$1001,0),1)&gt;=100000,INDEX($P$1005:$S$1005,1,MATCH(COLUMNS($P$1006:S1006),$P$1006:$S$1006,0))&gt;=100000), " ",IF(INDEX($P$2:$S$1001,MATCH(ROWS($I$2:I719),$I$2:$I$1001,0),MATCH(COLUMNS($P$1006:S1006),$P$1006:$S$1006,0)), HYPERLINK("#",""), HYPERLINK(CONCATENATE("#metadata!", ADDRESS(INDEX($K$2:$K$1001,MATCH(ROWS($I$2:I719),$I$2:$I$1001,0),0), INDEX($P$1004:$S$1004,1,MATCH(COLUMNS($P$1006:S1006),$P$1006:$S$1006,0)))),"Fix")))</f>
        <v>0</v>
      </c>
      <c r="I719">
        <v>0</v>
      </c>
      <c r="J719">
        <v>0</v>
      </c>
      <c r="K719">
        <v>0</v>
      </c>
      <c r="L719">
        <f>IF(M719,TRUE,AND(P719:S719))</f>
        <v>0</v>
      </c>
      <c r="M719">
        <f>COUNTBLANK(metadata!B719:E719)=COLUMNS(metadata!B719:E719)</f>
        <v>0</v>
      </c>
      <c r="N719">
        <v>0</v>
      </c>
      <c r="P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Q719">
        <f>AND(IF(metadata!C719="",FALSE,TRUE),exact(metadata!C719,"other"))</f>
        <v>0</v>
      </c>
      <c r="R719">
        <f>AND(IF(metadata!D719="",FALSE,TRUE),exact(metadata!D719,"metagenome"))</f>
        <v>0</v>
      </c>
      <c r="S719">
        <f>AND(IF(metadata!E719="",FALSE,TRUE),exact(metadata!E719,"256318"))</f>
        <v>0</v>
      </c>
    </row>
    <row r="720" spans="1:19">
      <c r="A720" s="4">
        <f>IF(B720=" "," ",HYPERLINK(CONCATENATE("#metadata!",ADDRESS(INDEX($K$2:$K$1001,MATCH(ROWS($I$2:I720),$I$2:$I$1001,0),0),1)),INDEX($N$2:$N$1001,MATCH(ROWS($I$2:I720),$I$2:$I$1001,0),0)))</f>
        <v>0</v>
      </c>
      <c r="B720" s="3">
        <f>IF(OR(INDEX($J$2:$J$1001,MATCH(ROWS($I$2:I720),$I$2:$I$1001,0),1)&gt;=100000,INDEX($P$1005:$S$1005,1,MATCH(COLUMNS($P$1006:P1006),$P$1006:$S$1006,0))&gt;=100000), " ",IF(INDEX($P$2:$S$1001,MATCH(ROWS($I$2:I720),$I$2:$I$1001,0),MATCH(COLUMNS($P$1006:P1006),$P$1006:$S$1006,0)), HYPERLINK("#",""), HYPERLINK(CONCATENATE("#metadata!", ADDRESS(INDEX($K$2:$K$1001,MATCH(ROWS($I$2:I720),$I$2:$I$1001,0),0), INDEX($P$1004:$S$1004,1,MATCH(COLUMNS($P$1006:P1006),$P$1006:$S$1006,0)))),"Fix")))</f>
        <v>0</v>
      </c>
      <c r="C720" s="3">
        <f>IF(OR(INDEX($J$2:$J$1001,MATCH(ROWS($I$2:I720),$I$2:$I$1001,0),1)&gt;=100000,INDEX($P$1005:$S$1005,1,MATCH(COLUMNS($P$1006:Q1006),$P$1006:$S$1006,0))&gt;=100000), " ",IF(INDEX($P$2:$S$1001,MATCH(ROWS($I$2:I720),$I$2:$I$1001,0),MATCH(COLUMNS($P$1006:Q1006),$P$1006:$S$1006,0)), HYPERLINK("#",""), HYPERLINK(CONCATENATE("#metadata!", ADDRESS(INDEX($K$2:$K$1001,MATCH(ROWS($I$2:I720),$I$2:$I$1001,0),0), INDEX($P$1004:$S$1004,1,MATCH(COLUMNS($P$1006:Q1006),$P$1006:$S$1006,0)))),"Fix")))</f>
        <v>0</v>
      </c>
      <c r="D720" s="3">
        <f>IF(OR(INDEX($J$2:$J$1001,MATCH(ROWS($I$2:I720),$I$2:$I$1001,0),1)&gt;=100000,INDEX($P$1005:$S$1005,1,MATCH(COLUMNS($P$1006:R1006),$P$1006:$S$1006,0))&gt;=100000), " ",IF(INDEX($P$2:$S$1001,MATCH(ROWS($I$2:I720),$I$2:$I$1001,0),MATCH(COLUMNS($P$1006:R1006),$P$1006:$S$1006,0)), HYPERLINK("#",""), HYPERLINK(CONCATENATE("#metadata!", ADDRESS(INDEX($K$2:$K$1001,MATCH(ROWS($I$2:I720),$I$2:$I$1001,0),0), INDEX($P$1004:$S$1004,1,MATCH(COLUMNS($P$1006:R1006),$P$1006:$S$1006,0)))),"Fix")))</f>
        <v>0</v>
      </c>
      <c r="E720" s="3">
        <f>IF(OR(INDEX($J$2:$J$1001,MATCH(ROWS($I$2:I720),$I$2:$I$1001,0),1)&gt;=100000,INDEX($P$1005:$S$1005,1,MATCH(COLUMNS($P$1006:S1006),$P$1006:$S$1006,0))&gt;=100000), " ",IF(INDEX($P$2:$S$1001,MATCH(ROWS($I$2:I720),$I$2:$I$1001,0),MATCH(COLUMNS($P$1006:S1006),$P$1006:$S$1006,0)), HYPERLINK("#",""), HYPERLINK(CONCATENATE("#metadata!", ADDRESS(INDEX($K$2:$K$1001,MATCH(ROWS($I$2:I720),$I$2:$I$1001,0),0), INDEX($P$1004:$S$1004,1,MATCH(COLUMNS($P$1006:S1006),$P$1006:$S$1006,0)))),"Fix")))</f>
        <v>0</v>
      </c>
      <c r="I720">
        <v>0</v>
      </c>
      <c r="J720">
        <v>0</v>
      </c>
      <c r="K720">
        <v>0</v>
      </c>
      <c r="L720">
        <f>IF(M720,TRUE,AND(P720:S720))</f>
        <v>0</v>
      </c>
      <c r="M720">
        <f>COUNTBLANK(metadata!B720:E720)=COLUMNS(metadata!B720:E720)</f>
        <v>0</v>
      </c>
      <c r="N720">
        <v>0</v>
      </c>
      <c r="P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Q720">
        <f>AND(IF(metadata!C720="",FALSE,TRUE),exact(metadata!C720,"other"))</f>
        <v>0</v>
      </c>
      <c r="R720">
        <f>AND(IF(metadata!D720="",FALSE,TRUE),exact(metadata!D720,"metagenome"))</f>
        <v>0</v>
      </c>
      <c r="S720">
        <f>AND(IF(metadata!E720="",FALSE,TRUE),exact(metadata!E720,"256318"))</f>
        <v>0</v>
      </c>
    </row>
    <row r="721" spans="1:19">
      <c r="A721" s="4">
        <f>IF(B721=" "," ",HYPERLINK(CONCATENATE("#metadata!",ADDRESS(INDEX($K$2:$K$1001,MATCH(ROWS($I$2:I721),$I$2:$I$1001,0),0),1)),INDEX($N$2:$N$1001,MATCH(ROWS($I$2:I721),$I$2:$I$1001,0),0)))</f>
        <v>0</v>
      </c>
      <c r="B721" s="3">
        <f>IF(OR(INDEX($J$2:$J$1001,MATCH(ROWS($I$2:I721),$I$2:$I$1001,0),1)&gt;=100000,INDEX($P$1005:$S$1005,1,MATCH(COLUMNS($P$1006:P1006),$P$1006:$S$1006,0))&gt;=100000), " ",IF(INDEX($P$2:$S$1001,MATCH(ROWS($I$2:I721),$I$2:$I$1001,0),MATCH(COLUMNS($P$1006:P1006),$P$1006:$S$1006,0)), HYPERLINK("#",""), HYPERLINK(CONCATENATE("#metadata!", ADDRESS(INDEX($K$2:$K$1001,MATCH(ROWS($I$2:I721),$I$2:$I$1001,0),0), INDEX($P$1004:$S$1004,1,MATCH(COLUMNS($P$1006:P1006),$P$1006:$S$1006,0)))),"Fix")))</f>
        <v>0</v>
      </c>
      <c r="C721" s="3">
        <f>IF(OR(INDEX($J$2:$J$1001,MATCH(ROWS($I$2:I721),$I$2:$I$1001,0),1)&gt;=100000,INDEX($P$1005:$S$1005,1,MATCH(COLUMNS($P$1006:Q1006),$P$1006:$S$1006,0))&gt;=100000), " ",IF(INDEX($P$2:$S$1001,MATCH(ROWS($I$2:I721),$I$2:$I$1001,0),MATCH(COLUMNS($P$1006:Q1006),$P$1006:$S$1006,0)), HYPERLINK("#",""), HYPERLINK(CONCATENATE("#metadata!", ADDRESS(INDEX($K$2:$K$1001,MATCH(ROWS($I$2:I721),$I$2:$I$1001,0),0), INDEX($P$1004:$S$1004,1,MATCH(COLUMNS($P$1006:Q1006),$P$1006:$S$1006,0)))),"Fix")))</f>
        <v>0</v>
      </c>
      <c r="D721" s="3">
        <f>IF(OR(INDEX($J$2:$J$1001,MATCH(ROWS($I$2:I721),$I$2:$I$1001,0),1)&gt;=100000,INDEX($P$1005:$S$1005,1,MATCH(COLUMNS($P$1006:R1006),$P$1006:$S$1006,0))&gt;=100000), " ",IF(INDEX($P$2:$S$1001,MATCH(ROWS($I$2:I721),$I$2:$I$1001,0),MATCH(COLUMNS($P$1006:R1006),$P$1006:$S$1006,0)), HYPERLINK("#",""), HYPERLINK(CONCATENATE("#metadata!", ADDRESS(INDEX($K$2:$K$1001,MATCH(ROWS($I$2:I721),$I$2:$I$1001,0),0), INDEX($P$1004:$S$1004,1,MATCH(COLUMNS($P$1006:R1006),$P$1006:$S$1006,0)))),"Fix")))</f>
        <v>0</v>
      </c>
      <c r="E721" s="3">
        <f>IF(OR(INDEX($J$2:$J$1001,MATCH(ROWS($I$2:I721),$I$2:$I$1001,0),1)&gt;=100000,INDEX($P$1005:$S$1005,1,MATCH(COLUMNS($P$1006:S1006),$P$1006:$S$1006,0))&gt;=100000), " ",IF(INDEX($P$2:$S$1001,MATCH(ROWS($I$2:I721),$I$2:$I$1001,0),MATCH(COLUMNS($P$1006:S1006),$P$1006:$S$1006,0)), HYPERLINK("#",""), HYPERLINK(CONCATENATE("#metadata!", ADDRESS(INDEX($K$2:$K$1001,MATCH(ROWS($I$2:I721),$I$2:$I$1001,0),0), INDEX($P$1004:$S$1004,1,MATCH(COLUMNS($P$1006:S1006),$P$1006:$S$1006,0)))),"Fix")))</f>
        <v>0</v>
      </c>
      <c r="I721">
        <v>0</v>
      </c>
      <c r="J721">
        <v>0</v>
      </c>
      <c r="K721">
        <v>0</v>
      </c>
      <c r="L721">
        <f>IF(M721,TRUE,AND(P721:S721))</f>
        <v>0</v>
      </c>
      <c r="M721">
        <f>COUNTBLANK(metadata!B721:E721)=COLUMNS(metadata!B721:E721)</f>
        <v>0</v>
      </c>
      <c r="N721">
        <v>0</v>
      </c>
      <c r="P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Q721">
        <f>AND(IF(metadata!C721="",FALSE,TRUE),exact(metadata!C721,"other"))</f>
        <v>0</v>
      </c>
      <c r="R721">
        <f>AND(IF(metadata!D721="",FALSE,TRUE),exact(metadata!D721,"metagenome"))</f>
        <v>0</v>
      </c>
      <c r="S721">
        <f>AND(IF(metadata!E721="",FALSE,TRUE),exact(metadata!E721,"256318"))</f>
        <v>0</v>
      </c>
    </row>
    <row r="722" spans="1:19">
      <c r="A722" s="4">
        <f>IF(B722=" "," ",HYPERLINK(CONCATENATE("#metadata!",ADDRESS(INDEX($K$2:$K$1001,MATCH(ROWS($I$2:I722),$I$2:$I$1001,0),0),1)),INDEX($N$2:$N$1001,MATCH(ROWS($I$2:I722),$I$2:$I$1001,0),0)))</f>
        <v>0</v>
      </c>
      <c r="B722" s="3">
        <f>IF(OR(INDEX($J$2:$J$1001,MATCH(ROWS($I$2:I722),$I$2:$I$1001,0),1)&gt;=100000,INDEX($P$1005:$S$1005,1,MATCH(COLUMNS($P$1006:P1006),$P$1006:$S$1006,0))&gt;=100000), " ",IF(INDEX($P$2:$S$1001,MATCH(ROWS($I$2:I722),$I$2:$I$1001,0),MATCH(COLUMNS($P$1006:P1006),$P$1006:$S$1006,0)), HYPERLINK("#",""), HYPERLINK(CONCATENATE("#metadata!", ADDRESS(INDEX($K$2:$K$1001,MATCH(ROWS($I$2:I722),$I$2:$I$1001,0),0), INDEX($P$1004:$S$1004,1,MATCH(COLUMNS($P$1006:P1006),$P$1006:$S$1006,0)))),"Fix")))</f>
        <v>0</v>
      </c>
      <c r="C722" s="3">
        <f>IF(OR(INDEX($J$2:$J$1001,MATCH(ROWS($I$2:I722),$I$2:$I$1001,0),1)&gt;=100000,INDEX($P$1005:$S$1005,1,MATCH(COLUMNS($P$1006:Q1006),$P$1006:$S$1006,0))&gt;=100000), " ",IF(INDEX($P$2:$S$1001,MATCH(ROWS($I$2:I722),$I$2:$I$1001,0),MATCH(COLUMNS($P$1006:Q1006),$P$1006:$S$1006,0)), HYPERLINK("#",""), HYPERLINK(CONCATENATE("#metadata!", ADDRESS(INDEX($K$2:$K$1001,MATCH(ROWS($I$2:I722),$I$2:$I$1001,0),0), INDEX($P$1004:$S$1004,1,MATCH(COLUMNS($P$1006:Q1006),$P$1006:$S$1006,0)))),"Fix")))</f>
        <v>0</v>
      </c>
      <c r="D722" s="3">
        <f>IF(OR(INDEX($J$2:$J$1001,MATCH(ROWS($I$2:I722),$I$2:$I$1001,0),1)&gt;=100000,INDEX($P$1005:$S$1005,1,MATCH(COLUMNS($P$1006:R1006),$P$1006:$S$1006,0))&gt;=100000), " ",IF(INDEX($P$2:$S$1001,MATCH(ROWS($I$2:I722),$I$2:$I$1001,0),MATCH(COLUMNS($P$1006:R1006),$P$1006:$S$1006,0)), HYPERLINK("#",""), HYPERLINK(CONCATENATE("#metadata!", ADDRESS(INDEX($K$2:$K$1001,MATCH(ROWS($I$2:I722),$I$2:$I$1001,0),0), INDEX($P$1004:$S$1004,1,MATCH(COLUMNS($P$1006:R1006),$P$1006:$S$1006,0)))),"Fix")))</f>
        <v>0</v>
      </c>
      <c r="E722" s="3">
        <f>IF(OR(INDEX($J$2:$J$1001,MATCH(ROWS($I$2:I722),$I$2:$I$1001,0),1)&gt;=100000,INDEX($P$1005:$S$1005,1,MATCH(COLUMNS($P$1006:S1006),$P$1006:$S$1006,0))&gt;=100000), " ",IF(INDEX($P$2:$S$1001,MATCH(ROWS($I$2:I722),$I$2:$I$1001,0),MATCH(COLUMNS($P$1006:S1006),$P$1006:$S$1006,0)), HYPERLINK("#",""), HYPERLINK(CONCATENATE("#metadata!", ADDRESS(INDEX($K$2:$K$1001,MATCH(ROWS($I$2:I722),$I$2:$I$1001,0),0), INDEX($P$1004:$S$1004,1,MATCH(COLUMNS($P$1006:S1006),$P$1006:$S$1006,0)))),"Fix")))</f>
        <v>0</v>
      </c>
      <c r="I722">
        <v>0</v>
      </c>
      <c r="J722">
        <v>0</v>
      </c>
      <c r="K722">
        <v>0</v>
      </c>
      <c r="L722">
        <f>IF(M722,TRUE,AND(P722:S722))</f>
        <v>0</v>
      </c>
      <c r="M722">
        <f>COUNTBLANK(metadata!B722:E722)=COLUMNS(metadata!B722:E722)</f>
        <v>0</v>
      </c>
      <c r="N722">
        <v>0</v>
      </c>
      <c r="P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Q722">
        <f>AND(IF(metadata!C722="",FALSE,TRUE),exact(metadata!C722,"other"))</f>
        <v>0</v>
      </c>
      <c r="R722">
        <f>AND(IF(metadata!D722="",FALSE,TRUE),exact(metadata!D722,"metagenome"))</f>
        <v>0</v>
      </c>
      <c r="S722">
        <f>AND(IF(metadata!E722="",FALSE,TRUE),exact(metadata!E722,"256318"))</f>
        <v>0</v>
      </c>
    </row>
    <row r="723" spans="1:19">
      <c r="A723" s="4">
        <f>IF(B723=" "," ",HYPERLINK(CONCATENATE("#metadata!",ADDRESS(INDEX($K$2:$K$1001,MATCH(ROWS($I$2:I723),$I$2:$I$1001,0),0),1)),INDEX($N$2:$N$1001,MATCH(ROWS($I$2:I723),$I$2:$I$1001,0),0)))</f>
        <v>0</v>
      </c>
      <c r="B723" s="3">
        <f>IF(OR(INDEX($J$2:$J$1001,MATCH(ROWS($I$2:I723),$I$2:$I$1001,0),1)&gt;=100000,INDEX($P$1005:$S$1005,1,MATCH(COLUMNS($P$1006:P1006),$P$1006:$S$1006,0))&gt;=100000), " ",IF(INDEX($P$2:$S$1001,MATCH(ROWS($I$2:I723),$I$2:$I$1001,0),MATCH(COLUMNS($P$1006:P1006),$P$1006:$S$1006,0)), HYPERLINK("#",""), HYPERLINK(CONCATENATE("#metadata!", ADDRESS(INDEX($K$2:$K$1001,MATCH(ROWS($I$2:I723),$I$2:$I$1001,0),0), INDEX($P$1004:$S$1004,1,MATCH(COLUMNS($P$1006:P1006),$P$1006:$S$1006,0)))),"Fix")))</f>
        <v>0</v>
      </c>
      <c r="C723" s="3">
        <f>IF(OR(INDEX($J$2:$J$1001,MATCH(ROWS($I$2:I723),$I$2:$I$1001,0),1)&gt;=100000,INDEX($P$1005:$S$1005,1,MATCH(COLUMNS($P$1006:Q1006),$P$1006:$S$1006,0))&gt;=100000), " ",IF(INDEX($P$2:$S$1001,MATCH(ROWS($I$2:I723),$I$2:$I$1001,0),MATCH(COLUMNS($P$1006:Q1006),$P$1006:$S$1006,0)), HYPERLINK("#",""), HYPERLINK(CONCATENATE("#metadata!", ADDRESS(INDEX($K$2:$K$1001,MATCH(ROWS($I$2:I723),$I$2:$I$1001,0),0), INDEX($P$1004:$S$1004,1,MATCH(COLUMNS($P$1006:Q1006),$P$1006:$S$1006,0)))),"Fix")))</f>
        <v>0</v>
      </c>
      <c r="D723" s="3">
        <f>IF(OR(INDEX($J$2:$J$1001,MATCH(ROWS($I$2:I723),$I$2:$I$1001,0),1)&gt;=100000,INDEX($P$1005:$S$1005,1,MATCH(COLUMNS($P$1006:R1006),$P$1006:$S$1006,0))&gt;=100000), " ",IF(INDEX($P$2:$S$1001,MATCH(ROWS($I$2:I723),$I$2:$I$1001,0),MATCH(COLUMNS($P$1006:R1006),$P$1006:$S$1006,0)), HYPERLINK("#",""), HYPERLINK(CONCATENATE("#metadata!", ADDRESS(INDEX($K$2:$K$1001,MATCH(ROWS($I$2:I723),$I$2:$I$1001,0),0), INDEX($P$1004:$S$1004,1,MATCH(COLUMNS($P$1006:R1006),$P$1006:$S$1006,0)))),"Fix")))</f>
        <v>0</v>
      </c>
      <c r="E723" s="3">
        <f>IF(OR(INDEX($J$2:$J$1001,MATCH(ROWS($I$2:I723),$I$2:$I$1001,0),1)&gt;=100000,INDEX($P$1005:$S$1005,1,MATCH(COLUMNS($P$1006:S1006),$P$1006:$S$1006,0))&gt;=100000), " ",IF(INDEX($P$2:$S$1001,MATCH(ROWS($I$2:I723),$I$2:$I$1001,0),MATCH(COLUMNS($P$1006:S1006),$P$1006:$S$1006,0)), HYPERLINK("#",""), HYPERLINK(CONCATENATE("#metadata!", ADDRESS(INDEX($K$2:$K$1001,MATCH(ROWS($I$2:I723),$I$2:$I$1001,0),0), INDEX($P$1004:$S$1004,1,MATCH(COLUMNS($P$1006:S1006),$P$1006:$S$1006,0)))),"Fix")))</f>
        <v>0</v>
      </c>
      <c r="I723">
        <v>0</v>
      </c>
      <c r="J723">
        <v>0</v>
      </c>
      <c r="K723">
        <v>0</v>
      </c>
      <c r="L723">
        <f>IF(M723,TRUE,AND(P723:S723))</f>
        <v>0</v>
      </c>
      <c r="M723">
        <f>COUNTBLANK(metadata!B723:E723)=COLUMNS(metadata!B723:E723)</f>
        <v>0</v>
      </c>
      <c r="N723">
        <v>0</v>
      </c>
      <c r="P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Q723">
        <f>AND(IF(metadata!C723="",FALSE,TRUE),exact(metadata!C723,"other"))</f>
        <v>0</v>
      </c>
      <c r="R723">
        <f>AND(IF(metadata!D723="",FALSE,TRUE),exact(metadata!D723,"metagenome"))</f>
        <v>0</v>
      </c>
      <c r="S723">
        <f>AND(IF(metadata!E723="",FALSE,TRUE),exact(metadata!E723,"256318"))</f>
        <v>0</v>
      </c>
    </row>
    <row r="724" spans="1:19">
      <c r="A724" s="4">
        <f>IF(B724=" "," ",HYPERLINK(CONCATENATE("#metadata!",ADDRESS(INDEX($K$2:$K$1001,MATCH(ROWS($I$2:I724),$I$2:$I$1001,0),0),1)),INDEX($N$2:$N$1001,MATCH(ROWS($I$2:I724),$I$2:$I$1001,0),0)))</f>
        <v>0</v>
      </c>
      <c r="B724" s="3">
        <f>IF(OR(INDEX($J$2:$J$1001,MATCH(ROWS($I$2:I724),$I$2:$I$1001,0),1)&gt;=100000,INDEX($P$1005:$S$1005,1,MATCH(COLUMNS($P$1006:P1006),$P$1006:$S$1006,0))&gt;=100000), " ",IF(INDEX($P$2:$S$1001,MATCH(ROWS($I$2:I724),$I$2:$I$1001,0),MATCH(COLUMNS($P$1006:P1006),$P$1006:$S$1006,0)), HYPERLINK("#",""), HYPERLINK(CONCATENATE("#metadata!", ADDRESS(INDEX($K$2:$K$1001,MATCH(ROWS($I$2:I724),$I$2:$I$1001,0),0), INDEX($P$1004:$S$1004,1,MATCH(COLUMNS($P$1006:P1006),$P$1006:$S$1006,0)))),"Fix")))</f>
        <v>0</v>
      </c>
      <c r="C724" s="3">
        <f>IF(OR(INDEX($J$2:$J$1001,MATCH(ROWS($I$2:I724),$I$2:$I$1001,0),1)&gt;=100000,INDEX($P$1005:$S$1005,1,MATCH(COLUMNS($P$1006:Q1006),$P$1006:$S$1006,0))&gt;=100000), " ",IF(INDEX($P$2:$S$1001,MATCH(ROWS($I$2:I724),$I$2:$I$1001,0),MATCH(COLUMNS($P$1006:Q1006),$P$1006:$S$1006,0)), HYPERLINK("#",""), HYPERLINK(CONCATENATE("#metadata!", ADDRESS(INDEX($K$2:$K$1001,MATCH(ROWS($I$2:I724),$I$2:$I$1001,0),0), INDEX($P$1004:$S$1004,1,MATCH(COLUMNS($P$1006:Q1006),$P$1006:$S$1006,0)))),"Fix")))</f>
        <v>0</v>
      </c>
      <c r="D724" s="3">
        <f>IF(OR(INDEX($J$2:$J$1001,MATCH(ROWS($I$2:I724),$I$2:$I$1001,0),1)&gt;=100000,INDEX($P$1005:$S$1005,1,MATCH(COLUMNS($P$1006:R1006),$P$1006:$S$1006,0))&gt;=100000), " ",IF(INDEX($P$2:$S$1001,MATCH(ROWS($I$2:I724),$I$2:$I$1001,0),MATCH(COLUMNS($P$1006:R1006),$P$1006:$S$1006,0)), HYPERLINK("#",""), HYPERLINK(CONCATENATE("#metadata!", ADDRESS(INDEX($K$2:$K$1001,MATCH(ROWS($I$2:I724),$I$2:$I$1001,0),0), INDEX($P$1004:$S$1004,1,MATCH(COLUMNS($P$1006:R1006),$P$1006:$S$1006,0)))),"Fix")))</f>
        <v>0</v>
      </c>
      <c r="E724" s="3">
        <f>IF(OR(INDEX($J$2:$J$1001,MATCH(ROWS($I$2:I724),$I$2:$I$1001,0),1)&gt;=100000,INDEX($P$1005:$S$1005,1,MATCH(COLUMNS($P$1006:S1006),$P$1006:$S$1006,0))&gt;=100000), " ",IF(INDEX($P$2:$S$1001,MATCH(ROWS($I$2:I724),$I$2:$I$1001,0),MATCH(COLUMNS($P$1006:S1006),$P$1006:$S$1006,0)), HYPERLINK("#",""), HYPERLINK(CONCATENATE("#metadata!", ADDRESS(INDEX($K$2:$K$1001,MATCH(ROWS($I$2:I724),$I$2:$I$1001,0),0), INDEX($P$1004:$S$1004,1,MATCH(COLUMNS($P$1006:S1006),$P$1006:$S$1006,0)))),"Fix")))</f>
        <v>0</v>
      </c>
      <c r="I724">
        <v>0</v>
      </c>
      <c r="J724">
        <v>0</v>
      </c>
      <c r="K724">
        <v>0</v>
      </c>
      <c r="L724">
        <f>IF(M724,TRUE,AND(P724:S724))</f>
        <v>0</v>
      </c>
      <c r="M724">
        <f>COUNTBLANK(metadata!B724:E724)=COLUMNS(metadata!B724:E724)</f>
        <v>0</v>
      </c>
      <c r="N724">
        <v>0</v>
      </c>
      <c r="P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Q724">
        <f>AND(IF(metadata!C724="",FALSE,TRUE),exact(metadata!C724,"other"))</f>
        <v>0</v>
      </c>
      <c r="R724">
        <f>AND(IF(metadata!D724="",FALSE,TRUE),exact(metadata!D724,"metagenome"))</f>
        <v>0</v>
      </c>
      <c r="S724">
        <f>AND(IF(metadata!E724="",FALSE,TRUE),exact(metadata!E724,"256318"))</f>
        <v>0</v>
      </c>
    </row>
    <row r="725" spans="1:19">
      <c r="A725" s="4">
        <f>IF(B725=" "," ",HYPERLINK(CONCATENATE("#metadata!",ADDRESS(INDEX($K$2:$K$1001,MATCH(ROWS($I$2:I725),$I$2:$I$1001,0),0),1)),INDEX($N$2:$N$1001,MATCH(ROWS($I$2:I725),$I$2:$I$1001,0),0)))</f>
        <v>0</v>
      </c>
      <c r="B725" s="3">
        <f>IF(OR(INDEX($J$2:$J$1001,MATCH(ROWS($I$2:I725),$I$2:$I$1001,0),1)&gt;=100000,INDEX($P$1005:$S$1005,1,MATCH(COLUMNS($P$1006:P1006),$P$1006:$S$1006,0))&gt;=100000), " ",IF(INDEX($P$2:$S$1001,MATCH(ROWS($I$2:I725),$I$2:$I$1001,0),MATCH(COLUMNS($P$1006:P1006),$P$1006:$S$1006,0)), HYPERLINK("#",""), HYPERLINK(CONCATENATE("#metadata!", ADDRESS(INDEX($K$2:$K$1001,MATCH(ROWS($I$2:I725),$I$2:$I$1001,0),0), INDEX($P$1004:$S$1004,1,MATCH(COLUMNS($P$1006:P1006),$P$1006:$S$1006,0)))),"Fix")))</f>
        <v>0</v>
      </c>
      <c r="C725" s="3">
        <f>IF(OR(INDEX($J$2:$J$1001,MATCH(ROWS($I$2:I725),$I$2:$I$1001,0),1)&gt;=100000,INDEX($P$1005:$S$1005,1,MATCH(COLUMNS($P$1006:Q1006),$P$1006:$S$1006,0))&gt;=100000), " ",IF(INDEX($P$2:$S$1001,MATCH(ROWS($I$2:I725),$I$2:$I$1001,0),MATCH(COLUMNS($P$1006:Q1006),$P$1006:$S$1006,0)), HYPERLINK("#",""), HYPERLINK(CONCATENATE("#metadata!", ADDRESS(INDEX($K$2:$K$1001,MATCH(ROWS($I$2:I725),$I$2:$I$1001,0),0), INDEX($P$1004:$S$1004,1,MATCH(COLUMNS($P$1006:Q1006),$P$1006:$S$1006,0)))),"Fix")))</f>
        <v>0</v>
      </c>
      <c r="D725" s="3">
        <f>IF(OR(INDEX($J$2:$J$1001,MATCH(ROWS($I$2:I725),$I$2:$I$1001,0),1)&gt;=100000,INDEX($P$1005:$S$1005,1,MATCH(COLUMNS($P$1006:R1006),$P$1006:$S$1006,0))&gt;=100000), " ",IF(INDEX($P$2:$S$1001,MATCH(ROWS($I$2:I725),$I$2:$I$1001,0),MATCH(COLUMNS($P$1006:R1006),$P$1006:$S$1006,0)), HYPERLINK("#",""), HYPERLINK(CONCATENATE("#metadata!", ADDRESS(INDEX($K$2:$K$1001,MATCH(ROWS($I$2:I725),$I$2:$I$1001,0),0), INDEX($P$1004:$S$1004,1,MATCH(COLUMNS($P$1006:R1006),$P$1006:$S$1006,0)))),"Fix")))</f>
        <v>0</v>
      </c>
      <c r="E725" s="3">
        <f>IF(OR(INDEX($J$2:$J$1001,MATCH(ROWS($I$2:I725),$I$2:$I$1001,0),1)&gt;=100000,INDEX($P$1005:$S$1005,1,MATCH(COLUMNS($P$1006:S1006),$P$1006:$S$1006,0))&gt;=100000), " ",IF(INDEX($P$2:$S$1001,MATCH(ROWS($I$2:I725),$I$2:$I$1001,0),MATCH(COLUMNS($P$1006:S1006),$P$1006:$S$1006,0)), HYPERLINK("#",""), HYPERLINK(CONCATENATE("#metadata!", ADDRESS(INDEX($K$2:$K$1001,MATCH(ROWS($I$2:I725),$I$2:$I$1001,0),0), INDEX($P$1004:$S$1004,1,MATCH(COLUMNS($P$1006:S1006),$P$1006:$S$1006,0)))),"Fix")))</f>
        <v>0</v>
      </c>
      <c r="I725">
        <v>0</v>
      </c>
      <c r="J725">
        <v>0</v>
      </c>
      <c r="K725">
        <v>0</v>
      </c>
      <c r="L725">
        <f>IF(M725,TRUE,AND(P725:S725))</f>
        <v>0</v>
      </c>
      <c r="M725">
        <f>COUNTBLANK(metadata!B725:E725)=COLUMNS(metadata!B725:E725)</f>
        <v>0</v>
      </c>
      <c r="N725">
        <v>0</v>
      </c>
      <c r="P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Q725">
        <f>AND(IF(metadata!C725="",FALSE,TRUE),exact(metadata!C725,"other"))</f>
        <v>0</v>
      </c>
      <c r="R725">
        <f>AND(IF(metadata!D725="",FALSE,TRUE),exact(metadata!D725,"metagenome"))</f>
        <v>0</v>
      </c>
      <c r="S725">
        <f>AND(IF(metadata!E725="",FALSE,TRUE),exact(metadata!E725,"256318"))</f>
        <v>0</v>
      </c>
    </row>
    <row r="726" spans="1:19">
      <c r="A726" s="4">
        <f>IF(B726=" "," ",HYPERLINK(CONCATENATE("#metadata!",ADDRESS(INDEX($K$2:$K$1001,MATCH(ROWS($I$2:I726),$I$2:$I$1001,0),0),1)),INDEX($N$2:$N$1001,MATCH(ROWS($I$2:I726),$I$2:$I$1001,0),0)))</f>
        <v>0</v>
      </c>
      <c r="B726" s="3">
        <f>IF(OR(INDEX($J$2:$J$1001,MATCH(ROWS($I$2:I726),$I$2:$I$1001,0),1)&gt;=100000,INDEX($P$1005:$S$1005,1,MATCH(COLUMNS($P$1006:P1006),$P$1006:$S$1006,0))&gt;=100000), " ",IF(INDEX($P$2:$S$1001,MATCH(ROWS($I$2:I726),$I$2:$I$1001,0),MATCH(COLUMNS($P$1006:P1006),$P$1006:$S$1006,0)), HYPERLINK("#",""), HYPERLINK(CONCATENATE("#metadata!", ADDRESS(INDEX($K$2:$K$1001,MATCH(ROWS($I$2:I726),$I$2:$I$1001,0),0), INDEX($P$1004:$S$1004,1,MATCH(COLUMNS($P$1006:P1006),$P$1006:$S$1006,0)))),"Fix")))</f>
        <v>0</v>
      </c>
      <c r="C726" s="3">
        <f>IF(OR(INDEX($J$2:$J$1001,MATCH(ROWS($I$2:I726),$I$2:$I$1001,0),1)&gt;=100000,INDEX($P$1005:$S$1005,1,MATCH(COLUMNS($P$1006:Q1006),$P$1006:$S$1006,0))&gt;=100000), " ",IF(INDEX($P$2:$S$1001,MATCH(ROWS($I$2:I726),$I$2:$I$1001,0),MATCH(COLUMNS($P$1006:Q1006),$P$1006:$S$1006,0)), HYPERLINK("#",""), HYPERLINK(CONCATENATE("#metadata!", ADDRESS(INDEX($K$2:$K$1001,MATCH(ROWS($I$2:I726),$I$2:$I$1001,0),0), INDEX($P$1004:$S$1004,1,MATCH(COLUMNS($P$1006:Q1006),$P$1006:$S$1006,0)))),"Fix")))</f>
        <v>0</v>
      </c>
      <c r="D726" s="3">
        <f>IF(OR(INDEX($J$2:$J$1001,MATCH(ROWS($I$2:I726),$I$2:$I$1001,0),1)&gt;=100000,INDEX($P$1005:$S$1005,1,MATCH(COLUMNS($P$1006:R1006),$P$1006:$S$1006,0))&gt;=100000), " ",IF(INDEX($P$2:$S$1001,MATCH(ROWS($I$2:I726),$I$2:$I$1001,0),MATCH(COLUMNS($P$1006:R1006),$P$1006:$S$1006,0)), HYPERLINK("#",""), HYPERLINK(CONCATENATE("#metadata!", ADDRESS(INDEX($K$2:$K$1001,MATCH(ROWS($I$2:I726),$I$2:$I$1001,0),0), INDEX($P$1004:$S$1004,1,MATCH(COLUMNS($P$1006:R1006),$P$1006:$S$1006,0)))),"Fix")))</f>
        <v>0</v>
      </c>
      <c r="E726" s="3">
        <f>IF(OR(INDEX($J$2:$J$1001,MATCH(ROWS($I$2:I726),$I$2:$I$1001,0),1)&gt;=100000,INDEX($P$1005:$S$1005,1,MATCH(COLUMNS($P$1006:S1006),$P$1006:$S$1006,0))&gt;=100000), " ",IF(INDEX($P$2:$S$1001,MATCH(ROWS($I$2:I726),$I$2:$I$1001,0),MATCH(COLUMNS($P$1006:S1006),$P$1006:$S$1006,0)), HYPERLINK("#",""), HYPERLINK(CONCATENATE("#metadata!", ADDRESS(INDEX($K$2:$K$1001,MATCH(ROWS($I$2:I726),$I$2:$I$1001,0),0), INDEX($P$1004:$S$1004,1,MATCH(COLUMNS($P$1006:S1006),$P$1006:$S$1006,0)))),"Fix")))</f>
        <v>0</v>
      </c>
      <c r="I726">
        <v>0</v>
      </c>
      <c r="J726">
        <v>0</v>
      </c>
      <c r="K726">
        <v>0</v>
      </c>
      <c r="L726">
        <f>IF(M726,TRUE,AND(P726:S726))</f>
        <v>0</v>
      </c>
      <c r="M726">
        <f>COUNTBLANK(metadata!B726:E726)=COLUMNS(metadata!B726:E726)</f>
        <v>0</v>
      </c>
      <c r="N726">
        <v>0</v>
      </c>
      <c r="P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Q726">
        <f>AND(IF(metadata!C726="",FALSE,TRUE),exact(metadata!C726,"other"))</f>
        <v>0</v>
      </c>
      <c r="R726">
        <f>AND(IF(metadata!D726="",FALSE,TRUE),exact(metadata!D726,"metagenome"))</f>
        <v>0</v>
      </c>
      <c r="S726">
        <f>AND(IF(metadata!E726="",FALSE,TRUE),exact(metadata!E726,"256318"))</f>
        <v>0</v>
      </c>
    </row>
    <row r="727" spans="1:19">
      <c r="A727" s="4">
        <f>IF(B727=" "," ",HYPERLINK(CONCATENATE("#metadata!",ADDRESS(INDEX($K$2:$K$1001,MATCH(ROWS($I$2:I727),$I$2:$I$1001,0),0),1)),INDEX($N$2:$N$1001,MATCH(ROWS($I$2:I727),$I$2:$I$1001,0),0)))</f>
        <v>0</v>
      </c>
      <c r="B727" s="3">
        <f>IF(OR(INDEX($J$2:$J$1001,MATCH(ROWS($I$2:I727),$I$2:$I$1001,0),1)&gt;=100000,INDEX($P$1005:$S$1005,1,MATCH(COLUMNS($P$1006:P1006),$P$1006:$S$1006,0))&gt;=100000), " ",IF(INDEX($P$2:$S$1001,MATCH(ROWS($I$2:I727),$I$2:$I$1001,0),MATCH(COLUMNS($P$1006:P1006),$P$1006:$S$1006,0)), HYPERLINK("#",""), HYPERLINK(CONCATENATE("#metadata!", ADDRESS(INDEX($K$2:$K$1001,MATCH(ROWS($I$2:I727),$I$2:$I$1001,0),0), INDEX($P$1004:$S$1004,1,MATCH(COLUMNS($P$1006:P1006),$P$1006:$S$1006,0)))),"Fix")))</f>
        <v>0</v>
      </c>
      <c r="C727" s="3">
        <f>IF(OR(INDEX($J$2:$J$1001,MATCH(ROWS($I$2:I727),$I$2:$I$1001,0),1)&gt;=100000,INDEX($P$1005:$S$1005,1,MATCH(COLUMNS($P$1006:Q1006),$P$1006:$S$1006,0))&gt;=100000), " ",IF(INDEX($P$2:$S$1001,MATCH(ROWS($I$2:I727),$I$2:$I$1001,0),MATCH(COLUMNS($P$1006:Q1006),$P$1006:$S$1006,0)), HYPERLINK("#",""), HYPERLINK(CONCATENATE("#metadata!", ADDRESS(INDEX($K$2:$K$1001,MATCH(ROWS($I$2:I727),$I$2:$I$1001,0),0), INDEX($P$1004:$S$1004,1,MATCH(COLUMNS($P$1006:Q1006),$P$1006:$S$1006,0)))),"Fix")))</f>
        <v>0</v>
      </c>
      <c r="D727" s="3">
        <f>IF(OR(INDEX($J$2:$J$1001,MATCH(ROWS($I$2:I727),$I$2:$I$1001,0),1)&gt;=100000,INDEX($P$1005:$S$1005,1,MATCH(COLUMNS($P$1006:R1006),$P$1006:$S$1006,0))&gt;=100000), " ",IF(INDEX($P$2:$S$1001,MATCH(ROWS($I$2:I727),$I$2:$I$1001,0),MATCH(COLUMNS($P$1006:R1006),$P$1006:$S$1006,0)), HYPERLINK("#",""), HYPERLINK(CONCATENATE("#metadata!", ADDRESS(INDEX($K$2:$K$1001,MATCH(ROWS($I$2:I727),$I$2:$I$1001,0),0), INDEX($P$1004:$S$1004,1,MATCH(COLUMNS($P$1006:R1006),$P$1006:$S$1006,0)))),"Fix")))</f>
        <v>0</v>
      </c>
      <c r="E727" s="3">
        <f>IF(OR(INDEX($J$2:$J$1001,MATCH(ROWS($I$2:I727),$I$2:$I$1001,0),1)&gt;=100000,INDEX($P$1005:$S$1005,1,MATCH(COLUMNS($P$1006:S1006),$P$1006:$S$1006,0))&gt;=100000), " ",IF(INDEX($P$2:$S$1001,MATCH(ROWS($I$2:I727),$I$2:$I$1001,0),MATCH(COLUMNS($P$1006:S1006),$P$1006:$S$1006,0)), HYPERLINK("#",""), HYPERLINK(CONCATENATE("#metadata!", ADDRESS(INDEX($K$2:$K$1001,MATCH(ROWS($I$2:I727),$I$2:$I$1001,0),0), INDEX($P$1004:$S$1004,1,MATCH(COLUMNS($P$1006:S1006),$P$1006:$S$1006,0)))),"Fix")))</f>
        <v>0</v>
      </c>
      <c r="I727">
        <v>0</v>
      </c>
      <c r="J727">
        <v>0</v>
      </c>
      <c r="K727">
        <v>0</v>
      </c>
      <c r="L727">
        <f>IF(M727,TRUE,AND(P727:S727))</f>
        <v>0</v>
      </c>
      <c r="M727">
        <f>COUNTBLANK(metadata!B727:E727)=COLUMNS(metadata!B727:E727)</f>
        <v>0</v>
      </c>
      <c r="N727">
        <v>0</v>
      </c>
      <c r="P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Q727">
        <f>AND(IF(metadata!C727="",FALSE,TRUE),exact(metadata!C727,"other"))</f>
        <v>0</v>
      </c>
      <c r="R727">
        <f>AND(IF(metadata!D727="",FALSE,TRUE),exact(metadata!D727,"metagenome"))</f>
        <v>0</v>
      </c>
      <c r="S727">
        <f>AND(IF(metadata!E727="",FALSE,TRUE),exact(metadata!E727,"256318"))</f>
        <v>0</v>
      </c>
    </row>
    <row r="728" spans="1:19">
      <c r="A728" s="4">
        <f>IF(B728=" "," ",HYPERLINK(CONCATENATE("#metadata!",ADDRESS(INDEX($K$2:$K$1001,MATCH(ROWS($I$2:I728),$I$2:$I$1001,0),0),1)),INDEX($N$2:$N$1001,MATCH(ROWS($I$2:I728),$I$2:$I$1001,0),0)))</f>
        <v>0</v>
      </c>
      <c r="B728" s="3">
        <f>IF(OR(INDEX($J$2:$J$1001,MATCH(ROWS($I$2:I728),$I$2:$I$1001,0),1)&gt;=100000,INDEX($P$1005:$S$1005,1,MATCH(COLUMNS($P$1006:P1006),$P$1006:$S$1006,0))&gt;=100000), " ",IF(INDEX($P$2:$S$1001,MATCH(ROWS($I$2:I728),$I$2:$I$1001,0),MATCH(COLUMNS($P$1006:P1006),$P$1006:$S$1006,0)), HYPERLINK("#",""), HYPERLINK(CONCATENATE("#metadata!", ADDRESS(INDEX($K$2:$K$1001,MATCH(ROWS($I$2:I728),$I$2:$I$1001,0),0), INDEX($P$1004:$S$1004,1,MATCH(COLUMNS($P$1006:P1006),$P$1006:$S$1006,0)))),"Fix")))</f>
        <v>0</v>
      </c>
      <c r="C728" s="3">
        <f>IF(OR(INDEX($J$2:$J$1001,MATCH(ROWS($I$2:I728),$I$2:$I$1001,0),1)&gt;=100000,INDEX($P$1005:$S$1005,1,MATCH(COLUMNS($P$1006:Q1006),$P$1006:$S$1006,0))&gt;=100000), " ",IF(INDEX($P$2:$S$1001,MATCH(ROWS($I$2:I728),$I$2:$I$1001,0),MATCH(COLUMNS($P$1006:Q1006),$P$1006:$S$1006,0)), HYPERLINK("#",""), HYPERLINK(CONCATENATE("#metadata!", ADDRESS(INDEX($K$2:$K$1001,MATCH(ROWS($I$2:I728),$I$2:$I$1001,0),0), INDEX($P$1004:$S$1004,1,MATCH(COLUMNS($P$1006:Q1006),$P$1006:$S$1006,0)))),"Fix")))</f>
        <v>0</v>
      </c>
      <c r="D728" s="3">
        <f>IF(OR(INDEX($J$2:$J$1001,MATCH(ROWS($I$2:I728),$I$2:$I$1001,0),1)&gt;=100000,INDEX($P$1005:$S$1005,1,MATCH(COLUMNS($P$1006:R1006),$P$1006:$S$1006,0))&gt;=100000), " ",IF(INDEX($P$2:$S$1001,MATCH(ROWS($I$2:I728),$I$2:$I$1001,0),MATCH(COLUMNS($P$1006:R1006),$P$1006:$S$1006,0)), HYPERLINK("#",""), HYPERLINK(CONCATENATE("#metadata!", ADDRESS(INDEX($K$2:$K$1001,MATCH(ROWS($I$2:I728),$I$2:$I$1001,0),0), INDEX($P$1004:$S$1004,1,MATCH(COLUMNS($P$1006:R1006),$P$1006:$S$1006,0)))),"Fix")))</f>
        <v>0</v>
      </c>
      <c r="E728" s="3">
        <f>IF(OR(INDEX($J$2:$J$1001,MATCH(ROWS($I$2:I728),$I$2:$I$1001,0),1)&gt;=100000,INDEX($P$1005:$S$1005,1,MATCH(COLUMNS($P$1006:S1006),$P$1006:$S$1006,0))&gt;=100000), " ",IF(INDEX($P$2:$S$1001,MATCH(ROWS($I$2:I728),$I$2:$I$1001,0),MATCH(COLUMNS($P$1006:S1006),$P$1006:$S$1006,0)), HYPERLINK("#",""), HYPERLINK(CONCATENATE("#metadata!", ADDRESS(INDEX($K$2:$K$1001,MATCH(ROWS($I$2:I728),$I$2:$I$1001,0),0), INDEX($P$1004:$S$1004,1,MATCH(COLUMNS($P$1006:S1006),$P$1006:$S$1006,0)))),"Fix")))</f>
        <v>0</v>
      </c>
      <c r="I728">
        <v>0</v>
      </c>
      <c r="J728">
        <v>0</v>
      </c>
      <c r="K728">
        <v>0</v>
      </c>
      <c r="L728">
        <f>IF(M728,TRUE,AND(P728:S728))</f>
        <v>0</v>
      </c>
      <c r="M728">
        <f>COUNTBLANK(metadata!B728:E728)=COLUMNS(metadata!B728:E728)</f>
        <v>0</v>
      </c>
      <c r="N728">
        <v>0</v>
      </c>
      <c r="P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Q728">
        <f>AND(IF(metadata!C728="",FALSE,TRUE),exact(metadata!C728,"other"))</f>
        <v>0</v>
      </c>
      <c r="R728">
        <f>AND(IF(metadata!D728="",FALSE,TRUE),exact(metadata!D728,"metagenome"))</f>
        <v>0</v>
      </c>
      <c r="S728">
        <f>AND(IF(metadata!E728="",FALSE,TRUE),exact(metadata!E728,"256318"))</f>
        <v>0</v>
      </c>
    </row>
    <row r="729" spans="1:19">
      <c r="A729" s="4">
        <f>IF(B729=" "," ",HYPERLINK(CONCATENATE("#metadata!",ADDRESS(INDEX($K$2:$K$1001,MATCH(ROWS($I$2:I729),$I$2:$I$1001,0),0),1)),INDEX($N$2:$N$1001,MATCH(ROWS($I$2:I729),$I$2:$I$1001,0),0)))</f>
        <v>0</v>
      </c>
      <c r="B729" s="3">
        <f>IF(OR(INDEX($J$2:$J$1001,MATCH(ROWS($I$2:I729),$I$2:$I$1001,0),1)&gt;=100000,INDEX($P$1005:$S$1005,1,MATCH(COLUMNS($P$1006:P1006),$P$1006:$S$1006,0))&gt;=100000), " ",IF(INDEX($P$2:$S$1001,MATCH(ROWS($I$2:I729),$I$2:$I$1001,0),MATCH(COLUMNS($P$1006:P1006),$P$1006:$S$1006,0)), HYPERLINK("#",""), HYPERLINK(CONCATENATE("#metadata!", ADDRESS(INDEX($K$2:$K$1001,MATCH(ROWS($I$2:I729),$I$2:$I$1001,0),0), INDEX($P$1004:$S$1004,1,MATCH(COLUMNS($P$1006:P1006),$P$1006:$S$1006,0)))),"Fix")))</f>
        <v>0</v>
      </c>
      <c r="C729" s="3">
        <f>IF(OR(INDEX($J$2:$J$1001,MATCH(ROWS($I$2:I729),$I$2:$I$1001,0),1)&gt;=100000,INDEX($P$1005:$S$1005,1,MATCH(COLUMNS($P$1006:Q1006),$P$1006:$S$1006,0))&gt;=100000), " ",IF(INDEX($P$2:$S$1001,MATCH(ROWS($I$2:I729),$I$2:$I$1001,0),MATCH(COLUMNS($P$1006:Q1006),$P$1006:$S$1006,0)), HYPERLINK("#",""), HYPERLINK(CONCATENATE("#metadata!", ADDRESS(INDEX($K$2:$K$1001,MATCH(ROWS($I$2:I729),$I$2:$I$1001,0),0), INDEX($P$1004:$S$1004,1,MATCH(COLUMNS($P$1006:Q1006),$P$1006:$S$1006,0)))),"Fix")))</f>
        <v>0</v>
      </c>
      <c r="D729" s="3">
        <f>IF(OR(INDEX($J$2:$J$1001,MATCH(ROWS($I$2:I729),$I$2:$I$1001,0),1)&gt;=100000,INDEX($P$1005:$S$1005,1,MATCH(COLUMNS($P$1006:R1006),$P$1006:$S$1006,0))&gt;=100000), " ",IF(INDEX($P$2:$S$1001,MATCH(ROWS($I$2:I729),$I$2:$I$1001,0),MATCH(COLUMNS($P$1006:R1006),$P$1006:$S$1006,0)), HYPERLINK("#",""), HYPERLINK(CONCATENATE("#metadata!", ADDRESS(INDEX($K$2:$K$1001,MATCH(ROWS($I$2:I729),$I$2:$I$1001,0),0), INDEX($P$1004:$S$1004,1,MATCH(COLUMNS($P$1006:R1006),$P$1006:$S$1006,0)))),"Fix")))</f>
        <v>0</v>
      </c>
      <c r="E729" s="3">
        <f>IF(OR(INDEX($J$2:$J$1001,MATCH(ROWS($I$2:I729),$I$2:$I$1001,0),1)&gt;=100000,INDEX($P$1005:$S$1005,1,MATCH(COLUMNS($P$1006:S1006),$P$1006:$S$1006,0))&gt;=100000), " ",IF(INDEX($P$2:$S$1001,MATCH(ROWS($I$2:I729),$I$2:$I$1001,0),MATCH(COLUMNS($P$1006:S1006),$P$1006:$S$1006,0)), HYPERLINK("#",""), HYPERLINK(CONCATENATE("#metadata!", ADDRESS(INDEX($K$2:$K$1001,MATCH(ROWS($I$2:I729),$I$2:$I$1001,0),0), INDEX($P$1004:$S$1004,1,MATCH(COLUMNS($P$1006:S1006),$P$1006:$S$1006,0)))),"Fix")))</f>
        <v>0</v>
      </c>
      <c r="I729">
        <v>0</v>
      </c>
      <c r="J729">
        <v>0</v>
      </c>
      <c r="K729">
        <v>0</v>
      </c>
      <c r="L729">
        <f>IF(M729,TRUE,AND(P729:S729))</f>
        <v>0</v>
      </c>
      <c r="M729">
        <f>COUNTBLANK(metadata!B729:E729)=COLUMNS(metadata!B729:E729)</f>
        <v>0</v>
      </c>
      <c r="N729">
        <v>0</v>
      </c>
      <c r="P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Q729">
        <f>AND(IF(metadata!C729="",FALSE,TRUE),exact(metadata!C729,"other"))</f>
        <v>0</v>
      </c>
      <c r="R729">
        <f>AND(IF(metadata!D729="",FALSE,TRUE),exact(metadata!D729,"metagenome"))</f>
        <v>0</v>
      </c>
      <c r="S729">
        <f>AND(IF(metadata!E729="",FALSE,TRUE),exact(metadata!E729,"256318"))</f>
        <v>0</v>
      </c>
    </row>
    <row r="730" spans="1:19">
      <c r="A730" s="4">
        <f>IF(B730=" "," ",HYPERLINK(CONCATENATE("#metadata!",ADDRESS(INDEX($K$2:$K$1001,MATCH(ROWS($I$2:I730),$I$2:$I$1001,0),0),1)),INDEX($N$2:$N$1001,MATCH(ROWS($I$2:I730),$I$2:$I$1001,0),0)))</f>
        <v>0</v>
      </c>
      <c r="B730" s="3">
        <f>IF(OR(INDEX($J$2:$J$1001,MATCH(ROWS($I$2:I730),$I$2:$I$1001,0),1)&gt;=100000,INDEX($P$1005:$S$1005,1,MATCH(COLUMNS($P$1006:P1006),$P$1006:$S$1006,0))&gt;=100000), " ",IF(INDEX($P$2:$S$1001,MATCH(ROWS($I$2:I730),$I$2:$I$1001,0),MATCH(COLUMNS($P$1006:P1006),$P$1006:$S$1006,0)), HYPERLINK("#",""), HYPERLINK(CONCATENATE("#metadata!", ADDRESS(INDEX($K$2:$K$1001,MATCH(ROWS($I$2:I730),$I$2:$I$1001,0),0), INDEX($P$1004:$S$1004,1,MATCH(COLUMNS($P$1006:P1006),$P$1006:$S$1006,0)))),"Fix")))</f>
        <v>0</v>
      </c>
      <c r="C730" s="3">
        <f>IF(OR(INDEX($J$2:$J$1001,MATCH(ROWS($I$2:I730),$I$2:$I$1001,0),1)&gt;=100000,INDEX($P$1005:$S$1005,1,MATCH(COLUMNS($P$1006:Q1006),$P$1006:$S$1006,0))&gt;=100000), " ",IF(INDEX($P$2:$S$1001,MATCH(ROWS($I$2:I730),$I$2:$I$1001,0),MATCH(COLUMNS($P$1006:Q1006),$P$1006:$S$1006,0)), HYPERLINK("#",""), HYPERLINK(CONCATENATE("#metadata!", ADDRESS(INDEX($K$2:$K$1001,MATCH(ROWS($I$2:I730),$I$2:$I$1001,0),0), INDEX($P$1004:$S$1004,1,MATCH(COLUMNS($P$1006:Q1006),$P$1006:$S$1006,0)))),"Fix")))</f>
        <v>0</v>
      </c>
      <c r="D730" s="3">
        <f>IF(OR(INDEX($J$2:$J$1001,MATCH(ROWS($I$2:I730),$I$2:$I$1001,0),1)&gt;=100000,INDEX($P$1005:$S$1005,1,MATCH(COLUMNS($P$1006:R1006),$P$1006:$S$1006,0))&gt;=100000), " ",IF(INDEX($P$2:$S$1001,MATCH(ROWS($I$2:I730),$I$2:$I$1001,0),MATCH(COLUMNS($P$1006:R1006),$P$1006:$S$1006,0)), HYPERLINK("#",""), HYPERLINK(CONCATENATE("#metadata!", ADDRESS(INDEX($K$2:$K$1001,MATCH(ROWS($I$2:I730),$I$2:$I$1001,0),0), INDEX($P$1004:$S$1004,1,MATCH(COLUMNS($P$1006:R1006),$P$1006:$S$1006,0)))),"Fix")))</f>
        <v>0</v>
      </c>
      <c r="E730" s="3">
        <f>IF(OR(INDEX($J$2:$J$1001,MATCH(ROWS($I$2:I730),$I$2:$I$1001,0),1)&gt;=100000,INDEX($P$1005:$S$1005,1,MATCH(COLUMNS($P$1006:S1006),$P$1006:$S$1006,0))&gt;=100000), " ",IF(INDEX($P$2:$S$1001,MATCH(ROWS($I$2:I730),$I$2:$I$1001,0),MATCH(COLUMNS($P$1006:S1006),$P$1006:$S$1006,0)), HYPERLINK("#",""), HYPERLINK(CONCATENATE("#metadata!", ADDRESS(INDEX($K$2:$K$1001,MATCH(ROWS($I$2:I730),$I$2:$I$1001,0),0), INDEX($P$1004:$S$1004,1,MATCH(COLUMNS($P$1006:S1006),$P$1006:$S$1006,0)))),"Fix")))</f>
        <v>0</v>
      </c>
      <c r="I730">
        <v>0</v>
      </c>
      <c r="J730">
        <v>0</v>
      </c>
      <c r="K730">
        <v>0</v>
      </c>
      <c r="L730">
        <f>IF(M730,TRUE,AND(P730:S730))</f>
        <v>0</v>
      </c>
      <c r="M730">
        <f>COUNTBLANK(metadata!B730:E730)=COLUMNS(metadata!B730:E730)</f>
        <v>0</v>
      </c>
      <c r="N730">
        <v>0</v>
      </c>
      <c r="P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Q730">
        <f>AND(IF(metadata!C730="",FALSE,TRUE),exact(metadata!C730,"other"))</f>
        <v>0</v>
      </c>
      <c r="R730">
        <f>AND(IF(metadata!D730="",FALSE,TRUE),exact(metadata!D730,"metagenome"))</f>
        <v>0</v>
      </c>
      <c r="S730">
        <f>AND(IF(metadata!E730="",FALSE,TRUE),exact(metadata!E730,"256318"))</f>
        <v>0</v>
      </c>
    </row>
    <row r="731" spans="1:19">
      <c r="A731" s="4">
        <f>IF(B731=" "," ",HYPERLINK(CONCATENATE("#metadata!",ADDRESS(INDEX($K$2:$K$1001,MATCH(ROWS($I$2:I731),$I$2:$I$1001,0),0),1)),INDEX($N$2:$N$1001,MATCH(ROWS($I$2:I731),$I$2:$I$1001,0),0)))</f>
        <v>0</v>
      </c>
      <c r="B731" s="3">
        <f>IF(OR(INDEX($J$2:$J$1001,MATCH(ROWS($I$2:I731),$I$2:$I$1001,0),1)&gt;=100000,INDEX($P$1005:$S$1005,1,MATCH(COLUMNS($P$1006:P1006),$P$1006:$S$1006,0))&gt;=100000), " ",IF(INDEX($P$2:$S$1001,MATCH(ROWS($I$2:I731),$I$2:$I$1001,0),MATCH(COLUMNS($P$1006:P1006),$P$1006:$S$1006,0)), HYPERLINK("#",""), HYPERLINK(CONCATENATE("#metadata!", ADDRESS(INDEX($K$2:$K$1001,MATCH(ROWS($I$2:I731),$I$2:$I$1001,0),0), INDEX($P$1004:$S$1004,1,MATCH(COLUMNS($P$1006:P1006),$P$1006:$S$1006,0)))),"Fix")))</f>
        <v>0</v>
      </c>
      <c r="C731" s="3">
        <f>IF(OR(INDEX($J$2:$J$1001,MATCH(ROWS($I$2:I731),$I$2:$I$1001,0),1)&gt;=100000,INDEX($P$1005:$S$1005,1,MATCH(COLUMNS($P$1006:Q1006),$P$1006:$S$1006,0))&gt;=100000), " ",IF(INDEX($P$2:$S$1001,MATCH(ROWS($I$2:I731),$I$2:$I$1001,0),MATCH(COLUMNS($P$1006:Q1006),$P$1006:$S$1006,0)), HYPERLINK("#",""), HYPERLINK(CONCATENATE("#metadata!", ADDRESS(INDEX($K$2:$K$1001,MATCH(ROWS($I$2:I731),$I$2:$I$1001,0),0), INDEX($P$1004:$S$1004,1,MATCH(COLUMNS($P$1006:Q1006),$P$1006:$S$1006,0)))),"Fix")))</f>
        <v>0</v>
      </c>
      <c r="D731" s="3">
        <f>IF(OR(INDEX($J$2:$J$1001,MATCH(ROWS($I$2:I731),$I$2:$I$1001,0),1)&gt;=100000,INDEX($P$1005:$S$1005,1,MATCH(COLUMNS($P$1006:R1006),$P$1006:$S$1006,0))&gt;=100000), " ",IF(INDEX($P$2:$S$1001,MATCH(ROWS($I$2:I731),$I$2:$I$1001,0),MATCH(COLUMNS($P$1006:R1006),$P$1006:$S$1006,0)), HYPERLINK("#",""), HYPERLINK(CONCATENATE("#metadata!", ADDRESS(INDEX($K$2:$K$1001,MATCH(ROWS($I$2:I731),$I$2:$I$1001,0),0), INDEX($P$1004:$S$1004,1,MATCH(COLUMNS($P$1006:R1006),$P$1006:$S$1006,0)))),"Fix")))</f>
        <v>0</v>
      </c>
      <c r="E731" s="3">
        <f>IF(OR(INDEX($J$2:$J$1001,MATCH(ROWS($I$2:I731),$I$2:$I$1001,0),1)&gt;=100000,INDEX($P$1005:$S$1005,1,MATCH(COLUMNS($P$1006:S1006),$P$1006:$S$1006,0))&gt;=100000), " ",IF(INDEX($P$2:$S$1001,MATCH(ROWS($I$2:I731),$I$2:$I$1001,0),MATCH(COLUMNS($P$1006:S1006),$P$1006:$S$1006,0)), HYPERLINK("#",""), HYPERLINK(CONCATENATE("#metadata!", ADDRESS(INDEX($K$2:$K$1001,MATCH(ROWS($I$2:I731),$I$2:$I$1001,0),0), INDEX($P$1004:$S$1004,1,MATCH(COLUMNS($P$1006:S1006),$P$1006:$S$1006,0)))),"Fix")))</f>
        <v>0</v>
      </c>
      <c r="I731">
        <v>0</v>
      </c>
      <c r="J731">
        <v>0</v>
      </c>
      <c r="K731">
        <v>0</v>
      </c>
      <c r="L731">
        <f>IF(M731,TRUE,AND(P731:S731))</f>
        <v>0</v>
      </c>
      <c r="M731">
        <f>COUNTBLANK(metadata!B731:E731)=COLUMNS(metadata!B731:E731)</f>
        <v>0</v>
      </c>
      <c r="N731">
        <v>0</v>
      </c>
      <c r="P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Q731">
        <f>AND(IF(metadata!C731="",FALSE,TRUE),exact(metadata!C731,"other"))</f>
        <v>0</v>
      </c>
      <c r="R731">
        <f>AND(IF(metadata!D731="",FALSE,TRUE),exact(metadata!D731,"metagenome"))</f>
        <v>0</v>
      </c>
      <c r="S731">
        <f>AND(IF(metadata!E731="",FALSE,TRUE),exact(metadata!E731,"256318"))</f>
        <v>0</v>
      </c>
    </row>
    <row r="732" spans="1:19">
      <c r="A732" s="4">
        <f>IF(B732=" "," ",HYPERLINK(CONCATENATE("#metadata!",ADDRESS(INDEX($K$2:$K$1001,MATCH(ROWS($I$2:I732),$I$2:$I$1001,0),0),1)),INDEX($N$2:$N$1001,MATCH(ROWS($I$2:I732),$I$2:$I$1001,0),0)))</f>
        <v>0</v>
      </c>
      <c r="B732" s="3">
        <f>IF(OR(INDEX($J$2:$J$1001,MATCH(ROWS($I$2:I732),$I$2:$I$1001,0),1)&gt;=100000,INDEX($P$1005:$S$1005,1,MATCH(COLUMNS($P$1006:P1006),$P$1006:$S$1006,0))&gt;=100000), " ",IF(INDEX($P$2:$S$1001,MATCH(ROWS($I$2:I732),$I$2:$I$1001,0),MATCH(COLUMNS($P$1006:P1006),$P$1006:$S$1006,0)), HYPERLINK("#",""), HYPERLINK(CONCATENATE("#metadata!", ADDRESS(INDEX($K$2:$K$1001,MATCH(ROWS($I$2:I732),$I$2:$I$1001,0),0), INDEX($P$1004:$S$1004,1,MATCH(COLUMNS($P$1006:P1006),$P$1006:$S$1006,0)))),"Fix")))</f>
        <v>0</v>
      </c>
      <c r="C732" s="3">
        <f>IF(OR(INDEX($J$2:$J$1001,MATCH(ROWS($I$2:I732),$I$2:$I$1001,0),1)&gt;=100000,INDEX($P$1005:$S$1005,1,MATCH(COLUMNS($P$1006:Q1006),$P$1006:$S$1006,0))&gt;=100000), " ",IF(INDEX($P$2:$S$1001,MATCH(ROWS($I$2:I732),$I$2:$I$1001,0),MATCH(COLUMNS($P$1006:Q1006),$P$1006:$S$1006,0)), HYPERLINK("#",""), HYPERLINK(CONCATENATE("#metadata!", ADDRESS(INDEX($K$2:$K$1001,MATCH(ROWS($I$2:I732),$I$2:$I$1001,0),0), INDEX($P$1004:$S$1004,1,MATCH(COLUMNS($P$1006:Q1006),$P$1006:$S$1006,0)))),"Fix")))</f>
        <v>0</v>
      </c>
      <c r="D732" s="3">
        <f>IF(OR(INDEX($J$2:$J$1001,MATCH(ROWS($I$2:I732),$I$2:$I$1001,0),1)&gt;=100000,INDEX($P$1005:$S$1005,1,MATCH(COLUMNS($P$1006:R1006),$P$1006:$S$1006,0))&gt;=100000), " ",IF(INDEX($P$2:$S$1001,MATCH(ROWS($I$2:I732),$I$2:$I$1001,0),MATCH(COLUMNS($P$1006:R1006),$P$1006:$S$1006,0)), HYPERLINK("#",""), HYPERLINK(CONCATENATE("#metadata!", ADDRESS(INDEX($K$2:$K$1001,MATCH(ROWS($I$2:I732),$I$2:$I$1001,0),0), INDEX($P$1004:$S$1004,1,MATCH(COLUMNS($P$1006:R1006),$P$1006:$S$1006,0)))),"Fix")))</f>
        <v>0</v>
      </c>
      <c r="E732" s="3">
        <f>IF(OR(INDEX($J$2:$J$1001,MATCH(ROWS($I$2:I732),$I$2:$I$1001,0),1)&gt;=100000,INDEX($P$1005:$S$1005,1,MATCH(COLUMNS($P$1006:S1006),$P$1006:$S$1006,0))&gt;=100000), " ",IF(INDEX($P$2:$S$1001,MATCH(ROWS($I$2:I732),$I$2:$I$1001,0),MATCH(COLUMNS($P$1006:S1006),$P$1006:$S$1006,0)), HYPERLINK("#",""), HYPERLINK(CONCATENATE("#metadata!", ADDRESS(INDEX($K$2:$K$1001,MATCH(ROWS($I$2:I732),$I$2:$I$1001,0),0), INDEX($P$1004:$S$1004,1,MATCH(COLUMNS($P$1006:S1006),$P$1006:$S$1006,0)))),"Fix")))</f>
        <v>0</v>
      </c>
      <c r="I732">
        <v>0</v>
      </c>
      <c r="J732">
        <v>0</v>
      </c>
      <c r="K732">
        <v>0</v>
      </c>
      <c r="L732">
        <f>IF(M732,TRUE,AND(P732:S732))</f>
        <v>0</v>
      </c>
      <c r="M732">
        <f>COUNTBLANK(metadata!B732:E732)=COLUMNS(metadata!B732:E732)</f>
        <v>0</v>
      </c>
      <c r="N732">
        <v>0</v>
      </c>
      <c r="P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Q732">
        <f>AND(IF(metadata!C732="",FALSE,TRUE),exact(metadata!C732,"other"))</f>
        <v>0</v>
      </c>
      <c r="R732">
        <f>AND(IF(metadata!D732="",FALSE,TRUE),exact(metadata!D732,"metagenome"))</f>
        <v>0</v>
      </c>
      <c r="S732">
        <f>AND(IF(metadata!E732="",FALSE,TRUE),exact(metadata!E732,"256318"))</f>
        <v>0</v>
      </c>
    </row>
    <row r="733" spans="1:19">
      <c r="A733" s="4">
        <f>IF(B733=" "," ",HYPERLINK(CONCATENATE("#metadata!",ADDRESS(INDEX($K$2:$K$1001,MATCH(ROWS($I$2:I733),$I$2:$I$1001,0),0),1)),INDEX($N$2:$N$1001,MATCH(ROWS($I$2:I733),$I$2:$I$1001,0),0)))</f>
        <v>0</v>
      </c>
      <c r="B733" s="3">
        <f>IF(OR(INDEX($J$2:$J$1001,MATCH(ROWS($I$2:I733),$I$2:$I$1001,0),1)&gt;=100000,INDEX($P$1005:$S$1005,1,MATCH(COLUMNS($P$1006:P1006),$P$1006:$S$1006,0))&gt;=100000), " ",IF(INDEX($P$2:$S$1001,MATCH(ROWS($I$2:I733),$I$2:$I$1001,0),MATCH(COLUMNS($P$1006:P1006),$P$1006:$S$1006,0)), HYPERLINK("#",""), HYPERLINK(CONCATENATE("#metadata!", ADDRESS(INDEX($K$2:$K$1001,MATCH(ROWS($I$2:I733),$I$2:$I$1001,0),0), INDEX($P$1004:$S$1004,1,MATCH(COLUMNS($P$1006:P1006),$P$1006:$S$1006,0)))),"Fix")))</f>
        <v>0</v>
      </c>
      <c r="C733" s="3">
        <f>IF(OR(INDEX($J$2:$J$1001,MATCH(ROWS($I$2:I733),$I$2:$I$1001,0),1)&gt;=100000,INDEX($P$1005:$S$1005,1,MATCH(COLUMNS($P$1006:Q1006),$P$1006:$S$1006,0))&gt;=100000), " ",IF(INDEX($P$2:$S$1001,MATCH(ROWS($I$2:I733),$I$2:$I$1001,0),MATCH(COLUMNS($P$1006:Q1006),$P$1006:$S$1006,0)), HYPERLINK("#",""), HYPERLINK(CONCATENATE("#metadata!", ADDRESS(INDEX($K$2:$K$1001,MATCH(ROWS($I$2:I733),$I$2:$I$1001,0),0), INDEX($P$1004:$S$1004,1,MATCH(COLUMNS($P$1006:Q1006),$P$1006:$S$1006,0)))),"Fix")))</f>
        <v>0</v>
      </c>
      <c r="D733" s="3">
        <f>IF(OR(INDEX($J$2:$J$1001,MATCH(ROWS($I$2:I733),$I$2:$I$1001,0),1)&gt;=100000,INDEX($P$1005:$S$1005,1,MATCH(COLUMNS($P$1006:R1006),$P$1006:$S$1006,0))&gt;=100000), " ",IF(INDEX($P$2:$S$1001,MATCH(ROWS($I$2:I733),$I$2:$I$1001,0),MATCH(COLUMNS($P$1006:R1006),$P$1006:$S$1006,0)), HYPERLINK("#",""), HYPERLINK(CONCATENATE("#metadata!", ADDRESS(INDEX($K$2:$K$1001,MATCH(ROWS($I$2:I733),$I$2:$I$1001,0),0), INDEX($P$1004:$S$1004,1,MATCH(COLUMNS($P$1006:R1006),$P$1006:$S$1006,0)))),"Fix")))</f>
        <v>0</v>
      </c>
      <c r="E733" s="3">
        <f>IF(OR(INDEX($J$2:$J$1001,MATCH(ROWS($I$2:I733),$I$2:$I$1001,0),1)&gt;=100000,INDEX($P$1005:$S$1005,1,MATCH(COLUMNS($P$1006:S1006),$P$1006:$S$1006,0))&gt;=100000), " ",IF(INDEX($P$2:$S$1001,MATCH(ROWS($I$2:I733),$I$2:$I$1001,0),MATCH(COLUMNS($P$1006:S1006),$P$1006:$S$1006,0)), HYPERLINK("#",""), HYPERLINK(CONCATENATE("#metadata!", ADDRESS(INDEX($K$2:$K$1001,MATCH(ROWS($I$2:I733),$I$2:$I$1001,0),0), INDEX($P$1004:$S$1004,1,MATCH(COLUMNS($P$1006:S1006),$P$1006:$S$1006,0)))),"Fix")))</f>
        <v>0</v>
      </c>
      <c r="I733">
        <v>0</v>
      </c>
      <c r="J733">
        <v>0</v>
      </c>
      <c r="K733">
        <v>0</v>
      </c>
      <c r="L733">
        <f>IF(M733,TRUE,AND(P733:S733))</f>
        <v>0</v>
      </c>
      <c r="M733">
        <f>COUNTBLANK(metadata!B733:E733)=COLUMNS(metadata!B733:E733)</f>
        <v>0</v>
      </c>
      <c r="N733">
        <v>0</v>
      </c>
      <c r="P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Q733">
        <f>AND(IF(metadata!C733="",FALSE,TRUE),exact(metadata!C733,"other"))</f>
        <v>0</v>
      </c>
      <c r="R733">
        <f>AND(IF(metadata!D733="",FALSE,TRUE),exact(metadata!D733,"metagenome"))</f>
        <v>0</v>
      </c>
      <c r="S733">
        <f>AND(IF(metadata!E733="",FALSE,TRUE),exact(metadata!E733,"256318"))</f>
        <v>0</v>
      </c>
    </row>
    <row r="734" spans="1:19">
      <c r="A734" s="4">
        <f>IF(B734=" "," ",HYPERLINK(CONCATENATE("#metadata!",ADDRESS(INDEX($K$2:$K$1001,MATCH(ROWS($I$2:I734),$I$2:$I$1001,0),0),1)),INDEX($N$2:$N$1001,MATCH(ROWS($I$2:I734),$I$2:$I$1001,0),0)))</f>
        <v>0</v>
      </c>
      <c r="B734" s="3">
        <f>IF(OR(INDEX($J$2:$J$1001,MATCH(ROWS($I$2:I734),$I$2:$I$1001,0),1)&gt;=100000,INDEX($P$1005:$S$1005,1,MATCH(COLUMNS($P$1006:P1006),$P$1006:$S$1006,0))&gt;=100000), " ",IF(INDEX($P$2:$S$1001,MATCH(ROWS($I$2:I734),$I$2:$I$1001,0),MATCH(COLUMNS($P$1006:P1006),$P$1006:$S$1006,0)), HYPERLINK("#",""), HYPERLINK(CONCATENATE("#metadata!", ADDRESS(INDEX($K$2:$K$1001,MATCH(ROWS($I$2:I734),$I$2:$I$1001,0),0), INDEX($P$1004:$S$1004,1,MATCH(COLUMNS($P$1006:P1006),$P$1006:$S$1006,0)))),"Fix")))</f>
        <v>0</v>
      </c>
      <c r="C734" s="3">
        <f>IF(OR(INDEX($J$2:$J$1001,MATCH(ROWS($I$2:I734),$I$2:$I$1001,0),1)&gt;=100000,INDEX($P$1005:$S$1005,1,MATCH(COLUMNS($P$1006:Q1006),$P$1006:$S$1006,0))&gt;=100000), " ",IF(INDEX($P$2:$S$1001,MATCH(ROWS($I$2:I734),$I$2:$I$1001,0),MATCH(COLUMNS($P$1006:Q1006),$P$1006:$S$1006,0)), HYPERLINK("#",""), HYPERLINK(CONCATENATE("#metadata!", ADDRESS(INDEX($K$2:$K$1001,MATCH(ROWS($I$2:I734),$I$2:$I$1001,0),0), INDEX($P$1004:$S$1004,1,MATCH(COLUMNS($P$1006:Q1006),$P$1006:$S$1006,0)))),"Fix")))</f>
        <v>0</v>
      </c>
      <c r="D734" s="3">
        <f>IF(OR(INDEX($J$2:$J$1001,MATCH(ROWS($I$2:I734),$I$2:$I$1001,0),1)&gt;=100000,INDEX($P$1005:$S$1005,1,MATCH(COLUMNS($P$1006:R1006),$P$1006:$S$1006,0))&gt;=100000), " ",IF(INDEX($P$2:$S$1001,MATCH(ROWS($I$2:I734),$I$2:$I$1001,0),MATCH(COLUMNS($P$1006:R1006),$P$1006:$S$1006,0)), HYPERLINK("#",""), HYPERLINK(CONCATENATE("#metadata!", ADDRESS(INDEX($K$2:$K$1001,MATCH(ROWS($I$2:I734),$I$2:$I$1001,0),0), INDEX($P$1004:$S$1004,1,MATCH(COLUMNS($P$1006:R1006),$P$1006:$S$1006,0)))),"Fix")))</f>
        <v>0</v>
      </c>
      <c r="E734" s="3">
        <f>IF(OR(INDEX($J$2:$J$1001,MATCH(ROWS($I$2:I734),$I$2:$I$1001,0),1)&gt;=100000,INDEX($P$1005:$S$1005,1,MATCH(COLUMNS($P$1006:S1006),$P$1006:$S$1006,0))&gt;=100000), " ",IF(INDEX($P$2:$S$1001,MATCH(ROWS($I$2:I734),$I$2:$I$1001,0),MATCH(COLUMNS($P$1006:S1006),$P$1006:$S$1006,0)), HYPERLINK("#",""), HYPERLINK(CONCATENATE("#metadata!", ADDRESS(INDEX($K$2:$K$1001,MATCH(ROWS($I$2:I734),$I$2:$I$1001,0),0), INDEX($P$1004:$S$1004,1,MATCH(COLUMNS($P$1006:S1006),$P$1006:$S$1006,0)))),"Fix")))</f>
        <v>0</v>
      </c>
      <c r="I734">
        <v>0</v>
      </c>
      <c r="J734">
        <v>0</v>
      </c>
      <c r="K734">
        <v>0</v>
      </c>
      <c r="L734">
        <f>IF(M734,TRUE,AND(P734:S734))</f>
        <v>0</v>
      </c>
      <c r="M734">
        <f>COUNTBLANK(metadata!B734:E734)=COLUMNS(metadata!B734:E734)</f>
        <v>0</v>
      </c>
      <c r="N734">
        <v>0</v>
      </c>
      <c r="P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Q734">
        <f>AND(IF(metadata!C734="",FALSE,TRUE),exact(metadata!C734,"other"))</f>
        <v>0</v>
      </c>
      <c r="R734">
        <f>AND(IF(metadata!D734="",FALSE,TRUE),exact(metadata!D734,"metagenome"))</f>
        <v>0</v>
      </c>
      <c r="S734">
        <f>AND(IF(metadata!E734="",FALSE,TRUE),exact(metadata!E734,"256318"))</f>
        <v>0</v>
      </c>
    </row>
    <row r="735" spans="1:19">
      <c r="A735" s="4">
        <f>IF(B735=" "," ",HYPERLINK(CONCATENATE("#metadata!",ADDRESS(INDEX($K$2:$K$1001,MATCH(ROWS($I$2:I735),$I$2:$I$1001,0),0),1)),INDEX($N$2:$N$1001,MATCH(ROWS($I$2:I735),$I$2:$I$1001,0),0)))</f>
        <v>0</v>
      </c>
      <c r="B735" s="3">
        <f>IF(OR(INDEX($J$2:$J$1001,MATCH(ROWS($I$2:I735),$I$2:$I$1001,0),1)&gt;=100000,INDEX($P$1005:$S$1005,1,MATCH(COLUMNS($P$1006:P1006),$P$1006:$S$1006,0))&gt;=100000), " ",IF(INDEX($P$2:$S$1001,MATCH(ROWS($I$2:I735),$I$2:$I$1001,0),MATCH(COLUMNS($P$1006:P1006),$P$1006:$S$1006,0)), HYPERLINK("#",""), HYPERLINK(CONCATENATE("#metadata!", ADDRESS(INDEX($K$2:$K$1001,MATCH(ROWS($I$2:I735),$I$2:$I$1001,0),0), INDEX($P$1004:$S$1004,1,MATCH(COLUMNS($P$1006:P1006),$P$1006:$S$1006,0)))),"Fix")))</f>
        <v>0</v>
      </c>
      <c r="C735" s="3">
        <f>IF(OR(INDEX($J$2:$J$1001,MATCH(ROWS($I$2:I735),$I$2:$I$1001,0),1)&gt;=100000,INDEX($P$1005:$S$1005,1,MATCH(COLUMNS($P$1006:Q1006),$P$1006:$S$1006,0))&gt;=100000), " ",IF(INDEX($P$2:$S$1001,MATCH(ROWS($I$2:I735),$I$2:$I$1001,0),MATCH(COLUMNS($P$1006:Q1006),$P$1006:$S$1006,0)), HYPERLINK("#",""), HYPERLINK(CONCATENATE("#metadata!", ADDRESS(INDEX($K$2:$K$1001,MATCH(ROWS($I$2:I735),$I$2:$I$1001,0),0), INDEX($P$1004:$S$1004,1,MATCH(COLUMNS($P$1006:Q1006),$P$1006:$S$1006,0)))),"Fix")))</f>
        <v>0</v>
      </c>
      <c r="D735" s="3">
        <f>IF(OR(INDEX($J$2:$J$1001,MATCH(ROWS($I$2:I735),$I$2:$I$1001,0),1)&gt;=100000,INDEX($P$1005:$S$1005,1,MATCH(COLUMNS($P$1006:R1006),$P$1006:$S$1006,0))&gt;=100000), " ",IF(INDEX($P$2:$S$1001,MATCH(ROWS($I$2:I735),$I$2:$I$1001,0),MATCH(COLUMNS($P$1006:R1006),$P$1006:$S$1006,0)), HYPERLINK("#",""), HYPERLINK(CONCATENATE("#metadata!", ADDRESS(INDEX($K$2:$K$1001,MATCH(ROWS($I$2:I735),$I$2:$I$1001,0),0), INDEX($P$1004:$S$1004,1,MATCH(COLUMNS($P$1006:R1006),$P$1006:$S$1006,0)))),"Fix")))</f>
        <v>0</v>
      </c>
      <c r="E735" s="3">
        <f>IF(OR(INDEX($J$2:$J$1001,MATCH(ROWS($I$2:I735),$I$2:$I$1001,0),1)&gt;=100000,INDEX($P$1005:$S$1005,1,MATCH(COLUMNS($P$1006:S1006),$P$1006:$S$1006,0))&gt;=100000), " ",IF(INDEX($P$2:$S$1001,MATCH(ROWS($I$2:I735),$I$2:$I$1001,0),MATCH(COLUMNS($P$1006:S1006),$P$1006:$S$1006,0)), HYPERLINK("#",""), HYPERLINK(CONCATENATE("#metadata!", ADDRESS(INDEX($K$2:$K$1001,MATCH(ROWS($I$2:I735),$I$2:$I$1001,0),0), INDEX($P$1004:$S$1004,1,MATCH(COLUMNS($P$1006:S1006),$P$1006:$S$1006,0)))),"Fix")))</f>
        <v>0</v>
      </c>
      <c r="I735">
        <v>0</v>
      </c>
      <c r="J735">
        <v>0</v>
      </c>
      <c r="K735">
        <v>0</v>
      </c>
      <c r="L735">
        <f>IF(M735,TRUE,AND(P735:S735))</f>
        <v>0</v>
      </c>
      <c r="M735">
        <f>COUNTBLANK(metadata!B735:E735)=COLUMNS(metadata!B735:E735)</f>
        <v>0</v>
      </c>
      <c r="N735">
        <v>0</v>
      </c>
      <c r="P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Q735">
        <f>AND(IF(metadata!C735="",FALSE,TRUE),exact(metadata!C735,"other"))</f>
        <v>0</v>
      </c>
      <c r="R735">
        <f>AND(IF(metadata!D735="",FALSE,TRUE),exact(metadata!D735,"metagenome"))</f>
        <v>0</v>
      </c>
      <c r="S735">
        <f>AND(IF(metadata!E735="",FALSE,TRUE),exact(metadata!E735,"256318"))</f>
        <v>0</v>
      </c>
    </row>
    <row r="736" spans="1:19">
      <c r="A736" s="4">
        <f>IF(B736=" "," ",HYPERLINK(CONCATENATE("#metadata!",ADDRESS(INDEX($K$2:$K$1001,MATCH(ROWS($I$2:I736),$I$2:$I$1001,0),0),1)),INDEX($N$2:$N$1001,MATCH(ROWS($I$2:I736),$I$2:$I$1001,0),0)))</f>
        <v>0</v>
      </c>
      <c r="B736" s="3">
        <f>IF(OR(INDEX($J$2:$J$1001,MATCH(ROWS($I$2:I736),$I$2:$I$1001,0),1)&gt;=100000,INDEX($P$1005:$S$1005,1,MATCH(COLUMNS($P$1006:P1006),$P$1006:$S$1006,0))&gt;=100000), " ",IF(INDEX($P$2:$S$1001,MATCH(ROWS($I$2:I736),$I$2:$I$1001,0),MATCH(COLUMNS($P$1006:P1006),$P$1006:$S$1006,0)), HYPERLINK("#",""), HYPERLINK(CONCATENATE("#metadata!", ADDRESS(INDEX($K$2:$K$1001,MATCH(ROWS($I$2:I736),$I$2:$I$1001,0),0), INDEX($P$1004:$S$1004,1,MATCH(COLUMNS($P$1006:P1006),$P$1006:$S$1006,0)))),"Fix")))</f>
        <v>0</v>
      </c>
      <c r="C736" s="3">
        <f>IF(OR(INDEX($J$2:$J$1001,MATCH(ROWS($I$2:I736),$I$2:$I$1001,0),1)&gt;=100000,INDEX($P$1005:$S$1005,1,MATCH(COLUMNS($P$1006:Q1006),$P$1006:$S$1006,0))&gt;=100000), " ",IF(INDEX($P$2:$S$1001,MATCH(ROWS($I$2:I736),$I$2:$I$1001,0),MATCH(COLUMNS($P$1006:Q1006),$P$1006:$S$1006,0)), HYPERLINK("#",""), HYPERLINK(CONCATENATE("#metadata!", ADDRESS(INDEX($K$2:$K$1001,MATCH(ROWS($I$2:I736),$I$2:$I$1001,0),0), INDEX($P$1004:$S$1004,1,MATCH(COLUMNS($P$1006:Q1006),$P$1006:$S$1006,0)))),"Fix")))</f>
        <v>0</v>
      </c>
      <c r="D736" s="3">
        <f>IF(OR(INDEX($J$2:$J$1001,MATCH(ROWS($I$2:I736),$I$2:$I$1001,0),1)&gt;=100000,INDEX($P$1005:$S$1005,1,MATCH(COLUMNS($P$1006:R1006),$P$1006:$S$1006,0))&gt;=100000), " ",IF(INDEX($P$2:$S$1001,MATCH(ROWS($I$2:I736),$I$2:$I$1001,0),MATCH(COLUMNS($P$1006:R1006),$P$1006:$S$1006,0)), HYPERLINK("#",""), HYPERLINK(CONCATENATE("#metadata!", ADDRESS(INDEX($K$2:$K$1001,MATCH(ROWS($I$2:I736),$I$2:$I$1001,0),0), INDEX($P$1004:$S$1004,1,MATCH(COLUMNS($P$1006:R1006),$P$1006:$S$1006,0)))),"Fix")))</f>
        <v>0</v>
      </c>
      <c r="E736" s="3">
        <f>IF(OR(INDEX($J$2:$J$1001,MATCH(ROWS($I$2:I736),$I$2:$I$1001,0),1)&gt;=100000,INDEX($P$1005:$S$1005,1,MATCH(COLUMNS($P$1006:S1006),$P$1006:$S$1006,0))&gt;=100000), " ",IF(INDEX($P$2:$S$1001,MATCH(ROWS($I$2:I736),$I$2:$I$1001,0),MATCH(COLUMNS($P$1006:S1006),$P$1006:$S$1006,0)), HYPERLINK("#",""), HYPERLINK(CONCATENATE("#metadata!", ADDRESS(INDEX($K$2:$K$1001,MATCH(ROWS($I$2:I736),$I$2:$I$1001,0),0), INDEX($P$1004:$S$1004,1,MATCH(COLUMNS($P$1006:S1006),$P$1006:$S$1006,0)))),"Fix")))</f>
        <v>0</v>
      </c>
      <c r="I736">
        <v>0</v>
      </c>
      <c r="J736">
        <v>0</v>
      </c>
      <c r="K736">
        <v>0</v>
      </c>
      <c r="L736">
        <f>IF(M736,TRUE,AND(P736:S736))</f>
        <v>0</v>
      </c>
      <c r="M736">
        <f>COUNTBLANK(metadata!B736:E736)=COLUMNS(metadata!B736:E736)</f>
        <v>0</v>
      </c>
      <c r="N736">
        <v>0</v>
      </c>
      <c r="P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Q736">
        <f>AND(IF(metadata!C736="",FALSE,TRUE),exact(metadata!C736,"other"))</f>
        <v>0</v>
      </c>
      <c r="R736">
        <f>AND(IF(metadata!D736="",FALSE,TRUE),exact(metadata!D736,"metagenome"))</f>
        <v>0</v>
      </c>
      <c r="S736">
        <f>AND(IF(metadata!E736="",FALSE,TRUE),exact(metadata!E736,"256318"))</f>
        <v>0</v>
      </c>
    </row>
    <row r="737" spans="1:19">
      <c r="A737" s="4">
        <f>IF(B737=" "," ",HYPERLINK(CONCATENATE("#metadata!",ADDRESS(INDEX($K$2:$K$1001,MATCH(ROWS($I$2:I737),$I$2:$I$1001,0),0),1)),INDEX($N$2:$N$1001,MATCH(ROWS($I$2:I737),$I$2:$I$1001,0),0)))</f>
        <v>0</v>
      </c>
      <c r="B737" s="3">
        <f>IF(OR(INDEX($J$2:$J$1001,MATCH(ROWS($I$2:I737),$I$2:$I$1001,0),1)&gt;=100000,INDEX($P$1005:$S$1005,1,MATCH(COLUMNS($P$1006:P1006),$P$1006:$S$1006,0))&gt;=100000), " ",IF(INDEX($P$2:$S$1001,MATCH(ROWS($I$2:I737),$I$2:$I$1001,0),MATCH(COLUMNS($P$1006:P1006),$P$1006:$S$1006,0)), HYPERLINK("#",""), HYPERLINK(CONCATENATE("#metadata!", ADDRESS(INDEX($K$2:$K$1001,MATCH(ROWS($I$2:I737),$I$2:$I$1001,0),0), INDEX($P$1004:$S$1004,1,MATCH(COLUMNS($P$1006:P1006),$P$1006:$S$1006,0)))),"Fix")))</f>
        <v>0</v>
      </c>
      <c r="C737" s="3">
        <f>IF(OR(INDEX($J$2:$J$1001,MATCH(ROWS($I$2:I737),$I$2:$I$1001,0),1)&gt;=100000,INDEX($P$1005:$S$1005,1,MATCH(COLUMNS($P$1006:Q1006),$P$1006:$S$1006,0))&gt;=100000), " ",IF(INDEX($P$2:$S$1001,MATCH(ROWS($I$2:I737),$I$2:$I$1001,0),MATCH(COLUMNS($P$1006:Q1006),$P$1006:$S$1006,0)), HYPERLINK("#",""), HYPERLINK(CONCATENATE("#metadata!", ADDRESS(INDEX($K$2:$K$1001,MATCH(ROWS($I$2:I737),$I$2:$I$1001,0),0), INDEX($P$1004:$S$1004,1,MATCH(COLUMNS($P$1006:Q1006),$P$1006:$S$1006,0)))),"Fix")))</f>
        <v>0</v>
      </c>
      <c r="D737" s="3">
        <f>IF(OR(INDEX($J$2:$J$1001,MATCH(ROWS($I$2:I737),$I$2:$I$1001,0),1)&gt;=100000,INDEX($P$1005:$S$1005,1,MATCH(COLUMNS($P$1006:R1006),$P$1006:$S$1006,0))&gt;=100000), " ",IF(INDEX($P$2:$S$1001,MATCH(ROWS($I$2:I737),$I$2:$I$1001,0),MATCH(COLUMNS($P$1006:R1006),$P$1006:$S$1006,0)), HYPERLINK("#",""), HYPERLINK(CONCATENATE("#metadata!", ADDRESS(INDEX($K$2:$K$1001,MATCH(ROWS($I$2:I737),$I$2:$I$1001,0),0), INDEX($P$1004:$S$1004,1,MATCH(COLUMNS($P$1006:R1006),$P$1006:$S$1006,0)))),"Fix")))</f>
        <v>0</v>
      </c>
      <c r="E737" s="3">
        <f>IF(OR(INDEX($J$2:$J$1001,MATCH(ROWS($I$2:I737),$I$2:$I$1001,0),1)&gt;=100000,INDEX($P$1005:$S$1005,1,MATCH(COLUMNS($P$1006:S1006),$P$1006:$S$1006,0))&gt;=100000), " ",IF(INDEX($P$2:$S$1001,MATCH(ROWS($I$2:I737),$I$2:$I$1001,0),MATCH(COLUMNS($P$1006:S1006),$P$1006:$S$1006,0)), HYPERLINK("#",""), HYPERLINK(CONCATENATE("#metadata!", ADDRESS(INDEX($K$2:$K$1001,MATCH(ROWS($I$2:I737),$I$2:$I$1001,0),0), INDEX($P$1004:$S$1004,1,MATCH(COLUMNS($P$1006:S1006),$P$1006:$S$1006,0)))),"Fix")))</f>
        <v>0</v>
      </c>
      <c r="I737">
        <v>0</v>
      </c>
      <c r="J737">
        <v>0</v>
      </c>
      <c r="K737">
        <v>0</v>
      </c>
      <c r="L737">
        <f>IF(M737,TRUE,AND(P737:S737))</f>
        <v>0</v>
      </c>
      <c r="M737">
        <f>COUNTBLANK(metadata!B737:E737)=COLUMNS(metadata!B737:E737)</f>
        <v>0</v>
      </c>
      <c r="N737">
        <v>0</v>
      </c>
      <c r="P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Q737">
        <f>AND(IF(metadata!C737="",FALSE,TRUE),exact(metadata!C737,"other"))</f>
        <v>0</v>
      </c>
      <c r="R737">
        <f>AND(IF(metadata!D737="",FALSE,TRUE),exact(metadata!D737,"metagenome"))</f>
        <v>0</v>
      </c>
      <c r="S737">
        <f>AND(IF(metadata!E737="",FALSE,TRUE),exact(metadata!E737,"256318"))</f>
        <v>0</v>
      </c>
    </row>
    <row r="738" spans="1:19">
      <c r="A738" s="4">
        <f>IF(B738=" "," ",HYPERLINK(CONCATENATE("#metadata!",ADDRESS(INDEX($K$2:$K$1001,MATCH(ROWS($I$2:I738),$I$2:$I$1001,0),0),1)),INDEX($N$2:$N$1001,MATCH(ROWS($I$2:I738),$I$2:$I$1001,0),0)))</f>
        <v>0</v>
      </c>
      <c r="B738" s="3">
        <f>IF(OR(INDEX($J$2:$J$1001,MATCH(ROWS($I$2:I738),$I$2:$I$1001,0),1)&gt;=100000,INDEX($P$1005:$S$1005,1,MATCH(COLUMNS($P$1006:P1006),$P$1006:$S$1006,0))&gt;=100000), " ",IF(INDEX($P$2:$S$1001,MATCH(ROWS($I$2:I738),$I$2:$I$1001,0),MATCH(COLUMNS($P$1006:P1006),$P$1006:$S$1006,0)), HYPERLINK("#",""), HYPERLINK(CONCATENATE("#metadata!", ADDRESS(INDEX($K$2:$K$1001,MATCH(ROWS($I$2:I738),$I$2:$I$1001,0),0), INDEX($P$1004:$S$1004,1,MATCH(COLUMNS($P$1006:P1006),$P$1006:$S$1006,0)))),"Fix")))</f>
        <v>0</v>
      </c>
      <c r="C738" s="3">
        <f>IF(OR(INDEX($J$2:$J$1001,MATCH(ROWS($I$2:I738),$I$2:$I$1001,0),1)&gt;=100000,INDEX($P$1005:$S$1005,1,MATCH(COLUMNS($P$1006:Q1006),$P$1006:$S$1006,0))&gt;=100000), " ",IF(INDEX($P$2:$S$1001,MATCH(ROWS($I$2:I738),$I$2:$I$1001,0),MATCH(COLUMNS($P$1006:Q1006),$P$1006:$S$1006,0)), HYPERLINK("#",""), HYPERLINK(CONCATENATE("#metadata!", ADDRESS(INDEX($K$2:$K$1001,MATCH(ROWS($I$2:I738),$I$2:$I$1001,0),0), INDEX($P$1004:$S$1004,1,MATCH(COLUMNS($P$1006:Q1006),$P$1006:$S$1006,0)))),"Fix")))</f>
        <v>0</v>
      </c>
      <c r="D738" s="3">
        <f>IF(OR(INDEX($J$2:$J$1001,MATCH(ROWS($I$2:I738),$I$2:$I$1001,0),1)&gt;=100000,INDEX($P$1005:$S$1005,1,MATCH(COLUMNS($P$1006:R1006),$P$1006:$S$1006,0))&gt;=100000), " ",IF(INDEX($P$2:$S$1001,MATCH(ROWS($I$2:I738),$I$2:$I$1001,0),MATCH(COLUMNS($P$1006:R1006),$P$1006:$S$1006,0)), HYPERLINK("#",""), HYPERLINK(CONCATENATE("#metadata!", ADDRESS(INDEX($K$2:$K$1001,MATCH(ROWS($I$2:I738),$I$2:$I$1001,0),0), INDEX($P$1004:$S$1004,1,MATCH(COLUMNS($P$1006:R1006),$P$1006:$S$1006,0)))),"Fix")))</f>
        <v>0</v>
      </c>
      <c r="E738" s="3">
        <f>IF(OR(INDEX($J$2:$J$1001,MATCH(ROWS($I$2:I738),$I$2:$I$1001,0),1)&gt;=100000,INDEX($P$1005:$S$1005,1,MATCH(COLUMNS($P$1006:S1006),$P$1006:$S$1006,0))&gt;=100000), " ",IF(INDEX($P$2:$S$1001,MATCH(ROWS($I$2:I738),$I$2:$I$1001,0),MATCH(COLUMNS($P$1006:S1006),$P$1006:$S$1006,0)), HYPERLINK("#",""), HYPERLINK(CONCATENATE("#metadata!", ADDRESS(INDEX($K$2:$K$1001,MATCH(ROWS($I$2:I738),$I$2:$I$1001,0),0), INDEX($P$1004:$S$1004,1,MATCH(COLUMNS($P$1006:S1006),$P$1006:$S$1006,0)))),"Fix")))</f>
        <v>0</v>
      </c>
      <c r="I738">
        <v>0</v>
      </c>
      <c r="J738">
        <v>0</v>
      </c>
      <c r="K738">
        <v>0</v>
      </c>
      <c r="L738">
        <f>IF(M738,TRUE,AND(P738:S738))</f>
        <v>0</v>
      </c>
      <c r="M738">
        <f>COUNTBLANK(metadata!B738:E738)=COLUMNS(metadata!B738:E738)</f>
        <v>0</v>
      </c>
      <c r="N738">
        <v>0</v>
      </c>
      <c r="P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Q738">
        <f>AND(IF(metadata!C738="",FALSE,TRUE),exact(metadata!C738,"other"))</f>
        <v>0</v>
      </c>
      <c r="R738">
        <f>AND(IF(metadata!D738="",FALSE,TRUE),exact(metadata!D738,"metagenome"))</f>
        <v>0</v>
      </c>
      <c r="S738">
        <f>AND(IF(metadata!E738="",FALSE,TRUE),exact(metadata!E738,"256318"))</f>
        <v>0</v>
      </c>
    </row>
    <row r="739" spans="1:19">
      <c r="A739" s="4">
        <f>IF(B739=" "," ",HYPERLINK(CONCATENATE("#metadata!",ADDRESS(INDEX($K$2:$K$1001,MATCH(ROWS($I$2:I739),$I$2:$I$1001,0),0),1)),INDEX($N$2:$N$1001,MATCH(ROWS($I$2:I739),$I$2:$I$1001,0),0)))</f>
        <v>0</v>
      </c>
      <c r="B739" s="3">
        <f>IF(OR(INDEX($J$2:$J$1001,MATCH(ROWS($I$2:I739),$I$2:$I$1001,0),1)&gt;=100000,INDEX($P$1005:$S$1005,1,MATCH(COLUMNS($P$1006:P1006),$P$1006:$S$1006,0))&gt;=100000), " ",IF(INDEX($P$2:$S$1001,MATCH(ROWS($I$2:I739),$I$2:$I$1001,0),MATCH(COLUMNS($P$1006:P1006),$P$1006:$S$1006,0)), HYPERLINK("#",""), HYPERLINK(CONCATENATE("#metadata!", ADDRESS(INDEX($K$2:$K$1001,MATCH(ROWS($I$2:I739),$I$2:$I$1001,0),0), INDEX($P$1004:$S$1004,1,MATCH(COLUMNS($P$1006:P1006),$P$1006:$S$1006,0)))),"Fix")))</f>
        <v>0</v>
      </c>
      <c r="C739" s="3">
        <f>IF(OR(INDEX($J$2:$J$1001,MATCH(ROWS($I$2:I739),$I$2:$I$1001,0),1)&gt;=100000,INDEX($P$1005:$S$1005,1,MATCH(COLUMNS($P$1006:Q1006),$P$1006:$S$1006,0))&gt;=100000), " ",IF(INDEX($P$2:$S$1001,MATCH(ROWS($I$2:I739),$I$2:$I$1001,0),MATCH(COLUMNS($P$1006:Q1006),$P$1006:$S$1006,0)), HYPERLINK("#",""), HYPERLINK(CONCATENATE("#metadata!", ADDRESS(INDEX($K$2:$K$1001,MATCH(ROWS($I$2:I739),$I$2:$I$1001,0),0), INDEX($P$1004:$S$1004,1,MATCH(COLUMNS($P$1006:Q1006),$P$1006:$S$1006,0)))),"Fix")))</f>
        <v>0</v>
      </c>
      <c r="D739" s="3">
        <f>IF(OR(INDEX($J$2:$J$1001,MATCH(ROWS($I$2:I739),$I$2:$I$1001,0),1)&gt;=100000,INDEX($P$1005:$S$1005,1,MATCH(COLUMNS($P$1006:R1006),$P$1006:$S$1006,0))&gt;=100000), " ",IF(INDEX($P$2:$S$1001,MATCH(ROWS($I$2:I739),$I$2:$I$1001,0),MATCH(COLUMNS($P$1006:R1006),$P$1006:$S$1006,0)), HYPERLINK("#",""), HYPERLINK(CONCATENATE("#metadata!", ADDRESS(INDEX($K$2:$K$1001,MATCH(ROWS($I$2:I739),$I$2:$I$1001,0),0), INDEX($P$1004:$S$1004,1,MATCH(COLUMNS($P$1006:R1006),$P$1006:$S$1006,0)))),"Fix")))</f>
        <v>0</v>
      </c>
      <c r="E739" s="3">
        <f>IF(OR(INDEX($J$2:$J$1001,MATCH(ROWS($I$2:I739),$I$2:$I$1001,0),1)&gt;=100000,INDEX($P$1005:$S$1005,1,MATCH(COLUMNS($P$1006:S1006),$P$1006:$S$1006,0))&gt;=100000), " ",IF(INDEX($P$2:$S$1001,MATCH(ROWS($I$2:I739),$I$2:$I$1001,0),MATCH(COLUMNS($P$1006:S1006),$P$1006:$S$1006,0)), HYPERLINK("#",""), HYPERLINK(CONCATENATE("#metadata!", ADDRESS(INDEX($K$2:$K$1001,MATCH(ROWS($I$2:I739),$I$2:$I$1001,0),0), INDEX($P$1004:$S$1004,1,MATCH(COLUMNS($P$1006:S1006),$P$1006:$S$1006,0)))),"Fix")))</f>
        <v>0</v>
      </c>
      <c r="I739">
        <v>0</v>
      </c>
      <c r="J739">
        <v>0</v>
      </c>
      <c r="K739">
        <v>0</v>
      </c>
      <c r="L739">
        <f>IF(M739,TRUE,AND(P739:S739))</f>
        <v>0</v>
      </c>
      <c r="M739">
        <f>COUNTBLANK(metadata!B739:E739)=COLUMNS(metadata!B739:E739)</f>
        <v>0</v>
      </c>
      <c r="N739">
        <v>0</v>
      </c>
      <c r="P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Q739">
        <f>AND(IF(metadata!C739="",FALSE,TRUE),exact(metadata!C739,"other"))</f>
        <v>0</v>
      </c>
      <c r="R739">
        <f>AND(IF(metadata!D739="",FALSE,TRUE),exact(metadata!D739,"metagenome"))</f>
        <v>0</v>
      </c>
      <c r="S739">
        <f>AND(IF(metadata!E739="",FALSE,TRUE),exact(metadata!E739,"256318"))</f>
        <v>0</v>
      </c>
    </row>
    <row r="740" spans="1:19">
      <c r="A740" s="4">
        <f>IF(B740=" "," ",HYPERLINK(CONCATENATE("#metadata!",ADDRESS(INDEX($K$2:$K$1001,MATCH(ROWS($I$2:I740),$I$2:$I$1001,0),0),1)),INDEX($N$2:$N$1001,MATCH(ROWS($I$2:I740),$I$2:$I$1001,0),0)))</f>
        <v>0</v>
      </c>
      <c r="B740" s="3">
        <f>IF(OR(INDEX($J$2:$J$1001,MATCH(ROWS($I$2:I740),$I$2:$I$1001,0),1)&gt;=100000,INDEX($P$1005:$S$1005,1,MATCH(COLUMNS($P$1006:P1006),$P$1006:$S$1006,0))&gt;=100000), " ",IF(INDEX($P$2:$S$1001,MATCH(ROWS($I$2:I740),$I$2:$I$1001,0),MATCH(COLUMNS($P$1006:P1006),$P$1006:$S$1006,0)), HYPERLINK("#",""), HYPERLINK(CONCATENATE("#metadata!", ADDRESS(INDEX($K$2:$K$1001,MATCH(ROWS($I$2:I740),$I$2:$I$1001,0),0), INDEX($P$1004:$S$1004,1,MATCH(COLUMNS($P$1006:P1006),$P$1006:$S$1006,0)))),"Fix")))</f>
        <v>0</v>
      </c>
      <c r="C740" s="3">
        <f>IF(OR(INDEX($J$2:$J$1001,MATCH(ROWS($I$2:I740),$I$2:$I$1001,0),1)&gt;=100000,INDEX($P$1005:$S$1005,1,MATCH(COLUMNS($P$1006:Q1006),$P$1006:$S$1006,0))&gt;=100000), " ",IF(INDEX($P$2:$S$1001,MATCH(ROWS($I$2:I740),$I$2:$I$1001,0),MATCH(COLUMNS($P$1006:Q1006),$P$1006:$S$1006,0)), HYPERLINK("#",""), HYPERLINK(CONCATENATE("#metadata!", ADDRESS(INDEX($K$2:$K$1001,MATCH(ROWS($I$2:I740),$I$2:$I$1001,0),0), INDEX($P$1004:$S$1004,1,MATCH(COLUMNS($P$1006:Q1006),$P$1006:$S$1006,0)))),"Fix")))</f>
        <v>0</v>
      </c>
      <c r="D740" s="3">
        <f>IF(OR(INDEX($J$2:$J$1001,MATCH(ROWS($I$2:I740),$I$2:$I$1001,0),1)&gt;=100000,INDEX($P$1005:$S$1005,1,MATCH(COLUMNS($P$1006:R1006),$P$1006:$S$1006,0))&gt;=100000), " ",IF(INDEX($P$2:$S$1001,MATCH(ROWS($I$2:I740),$I$2:$I$1001,0),MATCH(COLUMNS($P$1006:R1006),$P$1006:$S$1006,0)), HYPERLINK("#",""), HYPERLINK(CONCATENATE("#metadata!", ADDRESS(INDEX($K$2:$K$1001,MATCH(ROWS($I$2:I740),$I$2:$I$1001,0),0), INDEX($P$1004:$S$1004,1,MATCH(COLUMNS($P$1006:R1006),$P$1006:$S$1006,0)))),"Fix")))</f>
        <v>0</v>
      </c>
      <c r="E740" s="3">
        <f>IF(OR(INDEX($J$2:$J$1001,MATCH(ROWS($I$2:I740),$I$2:$I$1001,0),1)&gt;=100000,INDEX($P$1005:$S$1005,1,MATCH(COLUMNS($P$1006:S1006),$P$1006:$S$1006,0))&gt;=100000), " ",IF(INDEX($P$2:$S$1001,MATCH(ROWS($I$2:I740),$I$2:$I$1001,0),MATCH(COLUMNS($P$1006:S1006),$P$1006:$S$1006,0)), HYPERLINK("#",""), HYPERLINK(CONCATENATE("#metadata!", ADDRESS(INDEX($K$2:$K$1001,MATCH(ROWS($I$2:I740),$I$2:$I$1001,0),0), INDEX($P$1004:$S$1004,1,MATCH(COLUMNS($P$1006:S1006),$P$1006:$S$1006,0)))),"Fix")))</f>
        <v>0</v>
      </c>
      <c r="I740">
        <v>0</v>
      </c>
      <c r="J740">
        <v>0</v>
      </c>
      <c r="K740">
        <v>0</v>
      </c>
      <c r="L740">
        <f>IF(M740,TRUE,AND(P740:S740))</f>
        <v>0</v>
      </c>
      <c r="M740">
        <f>COUNTBLANK(metadata!B740:E740)=COLUMNS(metadata!B740:E740)</f>
        <v>0</v>
      </c>
      <c r="N740">
        <v>0</v>
      </c>
      <c r="P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Q740">
        <f>AND(IF(metadata!C740="",FALSE,TRUE),exact(metadata!C740,"other"))</f>
        <v>0</v>
      </c>
      <c r="R740">
        <f>AND(IF(metadata!D740="",FALSE,TRUE),exact(metadata!D740,"metagenome"))</f>
        <v>0</v>
      </c>
      <c r="S740">
        <f>AND(IF(metadata!E740="",FALSE,TRUE),exact(metadata!E740,"256318"))</f>
        <v>0</v>
      </c>
    </row>
    <row r="741" spans="1:19">
      <c r="A741" s="4">
        <f>IF(B741=" "," ",HYPERLINK(CONCATENATE("#metadata!",ADDRESS(INDEX($K$2:$K$1001,MATCH(ROWS($I$2:I741),$I$2:$I$1001,0),0),1)),INDEX($N$2:$N$1001,MATCH(ROWS($I$2:I741),$I$2:$I$1001,0),0)))</f>
        <v>0</v>
      </c>
      <c r="B741" s="3">
        <f>IF(OR(INDEX($J$2:$J$1001,MATCH(ROWS($I$2:I741),$I$2:$I$1001,0),1)&gt;=100000,INDEX($P$1005:$S$1005,1,MATCH(COLUMNS($P$1006:P1006),$P$1006:$S$1006,0))&gt;=100000), " ",IF(INDEX($P$2:$S$1001,MATCH(ROWS($I$2:I741),$I$2:$I$1001,0),MATCH(COLUMNS($P$1006:P1006),$P$1006:$S$1006,0)), HYPERLINK("#",""), HYPERLINK(CONCATENATE("#metadata!", ADDRESS(INDEX($K$2:$K$1001,MATCH(ROWS($I$2:I741),$I$2:$I$1001,0),0), INDEX($P$1004:$S$1004,1,MATCH(COLUMNS($P$1006:P1006),$P$1006:$S$1006,0)))),"Fix")))</f>
        <v>0</v>
      </c>
      <c r="C741" s="3">
        <f>IF(OR(INDEX($J$2:$J$1001,MATCH(ROWS($I$2:I741),$I$2:$I$1001,0),1)&gt;=100000,INDEX($P$1005:$S$1005,1,MATCH(COLUMNS($P$1006:Q1006),$P$1006:$S$1006,0))&gt;=100000), " ",IF(INDEX($P$2:$S$1001,MATCH(ROWS($I$2:I741),$I$2:$I$1001,0),MATCH(COLUMNS($P$1006:Q1006),$P$1006:$S$1006,0)), HYPERLINK("#",""), HYPERLINK(CONCATENATE("#metadata!", ADDRESS(INDEX($K$2:$K$1001,MATCH(ROWS($I$2:I741),$I$2:$I$1001,0),0), INDEX($P$1004:$S$1004,1,MATCH(COLUMNS($P$1006:Q1006),$P$1006:$S$1006,0)))),"Fix")))</f>
        <v>0</v>
      </c>
      <c r="D741" s="3">
        <f>IF(OR(INDEX($J$2:$J$1001,MATCH(ROWS($I$2:I741),$I$2:$I$1001,0),1)&gt;=100000,INDEX($P$1005:$S$1005,1,MATCH(COLUMNS($P$1006:R1006),$P$1006:$S$1006,0))&gt;=100000), " ",IF(INDEX($P$2:$S$1001,MATCH(ROWS($I$2:I741),$I$2:$I$1001,0),MATCH(COLUMNS($P$1006:R1006),$P$1006:$S$1006,0)), HYPERLINK("#",""), HYPERLINK(CONCATENATE("#metadata!", ADDRESS(INDEX($K$2:$K$1001,MATCH(ROWS($I$2:I741),$I$2:$I$1001,0),0), INDEX($P$1004:$S$1004,1,MATCH(COLUMNS($P$1006:R1006),$P$1006:$S$1006,0)))),"Fix")))</f>
        <v>0</v>
      </c>
      <c r="E741" s="3">
        <f>IF(OR(INDEX($J$2:$J$1001,MATCH(ROWS($I$2:I741),$I$2:$I$1001,0),1)&gt;=100000,INDEX($P$1005:$S$1005,1,MATCH(COLUMNS($P$1006:S1006),$P$1006:$S$1006,0))&gt;=100000), " ",IF(INDEX($P$2:$S$1001,MATCH(ROWS($I$2:I741),$I$2:$I$1001,0),MATCH(COLUMNS($P$1006:S1006),$P$1006:$S$1006,0)), HYPERLINK("#",""), HYPERLINK(CONCATENATE("#metadata!", ADDRESS(INDEX($K$2:$K$1001,MATCH(ROWS($I$2:I741),$I$2:$I$1001,0),0), INDEX($P$1004:$S$1004,1,MATCH(COLUMNS($P$1006:S1006),$P$1006:$S$1006,0)))),"Fix")))</f>
        <v>0</v>
      </c>
      <c r="I741">
        <v>0</v>
      </c>
      <c r="J741">
        <v>0</v>
      </c>
      <c r="K741">
        <v>0</v>
      </c>
      <c r="L741">
        <f>IF(M741,TRUE,AND(P741:S741))</f>
        <v>0</v>
      </c>
      <c r="M741">
        <f>COUNTBLANK(metadata!B741:E741)=COLUMNS(metadata!B741:E741)</f>
        <v>0</v>
      </c>
      <c r="N741">
        <v>0</v>
      </c>
      <c r="P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Q741">
        <f>AND(IF(metadata!C741="",FALSE,TRUE),exact(metadata!C741,"other"))</f>
        <v>0</v>
      </c>
      <c r="R741">
        <f>AND(IF(metadata!D741="",FALSE,TRUE),exact(metadata!D741,"metagenome"))</f>
        <v>0</v>
      </c>
      <c r="S741">
        <f>AND(IF(metadata!E741="",FALSE,TRUE),exact(metadata!E741,"256318"))</f>
        <v>0</v>
      </c>
    </row>
    <row r="742" spans="1:19">
      <c r="A742" s="4">
        <f>IF(B742=" "," ",HYPERLINK(CONCATENATE("#metadata!",ADDRESS(INDEX($K$2:$K$1001,MATCH(ROWS($I$2:I742),$I$2:$I$1001,0),0),1)),INDEX($N$2:$N$1001,MATCH(ROWS($I$2:I742),$I$2:$I$1001,0),0)))</f>
        <v>0</v>
      </c>
      <c r="B742" s="3">
        <f>IF(OR(INDEX($J$2:$J$1001,MATCH(ROWS($I$2:I742),$I$2:$I$1001,0),1)&gt;=100000,INDEX($P$1005:$S$1005,1,MATCH(COLUMNS($P$1006:P1006),$P$1006:$S$1006,0))&gt;=100000), " ",IF(INDEX($P$2:$S$1001,MATCH(ROWS($I$2:I742),$I$2:$I$1001,0),MATCH(COLUMNS($P$1006:P1006),$P$1006:$S$1006,0)), HYPERLINK("#",""), HYPERLINK(CONCATENATE("#metadata!", ADDRESS(INDEX($K$2:$K$1001,MATCH(ROWS($I$2:I742),$I$2:$I$1001,0),0), INDEX($P$1004:$S$1004,1,MATCH(COLUMNS($P$1006:P1006),$P$1006:$S$1006,0)))),"Fix")))</f>
        <v>0</v>
      </c>
      <c r="C742" s="3">
        <f>IF(OR(INDEX($J$2:$J$1001,MATCH(ROWS($I$2:I742),$I$2:$I$1001,0),1)&gt;=100000,INDEX($P$1005:$S$1005,1,MATCH(COLUMNS($P$1006:Q1006),$P$1006:$S$1006,0))&gt;=100000), " ",IF(INDEX($P$2:$S$1001,MATCH(ROWS($I$2:I742),$I$2:$I$1001,0),MATCH(COLUMNS($P$1006:Q1006),$P$1006:$S$1006,0)), HYPERLINK("#",""), HYPERLINK(CONCATENATE("#metadata!", ADDRESS(INDEX($K$2:$K$1001,MATCH(ROWS($I$2:I742),$I$2:$I$1001,0),0), INDEX($P$1004:$S$1004,1,MATCH(COLUMNS($P$1006:Q1006),$P$1006:$S$1006,0)))),"Fix")))</f>
        <v>0</v>
      </c>
      <c r="D742" s="3">
        <f>IF(OR(INDEX($J$2:$J$1001,MATCH(ROWS($I$2:I742),$I$2:$I$1001,0),1)&gt;=100000,INDEX($P$1005:$S$1005,1,MATCH(COLUMNS($P$1006:R1006),$P$1006:$S$1006,0))&gt;=100000), " ",IF(INDEX($P$2:$S$1001,MATCH(ROWS($I$2:I742),$I$2:$I$1001,0),MATCH(COLUMNS($P$1006:R1006),$P$1006:$S$1006,0)), HYPERLINK("#",""), HYPERLINK(CONCATENATE("#metadata!", ADDRESS(INDEX($K$2:$K$1001,MATCH(ROWS($I$2:I742),$I$2:$I$1001,0),0), INDEX($P$1004:$S$1004,1,MATCH(COLUMNS($P$1006:R1006),$P$1006:$S$1006,0)))),"Fix")))</f>
        <v>0</v>
      </c>
      <c r="E742" s="3">
        <f>IF(OR(INDEX($J$2:$J$1001,MATCH(ROWS($I$2:I742),$I$2:$I$1001,0),1)&gt;=100000,INDEX($P$1005:$S$1005,1,MATCH(COLUMNS($P$1006:S1006),$P$1006:$S$1006,0))&gt;=100000), " ",IF(INDEX($P$2:$S$1001,MATCH(ROWS($I$2:I742),$I$2:$I$1001,0),MATCH(COLUMNS($P$1006:S1006),$P$1006:$S$1006,0)), HYPERLINK("#",""), HYPERLINK(CONCATENATE("#metadata!", ADDRESS(INDEX($K$2:$K$1001,MATCH(ROWS($I$2:I742),$I$2:$I$1001,0),0), INDEX($P$1004:$S$1004,1,MATCH(COLUMNS($P$1006:S1006),$P$1006:$S$1006,0)))),"Fix")))</f>
        <v>0</v>
      </c>
      <c r="I742">
        <v>0</v>
      </c>
      <c r="J742">
        <v>0</v>
      </c>
      <c r="K742">
        <v>0</v>
      </c>
      <c r="L742">
        <f>IF(M742,TRUE,AND(P742:S742))</f>
        <v>0</v>
      </c>
      <c r="M742">
        <f>COUNTBLANK(metadata!B742:E742)=COLUMNS(metadata!B742:E742)</f>
        <v>0</v>
      </c>
      <c r="N742">
        <v>0</v>
      </c>
      <c r="P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Q742">
        <f>AND(IF(metadata!C742="",FALSE,TRUE),exact(metadata!C742,"other"))</f>
        <v>0</v>
      </c>
      <c r="R742">
        <f>AND(IF(metadata!D742="",FALSE,TRUE),exact(metadata!D742,"metagenome"))</f>
        <v>0</v>
      </c>
      <c r="S742">
        <f>AND(IF(metadata!E742="",FALSE,TRUE),exact(metadata!E742,"256318"))</f>
        <v>0</v>
      </c>
    </row>
    <row r="743" spans="1:19">
      <c r="A743" s="4">
        <f>IF(B743=" "," ",HYPERLINK(CONCATENATE("#metadata!",ADDRESS(INDEX($K$2:$K$1001,MATCH(ROWS($I$2:I743),$I$2:$I$1001,0),0),1)),INDEX($N$2:$N$1001,MATCH(ROWS($I$2:I743),$I$2:$I$1001,0),0)))</f>
        <v>0</v>
      </c>
      <c r="B743" s="3">
        <f>IF(OR(INDEX($J$2:$J$1001,MATCH(ROWS($I$2:I743),$I$2:$I$1001,0),1)&gt;=100000,INDEX($P$1005:$S$1005,1,MATCH(COLUMNS($P$1006:P1006),$P$1006:$S$1006,0))&gt;=100000), " ",IF(INDEX($P$2:$S$1001,MATCH(ROWS($I$2:I743),$I$2:$I$1001,0),MATCH(COLUMNS($P$1006:P1006),$P$1006:$S$1006,0)), HYPERLINK("#",""), HYPERLINK(CONCATENATE("#metadata!", ADDRESS(INDEX($K$2:$K$1001,MATCH(ROWS($I$2:I743),$I$2:$I$1001,0),0), INDEX($P$1004:$S$1004,1,MATCH(COLUMNS($P$1006:P1006),$P$1006:$S$1006,0)))),"Fix")))</f>
        <v>0</v>
      </c>
      <c r="C743" s="3">
        <f>IF(OR(INDEX($J$2:$J$1001,MATCH(ROWS($I$2:I743),$I$2:$I$1001,0),1)&gt;=100000,INDEX($P$1005:$S$1005,1,MATCH(COLUMNS($P$1006:Q1006),$P$1006:$S$1006,0))&gt;=100000), " ",IF(INDEX($P$2:$S$1001,MATCH(ROWS($I$2:I743),$I$2:$I$1001,0),MATCH(COLUMNS($P$1006:Q1006),$P$1006:$S$1006,0)), HYPERLINK("#",""), HYPERLINK(CONCATENATE("#metadata!", ADDRESS(INDEX($K$2:$K$1001,MATCH(ROWS($I$2:I743),$I$2:$I$1001,0),0), INDEX($P$1004:$S$1004,1,MATCH(COLUMNS($P$1006:Q1006),$P$1006:$S$1006,0)))),"Fix")))</f>
        <v>0</v>
      </c>
      <c r="D743" s="3">
        <f>IF(OR(INDEX($J$2:$J$1001,MATCH(ROWS($I$2:I743),$I$2:$I$1001,0),1)&gt;=100000,INDEX($P$1005:$S$1005,1,MATCH(COLUMNS($P$1006:R1006),$P$1006:$S$1006,0))&gt;=100000), " ",IF(INDEX($P$2:$S$1001,MATCH(ROWS($I$2:I743),$I$2:$I$1001,0),MATCH(COLUMNS($P$1006:R1006),$P$1006:$S$1006,0)), HYPERLINK("#",""), HYPERLINK(CONCATENATE("#metadata!", ADDRESS(INDEX($K$2:$K$1001,MATCH(ROWS($I$2:I743),$I$2:$I$1001,0),0), INDEX($P$1004:$S$1004,1,MATCH(COLUMNS($P$1006:R1006),$P$1006:$S$1006,0)))),"Fix")))</f>
        <v>0</v>
      </c>
      <c r="E743" s="3">
        <f>IF(OR(INDEX($J$2:$J$1001,MATCH(ROWS($I$2:I743),$I$2:$I$1001,0),1)&gt;=100000,INDEX($P$1005:$S$1005,1,MATCH(COLUMNS($P$1006:S1006),$P$1006:$S$1006,0))&gt;=100000), " ",IF(INDEX($P$2:$S$1001,MATCH(ROWS($I$2:I743),$I$2:$I$1001,0),MATCH(COLUMNS($P$1006:S1006),$P$1006:$S$1006,0)), HYPERLINK("#",""), HYPERLINK(CONCATENATE("#metadata!", ADDRESS(INDEX($K$2:$K$1001,MATCH(ROWS($I$2:I743),$I$2:$I$1001,0),0), INDEX($P$1004:$S$1004,1,MATCH(COLUMNS($P$1006:S1006),$P$1006:$S$1006,0)))),"Fix")))</f>
        <v>0</v>
      </c>
      <c r="I743">
        <v>0</v>
      </c>
      <c r="J743">
        <v>0</v>
      </c>
      <c r="K743">
        <v>0</v>
      </c>
      <c r="L743">
        <f>IF(M743,TRUE,AND(P743:S743))</f>
        <v>0</v>
      </c>
      <c r="M743">
        <f>COUNTBLANK(metadata!B743:E743)=COLUMNS(metadata!B743:E743)</f>
        <v>0</v>
      </c>
      <c r="N743">
        <v>0</v>
      </c>
      <c r="P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Q743">
        <f>AND(IF(metadata!C743="",FALSE,TRUE),exact(metadata!C743,"other"))</f>
        <v>0</v>
      </c>
      <c r="R743">
        <f>AND(IF(metadata!D743="",FALSE,TRUE),exact(metadata!D743,"metagenome"))</f>
        <v>0</v>
      </c>
      <c r="S743">
        <f>AND(IF(metadata!E743="",FALSE,TRUE),exact(metadata!E743,"256318"))</f>
        <v>0</v>
      </c>
    </row>
    <row r="744" spans="1:19">
      <c r="A744" s="4">
        <f>IF(B744=" "," ",HYPERLINK(CONCATENATE("#metadata!",ADDRESS(INDEX($K$2:$K$1001,MATCH(ROWS($I$2:I744),$I$2:$I$1001,0),0),1)),INDEX($N$2:$N$1001,MATCH(ROWS($I$2:I744),$I$2:$I$1001,0),0)))</f>
        <v>0</v>
      </c>
      <c r="B744" s="3">
        <f>IF(OR(INDEX($J$2:$J$1001,MATCH(ROWS($I$2:I744),$I$2:$I$1001,0),1)&gt;=100000,INDEX($P$1005:$S$1005,1,MATCH(COLUMNS($P$1006:P1006),$P$1006:$S$1006,0))&gt;=100000), " ",IF(INDEX($P$2:$S$1001,MATCH(ROWS($I$2:I744),$I$2:$I$1001,0),MATCH(COLUMNS($P$1006:P1006),$P$1006:$S$1006,0)), HYPERLINK("#",""), HYPERLINK(CONCATENATE("#metadata!", ADDRESS(INDEX($K$2:$K$1001,MATCH(ROWS($I$2:I744),$I$2:$I$1001,0),0), INDEX($P$1004:$S$1004,1,MATCH(COLUMNS($P$1006:P1006),$P$1006:$S$1006,0)))),"Fix")))</f>
        <v>0</v>
      </c>
      <c r="C744" s="3">
        <f>IF(OR(INDEX($J$2:$J$1001,MATCH(ROWS($I$2:I744),$I$2:$I$1001,0),1)&gt;=100000,INDEX($P$1005:$S$1005,1,MATCH(COLUMNS($P$1006:Q1006),$P$1006:$S$1006,0))&gt;=100000), " ",IF(INDEX($P$2:$S$1001,MATCH(ROWS($I$2:I744),$I$2:$I$1001,0),MATCH(COLUMNS($P$1006:Q1006),$P$1006:$S$1006,0)), HYPERLINK("#",""), HYPERLINK(CONCATENATE("#metadata!", ADDRESS(INDEX($K$2:$K$1001,MATCH(ROWS($I$2:I744),$I$2:$I$1001,0),0), INDEX($P$1004:$S$1004,1,MATCH(COLUMNS($P$1006:Q1006),$P$1006:$S$1006,0)))),"Fix")))</f>
        <v>0</v>
      </c>
      <c r="D744" s="3">
        <f>IF(OR(INDEX($J$2:$J$1001,MATCH(ROWS($I$2:I744),$I$2:$I$1001,0),1)&gt;=100000,INDEX($P$1005:$S$1005,1,MATCH(COLUMNS($P$1006:R1006),$P$1006:$S$1006,0))&gt;=100000), " ",IF(INDEX($P$2:$S$1001,MATCH(ROWS($I$2:I744),$I$2:$I$1001,0),MATCH(COLUMNS($P$1006:R1006),$P$1006:$S$1006,0)), HYPERLINK("#",""), HYPERLINK(CONCATENATE("#metadata!", ADDRESS(INDEX($K$2:$K$1001,MATCH(ROWS($I$2:I744),$I$2:$I$1001,0),0), INDEX($P$1004:$S$1004,1,MATCH(COLUMNS($P$1006:R1006),$P$1006:$S$1006,0)))),"Fix")))</f>
        <v>0</v>
      </c>
      <c r="E744" s="3">
        <f>IF(OR(INDEX($J$2:$J$1001,MATCH(ROWS($I$2:I744),$I$2:$I$1001,0),1)&gt;=100000,INDEX($P$1005:$S$1005,1,MATCH(COLUMNS($P$1006:S1006),$P$1006:$S$1006,0))&gt;=100000), " ",IF(INDEX($P$2:$S$1001,MATCH(ROWS($I$2:I744),$I$2:$I$1001,0),MATCH(COLUMNS($P$1006:S1006),$P$1006:$S$1006,0)), HYPERLINK("#",""), HYPERLINK(CONCATENATE("#metadata!", ADDRESS(INDEX($K$2:$K$1001,MATCH(ROWS($I$2:I744),$I$2:$I$1001,0),0), INDEX($P$1004:$S$1004,1,MATCH(COLUMNS($P$1006:S1006),$P$1006:$S$1006,0)))),"Fix")))</f>
        <v>0</v>
      </c>
      <c r="I744">
        <v>0</v>
      </c>
      <c r="J744">
        <v>0</v>
      </c>
      <c r="K744">
        <v>0</v>
      </c>
      <c r="L744">
        <f>IF(M744,TRUE,AND(P744:S744))</f>
        <v>0</v>
      </c>
      <c r="M744">
        <f>COUNTBLANK(metadata!B744:E744)=COLUMNS(metadata!B744:E744)</f>
        <v>0</v>
      </c>
      <c r="N744">
        <v>0</v>
      </c>
      <c r="P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Q744">
        <f>AND(IF(metadata!C744="",FALSE,TRUE),exact(metadata!C744,"other"))</f>
        <v>0</v>
      </c>
      <c r="R744">
        <f>AND(IF(metadata!D744="",FALSE,TRUE),exact(metadata!D744,"metagenome"))</f>
        <v>0</v>
      </c>
      <c r="S744">
        <f>AND(IF(metadata!E744="",FALSE,TRUE),exact(metadata!E744,"256318"))</f>
        <v>0</v>
      </c>
    </row>
    <row r="745" spans="1:19">
      <c r="A745" s="4">
        <f>IF(B745=" "," ",HYPERLINK(CONCATENATE("#metadata!",ADDRESS(INDEX($K$2:$K$1001,MATCH(ROWS($I$2:I745),$I$2:$I$1001,0),0),1)),INDEX($N$2:$N$1001,MATCH(ROWS($I$2:I745),$I$2:$I$1001,0),0)))</f>
        <v>0</v>
      </c>
      <c r="B745" s="3">
        <f>IF(OR(INDEX($J$2:$J$1001,MATCH(ROWS($I$2:I745),$I$2:$I$1001,0),1)&gt;=100000,INDEX($P$1005:$S$1005,1,MATCH(COLUMNS($P$1006:P1006),$P$1006:$S$1006,0))&gt;=100000), " ",IF(INDEX($P$2:$S$1001,MATCH(ROWS($I$2:I745),$I$2:$I$1001,0),MATCH(COLUMNS($P$1006:P1006),$P$1006:$S$1006,0)), HYPERLINK("#",""), HYPERLINK(CONCATENATE("#metadata!", ADDRESS(INDEX($K$2:$K$1001,MATCH(ROWS($I$2:I745),$I$2:$I$1001,0),0), INDEX($P$1004:$S$1004,1,MATCH(COLUMNS($P$1006:P1006),$P$1006:$S$1006,0)))),"Fix")))</f>
        <v>0</v>
      </c>
      <c r="C745" s="3">
        <f>IF(OR(INDEX($J$2:$J$1001,MATCH(ROWS($I$2:I745),$I$2:$I$1001,0),1)&gt;=100000,INDEX($P$1005:$S$1005,1,MATCH(COLUMNS($P$1006:Q1006),$P$1006:$S$1006,0))&gt;=100000), " ",IF(INDEX($P$2:$S$1001,MATCH(ROWS($I$2:I745),$I$2:$I$1001,0),MATCH(COLUMNS($P$1006:Q1006),$P$1006:$S$1006,0)), HYPERLINK("#",""), HYPERLINK(CONCATENATE("#metadata!", ADDRESS(INDEX($K$2:$K$1001,MATCH(ROWS($I$2:I745),$I$2:$I$1001,0),0), INDEX($P$1004:$S$1004,1,MATCH(COLUMNS($P$1006:Q1006),$P$1006:$S$1006,0)))),"Fix")))</f>
        <v>0</v>
      </c>
      <c r="D745" s="3">
        <f>IF(OR(INDEX($J$2:$J$1001,MATCH(ROWS($I$2:I745),$I$2:$I$1001,0),1)&gt;=100000,INDEX($P$1005:$S$1005,1,MATCH(COLUMNS($P$1006:R1006),$P$1006:$S$1006,0))&gt;=100000), " ",IF(INDEX($P$2:$S$1001,MATCH(ROWS($I$2:I745),$I$2:$I$1001,0),MATCH(COLUMNS($P$1006:R1006),$P$1006:$S$1006,0)), HYPERLINK("#",""), HYPERLINK(CONCATENATE("#metadata!", ADDRESS(INDEX($K$2:$K$1001,MATCH(ROWS($I$2:I745),$I$2:$I$1001,0),0), INDEX($P$1004:$S$1004,1,MATCH(COLUMNS($P$1006:R1006),$P$1006:$S$1006,0)))),"Fix")))</f>
        <v>0</v>
      </c>
      <c r="E745" s="3">
        <f>IF(OR(INDEX($J$2:$J$1001,MATCH(ROWS($I$2:I745),$I$2:$I$1001,0),1)&gt;=100000,INDEX($P$1005:$S$1005,1,MATCH(COLUMNS($P$1006:S1006),$P$1006:$S$1006,0))&gt;=100000), " ",IF(INDEX($P$2:$S$1001,MATCH(ROWS($I$2:I745),$I$2:$I$1001,0),MATCH(COLUMNS($P$1006:S1006),$P$1006:$S$1006,0)), HYPERLINK("#",""), HYPERLINK(CONCATENATE("#metadata!", ADDRESS(INDEX($K$2:$K$1001,MATCH(ROWS($I$2:I745),$I$2:$I$1001,0),0), INDEX($P$1004:$S$1004,1,MATCH(COLUMNS($P$1006:S1006),$P$1006:$S$1006,0)))),"Fix")))</f>
        <v>0</v>
      </c>
      <c r="I745">
        <v>0</v>
      </c>
      <c r="J745">
        <v>0</v>
      </c>
      <c r="K745">
        <v>0</v>
      </c>
      <c r="L745">
        <f>IF(M745,TRUE,AND(P745:S745))</f>
        <v>0</v>
      </c>
      <c r="M745">
        <f>COUNTBLANK(metadata!B745:E745)=COLUMNS(metadata!B745:E745)</f>
        <v>0</v>
      </c>
      <c r="N745">
        <v>0</v>
      </c>
      <c r="P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Q745">
        <f>AND(IF(metadata!C745="",FALSE,TRUE),exact(metadata!C745,"other"))</f>
        <v>0</v>
      </c>
      <c r="R745">
        <f>AND(IF(metadata!D745="",FALSE,TRUE),exact(metadata!D745,"metagenome"))</f>
        <v>0</v>
      </c>
      <c r="S745">
        <f>AND(IF(metadata!E745="",FALSE,TRUE),exact(metadata!E745,"256318"))</f>
        <v>0</v>
      </c>
    </row>
    <row r="746" spans="1:19">
      <c r="A746" s="4">
        <f>IF(B746=" "," ",HYPERLINK(CONCATENATE("#metadata!",ADDRESS(INDEX($K$2:$K$1001,MATCH(ROWS($I$2:I746),$I$2:$I$1001,0),0),1)),INDEX($N$2:$N$1001,MATCH(ROWS($I$2:I746),$I$2:$I$1001,0),0)))</f>
        <v>0</v>
      </c>
      <c r="B746" s="3">
        <f>IF(OR(INDEX($J$2:$J$1001,MATCH(ROWS($I$2:I746),$I$2:$I$1001,0),1)&gt;=100000,INDEX($P$1005:$S$1005,1,MATCH(COLUMNS($P$1006:P1006),$P$1006:$S$1006,0))&gt;=100000), " ",IF(INDEX($P$2:$S$1001,MATCH(ROWS($I$2:I746),$I$2:$I$1001,0),MATCH(COLUMNS($P$1006:P1006),$P$1006:$S$1006,0)), HYPERLINK("#",""), HYPERLINK(CONCATENATE("#metadata!", ADDRESS(INDEX($K$2:$K$1001,MATCH(ROWS($I$2:I746),$I$2:$I$1001,0),0), INDEX($P$1004:$S$1004,1,MATCH(COLUMNS($P$1006:P1006),$P$1006:$S$1006,0)))),"Fix")))</f>
        <v>0</v>
      </c>
      <c r="C746" s="3">
        <f>IF(OR(INDEX($J$2:$J$1001,MATCH(ROWS($I$2:I746),$I$2:$I$1001,0),1)&gt;=100000,INDEX($P$1005:$S$1005,1,MATCH(COLUMNS($P$1006:Q1006),$P$1006:$S$1006,0))&gt;=100000), " ",IF(INDEX($P$2:$S$1001,MATCH(ROWS($I$2:I746),$I$2:$I$1001,0),MATCH(COLUMNS($P$1006:Q1006),$P$1006:$S$1006,0)), HYPERLINK("#",""), HYPERLINK(CONCATENATE("#metadata!", ADDRESS(INDEX($K$2:$K$1001,MATCH(ROWS($I$2:I746),$I$2:$I$1001,0),0), INDEX($P$1004:$S$1004,1,MATCH(COLUMNS($P$1006:Q1006),$P$1006:$S$1006,0)))),"Fix")))</f>
        <v>0</v>
      </c>
      <c r="D746" s="3">
        <f>IF(OR(INDEX($J$2:$J$1001,MATCH(ROWS($I$2:I746),$I$2:$I$1001,0),1)&gt;=100000,INDEX($P$1005:$S$1005,1,MATCH(COLUMNS($P$1006:R1006),$P$1006:$S$1006,0))&gt;=100000), " ",IF(INDEX($P$2:$S$1001,MATCH(ROWS($I$2:I746),$I$2:$I$1001,0),MATCH(COLUMNS($P$1006:R1006),$P$1006:$S$1006,0)), HYPERLINK("#",""), HYPERLINK(CONCATENATE("#metadata!", ADDRESS(INDEX($K$2:$K$1001,MATCH(ROWS($I$2:I746),$I$2:$I$1001,0),0), INDEX($P$1004:$S$1004,1,MATCH(COLUMNS($P$1006:R1006),$P$1006:$S$1006,0)))),"Fix")))</f>
        <v>0</v>
      </c>
      <c r="E746" s="3">
        <f>IF(OR(INDEX($J$2:$J$1001,MATCH(ROWS($I$2:I746),$I$2:$I$1001,0),1)&gt;=100000,INDEX($P$1005:$S$1005,1,MATCH(COLUMNS($P$1006:S1006),$P$1006:$S$1006,0))&gt;=100000), " ",IF(INDEX($P$2:$S$1001,MATCH(ROWS($I$2:I746),$I$2:$I$1001,0),MATCH(COLUMNS($P$1006:S1006),$P$1006:$S$1006,0)), HYPERLINK("#",""), HYPERLINK(CONCATENATE("#metadata!", ADDRESS(INDEX($K$2:$K$1001,MATCH(ROWS($I$2:I746),$I$2:$I$1001,0),0), INDEX($P$1004:$S$1004,1,MATCH(COLUMNS($P$1006:S1006),$P$1006:$S$1006,0)))),"Fix")))</f>
        <v>0</v>
      </c>
      <c r="I746">
        <v>0</v>
      </c>
      <c r="J746">
        <v>0</v>
      </c>
      <c r="K746">
        <v>0</v>
      </c>
      <c r="L746">
        <f>IF(M746,TRUE,AND(P746:S746))</f>
        <v>0</v>
      </c>
      <c r="M746">
        <f>COUNTBLANK(metadata!B746:E746)=COLUMNS(metadata!B746:E746)</f>
        <v>0</v>
      </c>
      <c r="N746">
        <v>0</v>
      </c>
      <c r="P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Q746">
        <f>AND(IF(metadata!C746="",FALSE,TRUE),exact(metadata!C746,"other"))</f>
        <v>0</v>
      </c>
      <c r="R746">
        <f>AND(IF(metadata!D746="",FALSE,TRUE),exact(metadata!D746,"metagenome"))</f>
        <v>0</v>
      </c>
      <c r="S746">
        <f>AND(IF(metadata!E746="",FALSE,TRUE),exact(metadata!E746,"256318"))</f>
        <v>0</v>
      </c>
    </row>
    <row r="747" spans="1:19">
      <c r="A747" s="4">
        <f>IF(B747=" "," ",HYPERLINK(CONCATENATE("#metadata!",ADDRESS(INDEX($K$2:$K$1001,MATCH(ROWS($I$2:I747),$I$2:$I$1001,0),0),1)),INDEX($N$2:$N$1001,MATCH(ROWS($I$2:I747),$I$2:$I$1001,0),0)))</f>
        <v>0</v>
      </c>
      <c r="B747" s="3">
        <f>IF(OR(INDEX($J$2:$J$1001,MATCH(ROWS($I$2:I747),$I$2:$I$1001,0),1)&gt;=100000,INDEX($P$1005:$S$1005,1,MATCH(COLUMNS($P$1006:P1006),$P$1006:$S$1006,0))&gt;=100000), " ",IF(INDEX($P$2:$S$1001,MATCH(ROWS($I$2:I747),$I$2:$I$1001,0),MATCH(COLUMNS($P$1006:P1006),$P$1006:$S$1006,0)), HYPERLINK("#",""), HYPERLINK(CONCATENATE("#metadata!", ADDRESS(INDEX($K$2:$K$1001,MATCH(ROWS($I$2:I747),$I$2:$I$1001,0),0), INDEX($P$1004:$S$1004,1,MATCH(COLUMNS($P$1006:P1006),$P$1006:$S$1006,0)))),"Fix")))</f>
        <v>0</v>
      </c>
      <c r="C747" s="3">
        <f>IF(OR(INDEX($J$2:$J$1001,MATCH(ROWS($I$2:I747),$I$2:$I$1001,0),1)&gt;=100000,INDEX($P$1005:$S$1005,1,MATCH(COLUMNS($P$1006:Q1006),$P$1006:$S$1006,0))&gt;=100000), " ",IF(INDEX($P$2:$S$1001,MATCH(ROWS($I$2:I747),$I$2:$I$1001,0),MATCH(COLUMNS($P$1006:Q1006),$P$1006:$S$1006,0)), HYPERLINK("#",""), HYPERLINK(CONCATENATE("#metadata!", ADDRESS(INDEX($K$2:$K$1001,MATCH(ROWS($I$2:I747),$I$2:$I$1001,0),0), INDEX($P$1004:$S$1004,1,MATCH(COLUMNS($P$1006:Q1006),$P$1006:$S$1006,0)))),"Fix")))</f>
        <v>0</v>
      </c>
      <c r="D747" s="3">
        <f>IF(OR(INDEX($J$2:$J$1001,MATCH(ROWS($I$2:I747),$I$2:$I$1001,0),1)&gt;=100000,INDEX($P$1005:$S$1005,1,MATCH(COLUMNS($P$1006:R1006),$P$1006:$S$1006,0))&gt;=100000), " ",IF(INDEX($P$2:$S$1001,MATCH(ROWS($I$2:I747),$I$2:$I$1001,0),MATCH(COLUMNS($P$1006:R1006),$P$1006:$S$1006,0)), HYPERLINK("#",""), HYPERLINK(CONCATENATE("#metadata!", ADDRESS(INDEX($K$2:$K$1001,MATCH(ROWS($I$2:I747),$I$2:$I$1001,0),0), INDEX($P$1004:$S$1004,1,MATCH(COLUMNS($P$1006:R1006),$P$1006:$S$1006,0)))),"Fix")))</f>
        <v>0</v>
      </c>
      <c r="E747" s="3">
        <f>IF(OR(INDEX($J$2:$J$1001,MATCH(ROWS($I$2:I747),$I$2:$I$1001,0),1)&gt;=100000,INDEX($P$1005:$S$1005,1,MATCH(COLUMNS($P$1006:S1006),$P$1006:$S$1006,0))&gt;=100000), " ",IF(INDEX($P$2:$S$1001,MATCH(ROWS($I$2:I747),$I$2:$I$1001,0),MATCH(COLUMNS($P$1006:S1006),$P$1006:$S$1006,0)), HYPERLINK("#",""), HYPERLINK(CONCATENATE("#metadata!", ADDRESS(INDEX($K$2:$K$1001,MATCH(ROWS($I$2:I747),$I$2:$I$1001,0),0), INDEX($P$1004:$S$1004,1,MATCH(COLUMNS($P$1006:S1006),$P$1006:$S$1006,0)))),"Fix")))</f>
        <v>0</v>
      </c>
      <c r="I747">
        <v>0</v>
      </c>
      <c r="J747">
        <v>0</v>
      </c>
      <c r="K747">
        <v>0</v>
      </c>
      <c r="L747">
        <f>IF(M747,TRUE,AND(P747:S747))</f>
        <v>0</v>
      </c>
      <c r="M747">
        <f>COUNTBLANK(metadata!B747:E747)=COLUMNS(metadata!B747:E747)</f>
        <v>0</v>
      </c>
      <c r="N747">
        <v>0</v>
      </c>
      <c r="P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Q747">
        <f>AND(IF(metadata!C747="",FALSE,TRUE),exact(metadata!C747,"other"))</f>
        <v>0</v>
      </c>
      <c r="R747">
        <f>AND(IF(metadata!D747="",FALSE,TRUE),exact(metadata!D747,"metagenome"))</f>
        <v>0</v>
      </c>
      <c r="S747">
        <f>AND(IF(metadata!E747="",FALSE,TRUE),exact(metadata!E747,"256318"))</f>
        <v>0</v>
      </c>
    </row>
    <row r="748" spans="1:19">
      <c r="A748" s="4">
        <f>IF(B748=" "," ",HYPERLINK(CONCATENATE("#metadata!",ADDRESS(INDEX($K$2:$K$1001,MATCH(ROWS($I$2:I748),$I$2:$I$1001,0),0),1)),INDEX($N$2:$N$1001,MATCH(ROWS($I$2:I748),$I$2:$I$1001,0),0)))</f>
        <v>0</v>
      </c>
      <c r="B748" s="3">
        <f>IF(OR(INDEX($J$2:$J$1001,MATCH(ROWS($I$2:I748),$I$2:$I$1001,0),1)&gt;=100000,INDEX($P$1005:$S$1005,1,MATCH(COLUMNS($P$1006:P1006),$P$1006:$S$1006,0))&gt;=100000), " ",IF(INDEX($P$2:$S$1001,MATCH(ROWS($I$2:I748),$I$2:$I$1001,0),MATCH(COLUMNS($P$1006:P1006),$P$1006:$S$1006,0)), HYPERLINK("#",""), HYPERLINK(CONCATENATE("#metadata!", ADDRESS(INDEX($K$2:$K$1001,MATCH(ROWS($I$2:I748),$I$2:$I$1001,0),0), INDEX($P$1004:$S$1004,1,MATCH(COLUMNS($P$1006:P1006),$P$1006:$S$1006,0)))),"Fix")))</f>
        <v>0</v>
      </c>
      <c r="C748" s="3">
        <f>IF(OR(INDEX($J$2:$J$1001,MATCH(ROWS($I$2:I748),$I$2:$I$1001,0),1)&gt;=100000,INDEX($P$1005:$S$1005,1,MATCH(COLUMNS($P$1006:Q1006),$P$1006:$S$1006,0))&gt;=100000), " ",IF(INDEX($P$2:$S$1001,MATCH(ROWS($I$2:I748),$I$2:$I$1001,0),MATCH(COLUMNS($P$1006:Q1006),$P$1006:$S$1006,0)), HYPERLINK("#",""), HYPERLINK(CONCATENATE("#metadata!", ADDRESS(INDEX($K$2:$K$1001,MATCH(ROWS($I$2:I748),$I$2:$I$1001,0),0), INDEX($P$1004:$S$1004,1,MATCH(COLUMNS($P$1006:Q1006),$P$1006:$S$1006,0)))),"Fix")))</f>
        <v>0</v>
      </c>
      <c r="D748" s="3">
        <f>IF(OR(INDEX($J$2:$J$1001,MATCH(ROWS($I$2:I748),$I$2:$I$1001,0),1)&gt;=100000,INDEX($P$1005:$S$1005,1,MATCH(COLUMNS($P$1006:R1006),$P$1006:$S$1006,0))&gt;=100000), " ",IF(INDEX($P$2:$S$1001,MATCH(ROWS($I$2:I748),$I$2:$I$1001,0),MATCH(COLUMNS($P$1006:R1006),$P$1006:$S$1006,0)), HYPERLINK("#",""), HYPERLINK(CONCATENATE("#metadata!", ADDRESS(INDEX($K$2:$K$1001,MATCH(ROWS($I$2:I748),$I$2:$I$1001,0),0), INDEX($P$1004:$S$1004,1,MATCH(COLUMNS($P$1006:R1006),$P$1006:$S$1006,0)))),"Fix")))</f>
        <v>0</v>
      </c>
      <c r="E748" s="3">
        <f>IF(OR(INDEX($J$2:$J$1001,MATCH(ROWS($I$2:I748),$I$2:$I$1001,0),1)&gt;=100000,INDEX($P$1005:$S$1005,1,MATCH(COLUMNS($P$1006:S1006),$P$1006:$S$1006,0))&gt;=100000), " ",IF(INDEX($P$2:$S$1001,MATCH(ROWS($I$2:I748),$I$2:$I$1001,0),MATCH(COLUMNS($P$1006:S1006),$P$1006:$S$1006,0)), HYPERLINK("#",""), HYPERLINK(CONCATENATE("#metadata!", ADDRESS(INDEX($K$2:$K$1001,MATCH(ROWS($I$2:I748),$I$2:$I$1001,0),0), INDEX($P$1004:$S$1004,1,MATCH(COLUMNS($P$1006:S1006),$P$1006:$S$1006,0)))),"Fix")))</f>
        <v>0</v>
      </c>
      <c r="I748">
        <v>0</v>
      </c>
      <c r="J748">
        <v>0</v>
      </c>
      <c r="K748">
        <v>0</v>
      </c>
      <c r="L748">
        <f>IF(M748,TRUE,AND(P748:S748))</f>
        <v>0</v>
      </c>
      <c r="M748">
        <f>COUNTBLANK(metadata!B748:E748)=COLUMNS(metadata!B748:E748)</f>
        <v>0</v>
      </c>
      <c r="N748">
        <v>0</v>
      </c>
      <c r="P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Q748">
        <f>AND(IF(metadata!C748="",FALSE,TRUE),exact(metadata!C748,"other"))</f>
        <v>0</v>
      </c>
      <c r="R748">
        <f>AND(IF(metadata!D748="",FALSE,TRUE),exact(metadata!D748,"metagenome"))</f>
        <v>0</v>
      </c>
      <c r="S748">
        <f>AND(IF(metadata!E748="",FALSE,TRUE),exact(metadata!E748,"256318"))</f>
        <v>0</v>
      </c>
    </row>
    <row r="749" spans="1:19">
      <c r="A749" s="4">
        <f>IF(B749=" "," ",HYPERLINK(CONCATENATE("#metadata!",ADDRESS(INDEX($K$2:$K$1001,MATCH(ROWS($I$2:I749),$I$2:$I$1001,0),0),1)),INDEX($N$2:$N$1001,MATCH(ROWS($I$2:I749),$I$2:$I$1001,0),0)))</f>
        <v>0</v>
      </c>
      <c r="B749" s="3">
        <f>IF(OR(INDEX($J$2:$J$1001,MATCH(ROWS($I$2:I749),$I$2:$I$1001,0),1)&gt;=100000,INDEX($P$1005:$S$1005,1,MATCH(COLUMNS($P$1006:P1006),$P$1006:$S$1006,0))&gt;=100000), " ",IF(INDEX($P$2:$S$1001,MATCH(ROWS($I$2:I749),$I$2:$I$1001,0),MATCH(COLUMNS($P$1006:P1006),$P$1006:$S$1006,0)), HYPERLINK("#",""), HYPERLINK(CONCATENATE("#metadata!", ADDRESS(INDEX($K$2:$K$1001,MATCH(ROWS($I$2:I749),$I$2:$I$1001,0),0), INDEX($P$1004:$S$1004,1,MATCH(COLUMNS($P$1006:P1006),$P$1006:$S$1006,0)))),"Fix")))</f>
        <v>0</v>
      </c>
      <c r="C749" s="3">
        <f>IF(OR(INDEX($J$2:$J$1001,MATCH(ROWS($I$2:I749),$I$2:$I$1001,0),1)&gt;=100000,INDEX($P$1005:$S$1005,1,MATCH(COLUMNS($P$1006:Q1006),$P$1006:$S$1006,0))&gt;=100000), " ",IF(INDEX($P$2:$S$1001,MATCH(ROWS($I$2:I749),$I$2:$I$1001,0),MATCH(COLUMNS($P$1006:Q1006),$P$1006:$S$1006,0)), HYPERLINK("#",""), HYPERLINK(CONCATENATE("#metadata!", ADDRESS(INDEX($K$2:$K$1001,MATCH(ROWS($I$2:I749),$I$2:$I$1001,0),0), INDEX($P$1004:$S$1004,1,MATCH(COLUMNS($P$1006:Q1006),$P$1006:$S$1006,0)))),"Fix")))</f>
        <v>0</v>
      </c>
      <c r="D749" s="3">
        <f>IF(OR(INDEX($J$2:$J$1001,MATCH(ROWS($I$2:I749),$I$2:$I$1001,0),1)&gt;=100000,INDEX($P$1005:$S$1005,1,MATCH(COLUMNS($P$1006:R1006),$P$1006:$S$1006,0))&gt;=100000), " ",IF(INDEX($P$2:$S$1001,MATCH(ROWS($I$2:I749),$I$2:$I$1001,0),MATCH(COLUMNS($P$1006:R1006),$P$1006:$S$1006,0)), HYPERLINK("#",""), HYPERLINK(CONCATENATE("#metadata!", ADDRESS(INDEX($K$2:$K$1001,MATCH(ROWS($I$2:I749),$I$2:$I$1001,0),0), INDEX($P$1004:$S$1004,1,MATCH(COLUMNS($P$1006:R1006),$P$1006:$S$1006,0)))),"Fix")))</f>
        <v>0</v>
      </c>
      <c r="E749" s="3">
        <f>IF(OR(INDEX($J$2:$J$1001,MATCH(ROWS($I$2:I749),$I$2:$I$1001,0),1)&gt;=100000,INDEX($P$1005:$S$1005,1,MATCH(COLUMNS($P$1006:S1006),$P$1006:$S$1006,0))&gt;=100000), " ",IF(INDEX($P$2:$S$1001,MATCH(ROWS($I$2:I749),$I$2:$I$1001,0),MATCH(COLUMNS($P$1006:S1006),$P$1006:$S$1006,0)), HYPERLINK("#",""), HYPERLINK(CONCATENATE("#metadata!", ADDRESS(INDEX($K$2:$K$1001,MATCH(ROWS($I$2:I749),$I$2:$I$1001,0),0), INDEX($P$1004:$S$1004,1,MATCH(COLUMNS($P$1006:S1006),$P$1006:$S$1006,0)))),"Fix")))</f>
        <v>0</v>
      </c>
      <c r="I749">
        <v>0</v>
      </c>
      <c r="J749">
        <v>0</v>
      </c>
      <c r="K749">
        <v>0</v>
      </c>
      <c r="L749">
        <f>IF(M749,TRUE,AND(P749:S749))</f>
        <v>0</v>
      </c>
      <c r="M749">
        <f>COUNTBLANK(metadata!B749:E749)=COLUMNS(metadata!B749:E749)</f>
        <v>0</v>
      </c>
      <c r="N749">
        <v>0</v>
      </c>
      <c r="P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Q749">
        <f>AND(IF(metadata!C749="",FALSE,TRUE),exact(metadata!C749,"other"))</f>
        <v>0</v>
      </c>
      <c r="R749">
        <f>AND(IF(metadata!D749="",FALSE,TRUE),exact(metadata!D749,"metagenome"))</f>
        <v>0</v>
      </c>
      <c r="S749">
        <f>AND(IF(metadata!E749="",FALSE,TRUE),exact(metadata!E749,"256318"))</f>
        <v>0</v>
      </c>
    </row>
    <row r="750" spans="1:19">
      <c r="A750" s="4">
        <f>IF(B750=" "," ",HYPERLINK(CONCATENATE("#metadata!",ADDRESS(INDEX($K$2:$K$1001,MATCH(ROWS($I$2:I750),$I$2:$I$1001,0),0),1)),INDEX($N$2:$N$1001,MATCH(ROWS($I$2:I750),$I$2:$I$1001,0),0)))</f>
        <v>0</v>
      </c>
      <c r="B750" s="3">
        <f>IF(OR(INDEX($J$2:$J$1001,MATCH(ROWS($I$2:I750),$I$2:$I$1001,0),1)&gt;=100000,INDEX($P$1005:$S$1005,1,MATCH(COLUMNS($P$1006:P1006),$P$1006:$S$1006,0))&gt;=100000), " ",IF(INDEX($P$2:$S$1001,MATCH(ROWS($I$2:I750),$I$2:$I$1001,0),MATCH(COLUMNS($P$1006:P1006),$P$1006:$S$1006,0)), HYPERLINK("#",""), HYPERLINK(CONCATENATE("#metadata!", ADDRESS(INDEX($K$2:$K$1001,MATCH(ROWS($I$2:I750),$I$2:$I$1001,0),0), INDEX($P$1004:$S$1004,1,MATCH(COLUMNS($P$1006:P1006),$P$1006:$S$1006,0)))),"Fix")))</f>
        <v>0</v>
      </c>
      <c r="C750" s="3">
        <f>IF(OR(INDEX($J$2:$J$1001,MATCH(ROWS($I$2:I750),$I$2:$I$1001,0),1)&gt;=100000,INDEX($P$1005:$S$1005,1,MATCH(COLUMNS($P$1006:Q1006),$P$1006:$S$1006,0))&gt;=100000), " ",IF(INDEX($P$2:$S$1001,MATCH(ROWS($I$2:I750),$I$2:$I$1001,0),MATCH(COLUMNS($P$1006:Q1006),$P$1006:$S$1006,0)), HYPERLINK("#",""), HYPERLINK(CONCATENATE("#metadata!", ADDRESS(INDEX($K$2:$K$1001,MATCH(ROWS($I$2:I750),$I$2:$I$1001,0),0), INDEX($P$1004:$S$1004,1,MATCH(COLUMNS($P$1006:Q1006),$P$1006:$S$1006,0)))),"Fix")))</f>
        <v>0</v>
      </c>
      <c r="D750" s="3">
        <f>IF(OR(INDEX($J$2:$J$1001,MATCH(ROWS($I$2:I750),$I$2:$I$1001,0),1)&gt;=100000,INDEX($P$1005:$S$1005,1,MATCH(COLUMNS($P$1006:R1006),$P$1006:$S$1006,0))&gt;=100000), " ",IF(INDEX($P$2:$S$1001,MATCH(ROWS($I$2:I750),$I$2:$I$1001,0),MATCH(COLUMNS($P$1006:R1006),$P$1006:$S$1006,0)), HYPERLINK("#",""), HYPERLINK(CONCATENATE("#metadata!", ADDRESS(INDEX($K$2:$K$1001,MATCH(ROWS($I$2:I750),$I$2:$I$1001,0),0), INDEX($P$1004:$S$1004,1,MATCH(COLUMNS($P$1006:R1006),$P$1006:$S$1006,0)))),"Fix")))</f>
        <v>0</v>
      </c>
      <c r="E750" s="3">
        <f>IF(OR(INDEX($J$2:$J$1001,MATCH(ROWS($I$2:I750),$I$2:$I$1001,0),1)&gt;=100000,INDEX($P$1005:$S$1005,1,MATCH(COLUMNS($P$1006:S1006),$P$1006:$S$1006,0))&gt;=100000), " ",IF(INDEX($P$2:$S$1001,MATCH(ROWS($I$2:I750),$I$2:$I$1001,0),MATCH(COLUMNS($P$1006:S1006),$P$1006:$S$1006,0)), HYPERLINK("#",""), HYPERLINK(CONCATENATE("#metadata!", ADDRESS(INDEX($K$2:$K$1001,MATCH(ROWS($I$2:I750),$I$2:$I$1001,0),0), INDEX($P$1004:$S$1004,1,MATCH(COLUMNS($P$1006:S1006),$P$1006:$S$1006,0)))),"Fix")))</f>
        <v>0</v>
      </c>
      <c r="I750">
        <v>0</v>
      </c>
      <c r="J750">
        <v>0</v>
      </c>
      <c r="K750">
        <v>0</v>
      </c>
      <c r="L750">
        <f>IF(M750,TRUE,AND(P750:S750))</f>
        <v>0</v>
      </c>
      <c r="M750">
        <f>COUNTBLANK(metadata!B750:E750)=COLUMNS(metadata!B750:E750)</f>
        <v>0</v>
      </c>
      <c r="N750">
        <v>0</v>
      </c>
      <c r="P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Q750">
        <f>AND(IF(metadata!C750="",FALSE,TRUE),exact(metadata!C750,"other"))</f>
        <v>0</v>
      </c>
      <c r="R750">
        <f>AND(IF(metadata!D750="",FALSE,TRUE),exact(metadata!D750,"metagenome"))</f>
        <v>0</v>
      </c>
      <c r="S750">
        <f>AND(IF(metadata!E750="",FALSE,TRUE),exact(metadata!E750,"256318"))</f>
        <v>0</v>
      </c>
    </row>
    <row r="751" spans="1:19">
      <c r="A751" s="4">
        <f>IF(B751=" "," ",HYPERLINK(CONCATENATE("#metadata!",ADDRESS(INDEX($K$2:$K$1001,MATCH(ROWS($I$2:I751),$I$2:$I$1001,0),0),1)),INDEX($N$2:$N$1001,MATCH(ROWS($I$2:I751),$I$2:$I$1001,0),0)))</f>
        <v>0</v>
      </c>
      <c r="B751" s="3">
        <f>IF(OR(INDEX($J$2:$J$1001,MATCH(ROWS($I$2:I751),$I$2:$I$1001,0),1)&gt;=100000,INDEX($P$1005:$S$1005,1,MATCH(COLUMNS($P$1006:P1006),$P$1006:$S$1006,0))&gt;=100000), " ",IF(INDEX($P$2:$S$1001,MATCH(ROWS($I$2:I751),$I$2:$I$1001,0),MATCH(COLUMNS($P$1006:P1006),$P$1006:$S$1006,0)), HYPERLINK("#",""), HYPERLINK(CONCATENATE("#metadata!", ADDRESS(INDEX($K$2:$K$1001,MATCH(ROWS($I$2:I751),$I$2:$I$1001,0),0), INDEX($P$1004:$S$1004,1,MATCH(COLUMNS($P$1006:P1006),$P$1006:$S$1006,0)))),"Fix")))</f>
        <v>0</v>
      </c>
      <c r="C751" s="3">
        <f>IF(OR(INDEX($J$2:$J$1001,MATCH(ROWS($I$2:I751),$I$2:$I$1001,0),1)&gt;=100000,INDEX($P$1005:$S$1005,1,MATCH(COLUMNS($P$1006:Q1006),$P$1006:$S$1006,0))&gt;=100000), " ",IF(INDEX($P$2:$S$1001,MATCH(ROWS($I$2:I751),$I$2:$I$1001,0),MATCH(COLUMNS($P$1006:Q1006),$P$1006:$S$1006,0)), HYPERLINK("#",""), HYPERLINK(CONCATENATE("#metadata!", ADDRESS(INDEX($K$2:$K$1001,MATCH(ROWS($I$2:I751),$I$2:$I$1001,0),0), INDEX($P$1004:$S$1004,1,MATCH(COLUMNS($P$1006:Q1006),$P$1006:$S$1006,0)))),"Fix")))</f>
        <v>0</v>
      </c>
      <c r="D751" s="3">
        <f>IF(OR(INDEX($J$2:$J$1001,MATCH(ROWS($I$2:I751),$I$2:$I$1001,0),1)&gt;=100000,INDEX($P$1005:$S$1005,1,MATCH(COLUMNS($P$1006:R1006),$P$1006:$S$1006,0))&gt;=100000), " ",IF(INDEX($P$2:$S$1001,MATCH(ROWS($I$2:I751),$I$2:$I$1001,0),MATCH(COLUMNS($P$1006:R1006),$P$1006:$S$1006,0)), HYPERLINK("#",""), HYPERLINK(CONCATENATE("#metadata!", ADDRESS(INDEX($K$2:$K$1001,MATCH(ROWS($I$2:I751),$I$2:$I$1001,0),0), INDEX($P$1004:$S$1004,1,MATCH(COLUMNS($P$1006:R1006),$P$1006:$S$1006,0)))),"Fix")))</f>
        <v>0</v>
      </c>
      <c r="E751" s="3">
        <f>IF(OR(INDEX($J$2:$J$1001,MATCH(ROWS($I$2:I751),$I$2:$I$1001,0),1)&gt;=100000,INDEX($P$1005:$S$1005,1,MATCH(COLUMNS($P$1006:S1006),$P$1006:$S$1006,0))&gt;=100000), " ",IF(INDEX($P$2:$S$1001,MATCH(ROWS($I$2:I751),$I$2:$I$1001,0),MATCH(COLUMNS($P$1006:S1006),$P$1006:$S$1006,0)), HYPERLINK("#",""), HYPERLINK(CONCATENATE("#metadata!", ADDRESS(INDEX($K$2:$K$1001,MATCH(ROWS($I$2:I751),$I$2:$I$1001,0),0), INDEX($P$1004:$S$1004,1,MATCH(COLUMNS($P$1006:S1006),$P$1006:$S$1006,0)))),"Fix")))</f>
        <v>0</v>
      </c>
      <c r="I751">
        <v>0</v>
      </c>
      <c r="J751">
        <v>0</v>
      </c>
      <c r="K751">
        <v>0</v>
      </c>
      <c r="L751">
        <f>IF(M751,TRUE,AND(P751:S751))</f>
        <v>0</v>
      </c>
      <c r="M751">
        <f>COUNTBLANK(metadata!B751:E751)=COLUMNS(metadata!B751:E751)</f>
        <v>0</v>
      </c>
      <c r="N751">
        <v>0</v>
      </c>
      <c r="P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Q751">
        <f>AND(IF(metadata!C751="",FALSE,TRUE),exact(metadata!C751,"other"))</f>
        <v>0</v>
      </c>
      <c r="R751">
        <f>AND(IF(metadata!D751="",FALSE,TRUE),exact(metadata!D751,"metagenome"))</f>
        <v>0</v>
      </c>
      <c r="S751">
        <f>AND(IF(metadata!E751="",FALSE,TRUE),exact(metadata!E751,"256318"))</f>
        <v>0</v>
      </c>
    </row>
    <row r="752" spans="1:19">
      <c r="A752" s="4">
        <f>IF(B752=" "," ",HYPERLINK(CONCATENATE("#metadata!",ADDRESS(INDEX($K$2:$K$1001,MATCH(ROWS($I$2:I752),$I$2:$I$1001,0),0),1)),INDEX($N$2:$N$1001,MATCH(ROWS($I$2:I752),$I$2:$I$1001,0),0)))</f>
        <v>0</v>
      </c>
      <c r="B752" s="3">
        <f>IF(OR(INDEX($J$2:$J$1001,MATCH(ROWS($I$2:I752),$I$2:$I$1001,0),1)&gt;=100000,INDEX($P$1005:$S$1005,1,MATCH(COLUMNS($P$1006:P1006),$P$1006:$S$1006,0))&gt;=100000), " ",IF(INDEX($P$2:$S$1001,MATCH(ROWS($I$2:I752),$I$2:$I$1001,0),MATCH(COLUMNS($P$1006:P1006),$P$1006:$S$1006,0)), HYPERLINK("#",""), HYPERLINK(CONCATENATE("#metadata!", ADDRESS(INDEX($K$2:$K$1001,MATCH(ROWS($I$2:I752),$I$2:$I$1001,0),0), INDEX($P$1004:$S$1004,1,MATCH(COLUMNS($P$1006:P1006),$P$1006:$S$1006,0)))),"Fix")))</f>
        <v>0</v>
      </c>
      <c r="C752" s="3">
        <f>IF(OR(INDEX($J$2:$J$1001,MATCH(ROWS($I$2:I752),$I$2:$I$1001,0),1)&gt;=100000,INDEX($P$1005:$S$1005,1,MATCH(COLUMNS($P$1006:Q1006),$P$1006:$S$1006,0))&gt;=100000), " ",IF(INDEX($P$2:$S$1001,MATCH(ROWS($I$2:I752),$I$2:$I$1001,0),MATCH(COLUMNS($P$1006:Q1006),$P$1006:$S$1006,0)), HYPERLINK("#",""), HYPERLINK(CONCATENATE("#metadata!", ADDRESS(INDEX($K$2:$K$1001,MATCH(ROWS($I$2:I752),$I$2:$I$1001,0),0), INDEX($P$1004:$S$1004,1,MATCH(COLUMNS($P$1006:Q1006),$P$1006:$S$1006,0)))),"Fix")))</f>
        <v>0</v>
      </c>
      <c r="D752" s="3">
        <f>IF(OR(INDEX($J$2:$J$1001,MATCH(ROWS($I$2:I752),$I$2:$I$1001,0),1)&gt;=100000,INDEX($P$1005:$S$1005,1,MATCH(COLUMNS($P$1006:R1006),$P$1006:$S$1006,0))&gt;=100000), " ",IF(INDEX($P$2:$S$1001,MATCH(ROWS($I$2:I752),$I$2:$I$1001,0),MATCH(COLUMNS($P$1006:R1006),$P$1006:$S$1006,0)), HYPERLINK("#",""), HYPERLINK(CONCATENATE("#metadata!", ADDRESS(INDEX($K$2:$K$1001,MATCH(ROWS($I$2:I752),$I$2:$I$1001,0),0), INDEX($P$1004:$S$1004,1,MATCH(COLUMNS($P$1006:R1006),$P$1006:$S$1006,0)))),"Fix")))</f>
        <v>0</v>
      </c>
      <c r="E752" s="3">
        <f>IF(OR(INDEX($J$2:$J$1001,MATCH(ROWS($I$2:I752),$I$2:$I$1001,0),1)&gt;=100000,INDEX($P$1005:$S$1005,1,MATCH(COLUMNS($P$1006:S1006),$P$1006:$S$1006,0))&gt;=100000), " ",IF(INDEX($P$2:$S$1001,MATCH(ROWS($I$2:I752),$I$2:$I$1001,0),MATCH(COLUMNS($P$1006:S1006),$P$1006:$S$1006,0)), HYPERLINK("#",""), HYPERLINK(CONCATENATE("#metadata!", ADDRESS(INDEX($K$2:$K$1001,MATCH(ROWS($I$2:I752),$I$2:$I$1001,0),0), INDEX($P$1004:$S$1004,1,MATCH(COLUMNS($P$1006:S1006),$P$1006:$S$1006,0)))),"Fix")))</f>
        <v>0</v>
      </c>
      <c r="I752">
        <v>0</v>
      </c>
      <c r="J752">
        <v>0</v>
      </c>
      <c r="K752">
        <v>0</v>
      </c>
      <c r="L752">
        <f>IF(M752,TRUE,AND(P752:S752))</f>
        <v>0</v>
      </c>
      <c r="M752">
        <f>COUNTBLANK(metadata!B752:E752)=COLUMNS(metadata!B752:E752)</f>
        <v>0</v>
      </c>
      <c r="N752">
        <v>0</v>
      </c>
      <c r="P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Q752">
        <f>AND(IF(metadata!C752="",FALSE,TRUE),exact(metadata!C752,"other"))</f>
        <v>0</v>
      </c>
      <c r="R752">
        <f>AND(IF(metadata!D752="",FALSE,TRUE),exact(metadata!D752,"metagenome"))</f>
        <v>0</v>
      </c>
      <c r="S752">
        <f>AND(IF(metadata!E752="",FALSE,TRUE),exact(metadata!E752,"256318"))</f>
        <v>0</v>
      </c>
    </row>
    <row r="753" spans="1:19">
      <c r="A753" s="4">
        <f>IF(B753=" "," ",HYPERLINK(CONCATENATE("#metadata!",ADDRESS(INDEX($K$2:$K$1001,MATCH(ROWS($I$2:I753),$I$2:$I$1001,0),0),1)),INDEX($N$2:$N$1001,MATCH(ROWS($I$2:I753),$I$2:$I$1001,0),0)))</f>
        <v>0</v>
      </c>
      <c r="B753" s="3">
        <f>IF(OR(INDEX($J$2:$J$1001,MATCH(ROWS($I$2:I753),$I$2:$I$1001,0),1)&gt;=100000,INDEX($P$1005:$S$1005,1,MATCH(COLUMNS($P$1006:P1006),$P$1006:$S$1006,0))&gt;=100000), " ",IF(INDEX($P$2:$S$1001,MATCH(ROWS($I$2:I753),$I$2:$I$1001,0),MATCH(COLUMNS($P$1006:P1006),$P$1006:$S$1006,0)), HYPERLINK("#",""), HYPERLINK(CONCATENATE("#metadata!", ADDRESS(INDEX($K$2:$K$1001,MATCH(ROWS($I$2:I753),$I$2:$I$1001,0),0), INDEX($P$1004:$S$1004,1,MATCH(COLUMNS($P$1006:P1006),$P$1006:$S$1006,0)))),"Fix")))</f>
        <v>0</v>
      </c>
      <c r="C753" s="3">
        <f>IF(OR(INDEX($J$2:$J$1001,MATCH(ROWS($I$2:I753),$I$2:$I$1001,0),1)&gt;=100000,INDEX($P$1005:$S$1005,1,MATCH(COLUMNS($P$1006:Q1006),$P$1006:$S$1006,0))&gt;=100000), " ",IF(INDEX($P$2:$S$1001,MATCH(ROWS($I$2:I753),$I$2:$I$1001,0),MATCH(COLUMNS($P$1006:Q1006),$P$1006:$S$1006,0)), HYPERLINK("#",""), HYPERLINK(CONCATENATE("#metadata!", ADDRESS(INDEX($K$2:$K$1001,MATCH(ROWS($I$2:I753),$I$2:$I$1001,0),0), INDEX($P$1004:$S$1004,1,MATCH(COLUMNS($P$1006:Q1006),$P$1006:$S$1006,0)))),"Fix")))</f>
        <v>0</v>
      </c>
      <c r="D753" s="3">
        <f>IF(OR(INDEX($J$2:$J$1001,MATCH(ROWS($I$2:I753),$I$2:$I$1001,0),1)&gt;=100000,INDEX($P$1005:$S$1005,1,MATCH(COLUMNS($P$1006:R1006),$P$1006:$S$1006,0))&gt;=100000), " ",IF(INDEX($P$2:$S$1001,MATCH(ROWS($I$2:I753),$I$2:$I$1001,0),MATCH(COLUMNS($P$1006:R1006),$P$1006:$S$1006,0)), HYPERLINK("#",""), HYPERLINK(CONCATENATE("#metadata!", ADDRESS(INDEX($K$2:$K$1001,MATCH(ROWS($I$2:I753),$I$2:$I$1001,0),0), INDEX($P$1004:$S$1004,1,MATCH(COLUMNS($P$1006:R1006),$P$1006:$S$1006,0)))),"Fix")))</f>
        <v>0</v>
      </c>
      <c r="E753" s="3">
        <f>IF(OR(INDEX($J$2:$J$1001,MATCH(ROWS($I$2:I753),$I$2:$I$1001,0),1)&gt;=100000,INDEX($P$1005:$S$1005,1,MATCH(COLUMNS($P$1006:S1006),$P$1006:$S$1006,0))&gt;=100000), " ",IF(INDEX($P$2:$S$1001,MATCH(ROWS($I$2:I753),$I$2:$I$1001,0),MATCH(COLUMNS($P$1006:S1006),$P$1006:$S$1006,0)), HYPERLINK("#",""), HYPERLINK(CONCATENATE("#metadata!", ADDRESS(INDEX($K$2:$K$1001,MATCH(ROWS($I$2:I753),$I$2:$I$1001,0),0), INDEX($P$1004:$S$1004,1,MATCH(COLUMNS($P$1006:S1006),$P$1006:$S$1006,0)))),"Fix")))</f>
        <v>0</v>
      </c>
      <c r="I753">
        <v>0</v>
      </c>
      <c r="J753">
        <v>0</v>
      </c>
      <c r="K753">
        <v>0</v>
      </c>
      <c r="L753">
        <f>IF(M753,TRUE,AND(P753:S753))</f>
        <v>0</v>
      </c>
      <c r="M753">
        <f>COUNTBLANK(metadata!B753:E753)=COLUMNS(metadata!B753:E753)</f>
        <v>0</v>
      </c>
      <c r="N753">
        <v>0</v>
      </c>
      <c r="P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Q753">
        <f>AND(IF(metadata!C753="",FALSE,TRUE),exact(metadata!C753,"other"))</f>
        <v>0</v>
      </c>
      <c r="R753">
        <f>AND(IF(metadata!D753="",FALSE,TRUE),exact(metadata!D753,"metagenome"))</f>
        <v>0</v>
      </c>
      <c r="S753">
        <f>AND(IF(metadata!E753="",FALSE,TRUE),exact(metadata!E753,"256318"))</f>
        <v>0</v>
      </c>
    </row>
    <row r="754" spans="1:19">
      <c r="A754" s="4">
        <f>IF(B754=" "," ",HYPERLINK(CONCATENATE("#metadata!",ADDRESS(INDEX($K$2:$K$1001,MATCH(ROWS($I$2:I754),$I$2:$I$1001,0),0),1)),INDEX($N$2:$N$1001,MATCH(ROWS($I$2:I754),$I$2:$I$1001,0),0)))</f>
        <v>0</v>
      </c>
      <c r="B754" s="3">
        <f>IF(OR(INDEX($J$2:$J$1001,MATCH(ROWS($I$2:I754),$I$2:$I$1001,0),1)&gt;=100000,INDEX($P$1005:$S$1005,1,MATCH(COLUMNS($P$1006:P1006),$P$1006:$S$1006,0))&gt;=100000), " ",IF(INDEX($P$2:$S$1001,MATCH(ROWS($I$2:I754),$I$2:$I$1001,0),MATCH(COLUMNS($P$1006:P1006),$P$1006:$S$1006,0)), HYPERLINK("#",""), HYPERLINK(CONCATENATE("#metadata!", ADDRESS(INDEX($K$2:$K$1001,MATCH(ROWS($I$2:I754),$I$2:$I$1001,0),0), INDEX($P$1004:$S$1004,1,MATCH(COLUMNS($P$1006:P1006),$P$1006:$S$1006,0)))),"Fix")))</f>
        <v>0</v>
      </c>
      <c r="C754" s="3">
        <f>IF(OR(INDEX($J$2:$J$1001,MATCH(ROWS($I$2:I754),$I$2:$I$1001,0),1)&gt;=100000,INDEX($P$1005:$S$1005,1,MATCH(COLUMNS($P$1006:Q1006),$P$1006:$S$1006,0))&gt;=100000), " ",IF(INDEX($P$2:$S$1001,MATCH(ROWS($I$2:I754),$I$2:$I$1001,0),MATCH(COLUMNS($P$1006:Q1006),$P$1006:$S$1006,0)), HYPERLINK("#",""), HYPERLINK(CONCATENATE("#metadata!", ADDRESS(INDEX($K$2:$K$1001,MATCH(ROWS($I$2:I754),$I$2:$I$1001,0),0), INDEX($P$1004:$S$1004,1,MATCH(COLUMNS($P$1006:Q1006),$P$1006:$S$1006,0)))),"Fix")))</f>
        <v>0</v>
      </c>
      <c r="D754" s="3">
        <f>IF(OR(INDEX($J$2:$J$1001,MATCH(ROWS($I$2:I754),$I$2:$I$1001,0),1)&gt;=100000,INDEX($P$1005:$S$1005,1,MATCH(COLUMNS($P$1006:R1006),$P$1006:$S$1006,0))&gt;=100000), " ",IF(INDEX($P$2:$S$1001,MATCH(ROWS($I$2:I754),$I$2:$I$1001,0),MATCH(COLUMNS($P$1006:R1006),$P$1006:$S$1006,0)), HYPERLINK("#",""), HYPERLINK(CONCATENATE("#metadata!", ADDRESS(INDEX($K$2:$K$1001,MATCH(ROWS($I$2:I754),$I$2:$I$1001,0),0), INDEX($P$1004:$S$1004,1,MATCH(COLUMNS($P$1006:R1006),$P$1006:$S$1006,0)))),"Fix")))</f>
        <v>0</v>
      </c>
      <c r="E754" s="3">
        <f>IF(OR(INDEX($J$2:$J$1001,MATCH(ROWS($I$2:I754),$I$2:$I$1001,0),1)&gt;=100000,INDEX($P$1005:$S$1005,1,MATCH(COLUMNS($P$1006:S1006),$P$1006:$S$1006,0))&gt;=100000), " ",IF(INDEX($P$2:$S$1001,MATCH(ROWS($I$2:I754),$I$2:$I$1001,0),MATCH(COLUMNS($P$1006:S1006),$P$1006:$S$1006,0)), HYPERLINK("#",""), HYPERLINK(CONCATENATE("#metadata!", ADDRESS(INDEX($K$2:$K$1001,MATCH(ROWS($I$2:I754),$I$2:$I$1001,0),0), INDEX($P$1004:$S$1004,1,MATCH(COLUMNS($P$1006:S1006),$P$1006:$S$1006,0)))),"Fix")))</f>
        <v>0</v>
      </c>
      <c r="I754">
        <v>0</v>
      </c>
      <c r="J754">
        <v>0</v>
      </c>
      <c r="K754">
        <v>0</v>
      </c>
      <c r="L754">
        <f>IF(M754,TRUE,AND(P754:S754))</f>
        <v>0</v>
      </c>
      <c r="M754">
        <f>COUNTBLANK(metadata!B754:E754)=COLUMNS(metadata!B754:E754)</f>
        <v>0</v>
      </c>
      <c r="N754">
        <v>0</v>
      </c>
      <c r="P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Q754">
        <f>AND(IF(metadata!C754="",FALSE,TRUE),exact(metadata!C754,"other"))</f>
        <v>0</v>
      </c>
      <c r="R754">
        <f>AND(IF(metadata!D754="",FALSE,TRUE),exact(metadata!D754,"metagenome"))</f>
        <v>0</v>
      </c>
      <c r="S754">
        <f>AND(IF(metadata!E754="",FALSE,TRUE),exact(metadata!E754,"256318"))</f>
        <v>0</v>
      </c>
    </row>
    <row r="755" spans="1:19">
      <c r="A755" s="4">
        <f>IF(B755=" "," ",HYPERLINK(CONCATENATE("#metadata!",ADDRESS(INDEX($K$2:$K$1001,MATCH(ROWS($I$2:I755),$I$2:$I$1001,0),0),1)),INDEX($N$2:$N$1001,MATCH(ROWS($I$2:I755),$I$2:$I$1001,0),0)))</f>
        <v>0</v>
      </c>
      <c r="B755" s="3">
        <f>IF(OR(INDEX($J$2:$J$1001,MATCH(ROWS($I$2:I755),$I$2:$I$1001,0),1)&gt;=100000,INDEX($P$1005:$S$1005,1,MATCH(COLUMNS($P$1006:P1006),$P$1006:$S$1006,0))&gt;=100000), " ",IF(INDEX($P$2:$S$1001,MATCH(ROWS($I$2:I755),$I$2:$I$1001,0),MATCH(COLUMNS($P$1006:P1006),$P$1006:$S$1006,0)), HYPERLINK("#",""), HYPERLINK(CONCATENATE("#metadata!", ADDRESS(INDEX($K$2:$K$1001,MATCH(ROWS($I$2:I755),$I$2:$I$1001,0),0), INDEX($P$1004:$S$1004,1,MATCH(COLUMNS($P$1006:P1006),$P$1006:$S$1006,0)))),"Fix")))</f>
        <v>0</v>
      </c>
      <c r="C755" s="3">
        <f>IF(OR(INDEX($J$2:$J$1001,MATCH(ROWS($I$2:I755),$I$2:$I$1001,0),1)&gt;=100000,INDEX($P$1005:$S$1005,1,MATCH(COLUMNS($P$1006:Q1006),$P$1006:$S$1006,0))&gt;=100000), " ",IF(INDEX($P$2:$S$1001,MATCH(ROWS($I$2:I755),$I$2:$I$1001,0),MATCH(COLUMNS($P$1006:Q1006),$P$1006:$S$1006,0)), HYPERLINK("#",""), HYPERLINK(CONCATENATE("#metadata!", ADDRESS(INDEX($K$2:$K$1001,MATCH(ROWS($I$2:I755),$I$2:$I$1001,0),0), INDEX($P$1004:$S$1004,1,MATCH(COLUMNS($P$1006:Q1006),$P$1006:$S$1006,0)))),"Fix")))</f>
        <v>0</v>
      </c>
      <c r="D755" s="3">
        <f>IF(OR(INDEX($J$2:$J$1001,MATCH(ROWS($I$2:I755),$I$2:$I$1001,0),1)&gt;=100000,INDEX($P$1005:$S$1005,1,MATCH(COLUMNS($P$1006:R1006),$P$1006:$S$1006,0))&gt;=100000), " ",IF(INDEX($P$2:$S$1001,MATCH(ROWS($I$2:I755),$I$2:$I$1001,0),MATCH(COLUMNS($P$1006:R1006),$P$1006:$S$1006,0)), HYPERLINK("#",""), HYPERLINK(CONCATENATE("#metadata!", ADDRESS(INDEX($K$2:$K$1001,MATCH(ROWS($I$2:I755),$I$2:$I$1001,0),0), INDEX($P$1004:$S$1004,1,MATCH(COLUMNS($P$1006:R1006),$P$1006:$S$1006,0)))),"Fix")))</f>
        <v>0</v>
      </c>
      <c r="E755" s="3">
        <f>IF(OR(INDEX($J$2:$J$1001,MATCH(ROWS($I$2:I755),$I$2:$I$1001,0),1)&gt;=100000,INDEX($P$1005:$S$1005,1,MATCH(COLUMNS($P$1006:S1006),$P$1006:$S$1006,0))&gt;=100000), " ",IF(INDEX($P$2:$S$1001,MATCH(ROWS($I$2:I755),$I$2:$I$1001,0),MATCH(COLUMNS($P$1006:S1006),$P$1006:$S$1006,0)), HYPERLINK("#",""), HYPERLINK(CONCATENATE("#metadata!", ADDRESS(INDEX($K$2:$K$1001,MATCH(ROWS($I$2:I755),$I$2:$I$1001,0),0), INDEX($P$1004:$S$1004,1,MATCH(COLUMNS($P$1006:S1006),$P$1006:$S$1006,0)))),"Fix")))</f>
        <v>0</v>
      </c>
      <c r="I755">
        <v>0</v>
      </c>
      <c r="J755">
        <v>0</v>
      </c>
      <c r="K755">
        <v>0</v>
      </c>
      <c r="L755">
        <f>IF(M755,TRUE,AND(P755:S755))</f>
        <v>0</v>
      </c>
      <c r="M755">
        <f>COUNTBLANK(metadata!B755:E755)=COLUMNS(metadata!B755:E755)</f>
        <v>0</v>
      </c>
      <c r="N755">
        <v>0</v>
      </c>
      <c r="P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Q755">
        <f>AND(IF(metadata!C755="",FALSE,TRUE),exact(metadata!C755,"other"))</f>
        <v>0</v>
      </c>
      <c r="R755">
        <f>AND(IF(metadata!D755="",FALSE,TRUE),exact(metadata!D755,"metagenome"))</f>
        <v>0</v>
      </c>
      <c r="S755">
        <f>AND(IF(metadata!E755="",FALSE,TRUE),exact(metadata!E755,"256318"))</f>
        <v>0</v>
      </c>
    </row>
    <row r="756" spans="1:19">
      <c r="A756" s="4">
        <f>IF(B756=" "," ",HYPERLINK(CONCATENATE("#metadata!",ADDRESS(INDEX($K$2:$K$1001,MATCH(ROWS($I$2:I756),$I$2:$I$1001,0),0),1)),INDEX($N$2:$N$1001,MATCH(ROWS($I$2:I756),$I$2:$I$1001,0),0)))</f>
        <v>0</v>
      </c>
      <c r="B756" s="3">
        <f>IF(OR(INDEX($J$2:$J$1001,MATCH(ROWS($I$2:I756),$I$2:$I$1001,0),1)&gt;=100000,INDEX($P$1005:$S$1005,1,MATCH(COLUMNS($P$1006:P1006),$P$1006:$S$1006,0))&gt;=100000), " ",IF(INDEX($P$2:$S$1001,MATCH(ROWS($I$2:I756),$I$2:$I$1001,0),MATCH(COLUMNS($P$1006:P1006),$P$1006:$S$1006,0)), HYPERLINK("#",""), HYPERLINK(CONCATENATE("#metadata!", ADDRESS(INDEX($K$2:$K$1001,MATCH(ROWS($I$2:I756),$I$2:$I$1001,0),0), INDEX($P$1004:$S$1004,1,MATCH(COLUMNS($P$1006:P1006),$P$1006:$S$1006,0)))),"Fix")))</f>
        <v>0</v>
      </c>
      <c r="C756" s="3">
        <f>IF(OR(INDEX($J$2:$J$1001,MATCH(ROWS($I$2:I756),$I$2:$I$1001,0),1)&gt;=100000,INDEX($P$1005:$S$1005,1,MATCH(COLUMNS($P$1006:Q1006),$P$1006:$S$1006,0))&gt;=100000), " ",IF(INDEX($P$2:$S$1001,MATCH(ROWS($I$2:I756),$I$2:$I$1001,0),MATCH(COLUMNS($P$1006:Q1006),$P$1006:$S$1006,0)), HYPERLINK("#",""), HYPERLINK(CONCATENATE("#metadata!", ADDRESS(INDEX($K$2:$K$1001,MATCH(ROWS($I$2:I756),$I$2:$I$1001,0),0), INDEX($P$1004:$S$1004,1,MATCH(COLUMNS($P$1006:Q1006),$P$1006:$S$1006,0)))),"Fix")))</f>
        <v>0</v>
      </c>
      <c r="D756" s="3">
        <f>IF(OR(INDEX($J$2:$J$1001,MATCH(ROWS($I$2:I756),$I$2:$I$1001,0),1)&gt;=100000,INDEX($P$1005:$S$1005,1,MATCH(COLUMNS($P$1006:R1006),$P$1006:$S$1006,0))&gt;=100000), " ",IF(INDEX($P$2:$S$1001,MATCH(ROWS($I$2:I756),$I$2:$I$1001,0),MATCH(COLUMNS($P$1006:R1006),$P$1006:$S$1006,0)), HYPERLINK("#",""), HYPERLINK(CONCATENATE("#metadata!", ADDRESS(INDEX($K$2:$K$1001,MATCH(ROWS($I$2:I756),$I$2:$I$1001,0),0), INDEX($P$1004:$S$1004,1,MATCH(COLUMNS($P$1006:R1006),$P$1006:$S$1006,0)))),"Fix")))</f>
        <v>0</v>
      </c>
      <c r="E756" s="3">
        <f>IF(OR(INDEX($J$2:$J$1001,MATCH(ROWS($I$2:I756),$I$2:$I$1001,0),1)&gt;=100000,INDEX($P$1005:$S$1005,1,MATCH(COLUMNS($P$1006:S1006),$P$1006:$S$1006,0))&gt;=100000), " ",IF(INDEX($P$2:$S$1001,MATCH(ROWS($I$2:I756),$I$2:$I$1001,0),MATCH(COLUMNS($P$1006:S1006),$P$1006:$S$1006,0)), HYPERLINK("#",""), HYPERLINK(CONCATENATE("#metadata!", ADDRESS(INDEX($K$2:$K$1001,MATCH(ROWS($I$2:I756),$I$2:$I$1001,0),0), INDEX($P$1004:$S$1004,1,MATCH(COLUMNS($P$1006:S1006),$P$1006:$S$1006,0)))),"Fix")))</f>
        <v>0</v>
      </c>
      <c r="I756">
        <v>0</v>
      </c>
      <c r="J756">
        <v>0</v>
      </c>
      <c r="K756">
        <v>0</v>
      </c>
      <c r="L756">
        <f>IF(M756,TRUE,AND(P756:S756))</f>
        <v>0</v>
      </c>
      <c r="M756">
        <f>COUNTBLANK(metadata!B756:E756)=COLUMNS(metadata!B756:E756)</f>
        <v>0</v>
      </c>
      <c r="N756">
        <v>0</v>
      </c>
      <c r="P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Q756">
        <f>AND(IF(metadata!C756="",FALSE,TRUE),exact(metadata!C756,"other"))</f>
        <v>0</v>
      </c>
      <c r="R756">
        <f>AND(IF(metadata!D756="",FALSE,TRUE),exact(metadata!D756,"metagenome"))</f>
        <v>0</v>
      </c>
      <c r="S756">
        <f>AND(IF(metadata!E756="",FALSE,TRUE),exact(metadata!E756,"256318"))</f>
        <v>0</v>
      </c>
    </row>
    <row r="757" spans="1:19">
      <c r="A757" s="4">
        <f>IF(B757=" "," ",HYPERLINK(CONCATENATE("#metadata!",ADDRESS(INDEX($K$2:$K$1001,MATCH(ROWS($I$2:I757),$I$2:$I$1001,0),0),1)),INDEX($N$2:$N$1001,MATCH(ROWS($I$2:I757),$I$2:$I$1001,0),0)))</f>
        <v>0</v>
      </c>
      <c r="B757" s="3">
        <f>IF(OR(INDEX($J$2:$J$1001,MATCH(ROWS($I$2:I757),$I$2:$I$1001,0),1)&gt;=100000,INDEX($P$1005:$S$1005,1,MATCH(COLUMNS($P$1006:P1006),$P$1006:$S$1006,0))&gt;=100000), " ",IF(INDEX($P$2:$S$1001,MATCH(ROWS($I$2:I757),$I$2:$I$1001,0),MATCH(COLUMNS($P$1006:P1006),$P$1006:$S$1006,0)), HYPERLINK("#",""), HYPERLINK(CONCATENATE("#metadata!", ADDRESS(INDEX($K$2:$K$1001,MATCH(ROWS($I$2:I757),$I$2:$I$1001,0),0), INDEX($P$1004:$S$1004,1,MATCH(COLUMNS($P$1006:P1006),$P$1006:$S$1006,0)))),"Fix")))</f>
        <v>0</v>
      </c>
      <c r="C757" s="3">
        <f>IF(OR(INDEX($J$2:$J$1001,MATCH(ROWS($I$2:I757),$I$2:$I$1001,0),1)&gt;=100000,INDEX($P$1005:$S$1005,1,MATCH(COLUMNS($P$1006:Q1006),$P$1006:$S$1006,0))&gt;=100000), " ",IF(INDEX($P$2:$S$1001,MATCH(ROWS($I$2:I757),$I$2:$I$1001,0),MATCH(COLUMNS($P$1006:Q1006),$P$1006:$S$1006,0)), HYPERLINK("#",""), HYPERLINK(CONCATENATE("#metadata!", ADDRESS(INDEX($K$2:$K$1001,MATCH(ROWS($I$2:I757),$I$2:$I$1001,0),0), INDEX($P$1004:$S$1004,1,MATCH(COLUMNS($P$1006:Q1006),$P$1006:$S$1006,0)))),"Fix")))</f>
        <v>0</v>
      </c>
      <c r="D757" s="3">
        <f>IF(OR(INDEX($J$2:$J$1001,MATCH(ROWS($I$2:I757),$I$2:$I$1001,0),1)&gt;=100000,INDEX($P$1005:$S$1005,1,MATCH(COLUMNS($P$1006:R1006),$P$1006:$S$1006,0))&gt;=100000), " ",IF(INDEX($P$2:$S$1001,MATCH(ROWS($I$2:I757),$I$2:$I$1001,0),MATCH(COLUMNS($P$1006:R1006),$P$1006:$S$1006,0)), HYPERLINK("#",""), HYPERLINK(CONCATENATE("#metadata!", ADDRESS(INDEX($K$2:$K$1001,MATCH(ROWS($I$2:I757),$I$2:$I$1001,0),0), INDEX($P$1004:$S$1004,1,MATCH(COLUMNS($P$1006:R1006),$P$1006:$S$1006,0)))),"Fix")))</f>
        <v>0</v>
      </c>
      <c r="E757" s="3">
        <f>IF(OR(INDEX($J$2:$J$1001,MATCH(ROWS($I$2:I757),$I$2:$I$1001,0),1)&gt;=100000,INDEX($P$1005:$S$1005,1,MATCH(COLUMNS($P$1006:S1006),$P$1006:$S$1006,0))&gt;=100000), " ",IF(INDEX($P$2:$S$1001,MATCH(ROWS($I$2:I757),$I$2:$I$1001,0),MATCH(COLUMNS($P$1006:S1006),$P$1006:$S$1006,0)), HYPERLINK("#",""), HYPERLINK(CONCATENATE("#metadata!", ADDRESS(INDEX($K$2:$K$1001,MATCH(ROWS($I$2:I757),$I$2:$I$1001,0),0), INDEX($P$1004:$S$1004,1,MATCH(COLUMNS($P$1006:S1006),$P$1006:$S$1006,0)))),"Fix")))</f>
        <v>0</v>
      </c>
      <c r="I757">
        <v>0</v>
      </c>
      <c r="J757">
        <v>0</v>
      </c>
      <c r="K757">
        <v>0</v>
      </c>
      <c r="L757">
        <f>IF(M757,TRUE,AND(P757:S757))</f>
        <v>0</v>
      </c>
      <c r="M757">
        <f>COUNTBLANK(metadata!B757:E757)=COLUMNS(metadata!B757:E757)</f>
        <v>0</v>
      </c>
      <c r="N757">
        <v>0</v>
      </c>
      <c r="P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Q757">
        <f>AND(IF(metadata!C757="",FALSE,TRUE),exact(metadata!C757,"other"))</f>
        <v>0</v>
      </c>
      <c r="R757">
        <f>AND(IF(metadata!D757="",FALSE,TRUE),exact(metadata!D757,"metagenome"))</f>
        <v>0</v>
      </c>
      <c r="S757">
        <f>AND(IF(metadata!E757="",FALSE,TRUE),exact(metadata!E757,"256318"))</f>
        <v>0</v>
      </c>
    </row>
    <row r="758" spans="1:19">
      <c r="A758" s="4">
        <f>IF(B758=" "," ",HYPERLINK(CONCATENATE("#metadata!",ADDRESS(INDEX($K$2:$K$1001,MATCH(ROWS($I$2:I758),$I$2:$I$1001,0),0),1)),INDEX($N$2:$N$1001,MATCH(ROWS($I$2:I758),$I$2:$I$1001,0),0)))</f>
        <v>0</v>
      </c>
      <c r="B758" s="3">
        <f>IF(OR(INDEX($J$2:$J$1001,MATCH(ROWS($I$2:I758),$I$2:$I$1001,0),1)&gt;=100000,INDEX($P$1005:$S$1005,1,MATCH(COLUMNS($P$1006:P1006),$P$1006:$S$1006,0))&gt;=100000), " ",IF(INDEX($P$2:$S$1001,MATCH(ROWS($I$2:I758),$I$2:$I$1001,0),MATCH(COLUMNS($P$1006:P1006),$P$1006:$S$1006,0)), HYPERLINK("#",""), HYPERLINK(CONCATENATE("#metadata!", ADDRESS(INDEX($K$2:$K$1001,MATCH(ROWS($I$2:I758),$I$2:$I$1001,0),0), INDEX($P$1004:$S$1004,1,MATCH(COLUMNS($P$1006:P1006),$P$1006:$S$1006,0)))),"Fix")))</f>
        <v>0</v>
      </c>
      <c r="C758" s="3">
        <f>IF(OR(INDEX($J$2:$J$1001,MATCH(ROWS($I$2:I758),$I$2:$I$1001,0),1)&gt;=100000,INDEX($P$1005:$S$1005,1,MATCH(COLUMNS($P$1006:Q1006),$P$1006:$S$1006,0))&gt;=100000), " ",IF(INDEX($P$2:$S$1001,MATCH(ROWS($I$2:I758),$I$2:$I$1001,0),MATCH(COLUMNS($P$1006:Q1006),$P$1006:$S$1006,0)), HYPERLINK("#",""), HYPERLINK(CONCATENATE("#metadata!", ADDRESS(INDEX($K$2:$K$1001,MATCH(ROWS($I$2:I758),$I$2:$I$1001,0),0), INDEX($P$1004:$S$1004,1,MATCH(COLUMNS($P$1006:Q1006),$P$1006:$S$1006,0)))),"Fix")))</f>
        <v>0</v>
      </c>
      <c r="D758" s="3">
        <f>IF(OR(INDEX($J$2:$J$1001,MATCH(ROWS($I$2:I758),$I$2:$I$1001,0),1)&gt;=100000,INDEX($P$1005:$S$1005,1,MATCH(COLUMNS($P$1006:R1006),$P$1006:$S$1006,0))&gt;=100000), " ",IF(INDEX($P$2:$S$1001,MATCH(ROWS($I$2:I758),$I$2:$I$1001,0),MATCH(COLUMNS($P$1006:R1006),$P$1006:$S$1006,0)), HYPERLINK("#",""), HYPERLINK(CONCATENATE("#metadata!", ADDRESS(INDEX($K$2:$K$1001,MATCH(ROWS($I$2:I758),$I$2:$I$1001,0),0), INDEX($P$1004:$S$1004,1,MATCH(COLUMNS($P$1006:R1006),$P$1006:$S$1006,0)))),"Fix")))</f>
        <v>0</v>
      </c>
      <c r="E758" s="3">
        <f>IF(OR(INDEX($J$2:$J$1001,MATCH(ROWS($I$2:I758),$I$2:$I$1001,0),1)&gt;=100000,INDEX($P$1005:$S$1005,1,MATCH(COLUMNS($P$1006:S1006),$P$1006:$S$1006,0))&gt;=100000), " ",IF(INDEX($P$2:$S$1001,MATCH(ROWS($I$2:I758),$I$2:$I$1001,0),MATCH(COLUMNS($P$1006:S1006),$P$1006:$S$1006,0)), HYPERLINK("#",""), HYPERLINK(CONCATENATE("#metadata!", ADDRESS(INDEX($K$2:$K$1001,MATCH(ROWS($I$2:I758),$I$2:$I$1001,0),0), INDEX($P$1004:$S$1004,1,MATCH(COLUMNS($P$1006:S1006),$P$1006:$S$1006,0)))),"Fix")))</f>
        <v>0</v>
      </c>
      <c r="I758">
        <v>0</v>
      </c>
      <c r="J758">
        <v>0</v>
      </c>
      <c r="K758">
        <v>0</v>
      </c>
      <c r="L758">
        <f>IF(M758,TRUE,AND(P758:S758))</f>
        <v>0</v>
      </c>
      <c r="M758">
        <f>COUNTBLANK(metadata!B758:E758)=COLUMNS(metadata!B758:E758)</f>
        <v>0</v>
      </c>
      <c r="N758">
        <v>0</v>
      </c>
      <c r="P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Q758">
        <f>AND(IF(metadata!C758="",FALSE,TRUE),exact(metadata!C758,"other"))</f>
        <v>0</v>
      </c>
      <c r="R758">
        <f>AND(IF(metadata!D758="",FALSE,TRUE),exact(metadata!D758,"metagenome"))</f>
        <v>0</v>
      </c>
      <c r="S758">
        <f>AND(IF(metadata!E758="",FALSE,TRUE),exact(metadata!E758,"256318"))</f>
        <v>0</v>
      </c>
    </row>
    <row r="759" spans="1:19">
      <c r="A759" s="4">
        <f>IF(B759=" "," ",HYPERLINK(CONCATENATE("#metadata!",ADDRESS(INDEX($K$2:$K$1001,MATCH(ROWS($I$2:I759),$I$2:$I$1001,0),0),1)),INDEX($N$2:$N$1001,MATCH(ROWS($I$2:I759),$I$2:$I$1001,0),0)))</f>
        <v>0</v>
      </c>
      <c r="B759" s="3">
        <f>IF(OR(INDEX($J$2:$J$1001,MATCH(ROWS($I$2:I759),$I$2:$I$1001,0),1)&gt;=100000,INDEX($P$1005:$S$1005,1,MATCH(COLUMNS($P$1006:P1006),$P$1006:$S$1006,0))&gt;=100000), " ",IF(INDEX($P$2:$S$1001,MATCH(ROWS($I$2:I759),$I$2:$I$1001,0),MATCH(COLUMNS($P$1006:P1006),$P$1006:$S$1006,0)), HYPERLINK("#",""), HYPERLINK(CONCATENATE("#metadata!", ADDRESS(INDEX($K$2:$K$1001,MATCH(ROWS($I$2:I759),$I$2:$I$1001,0),0), INDEX($P$1004:$S$1004,1,MATCH(COLUMNS($P$1006:P1006),$P$1006:$S$1006,0)))),"Fix")))</f>
        <v>0</v>
      </c>
      <c r="C759" s="3">
        <f>IF(OR(INDEX($J$2:$J$1001,MATCH(ROWS($I$2:I759),$I$2:$I$1001,0),1)&gt;=100000,INDEX($P$1005:$S$1005,1,MATCH(COLUMNS($P$1006:Q1006),$P$1006:$S$1006,0))&gt;=100000), " ",IF(INDEX($P$2:$S$1001,MATCH(ROWS($I$2:I759),$I$2:$I$1001,0),MATCH(COLUMNS($P$1006:Q1006),$P$1006:$S$1006,0)), HYPERLINK("#",""), HYPERLINK(CONCATENATE("#metadata!", ADDRESS(INDEX($K$2:$K$1001,MATCH(ROWS($I$2:I759),$I$2:$I$1001,0),0), INDEX($P$1004:$S$1004,1,MATCH(COLUMNS($P$1006:Q1006),$P$1006:$S$1006,0)))),"Fix")))</f>
        <v>0</v>
      </c>
      <c r="D759" s="3">
        <f>IF(OR(INDEX($J$2:$J$1001,MATCH(ROWS($I$2:I759),$I$2:$I$1001,0),1)&gt;=100000,INDEX($P$1005:$S$1005,1,MATCH(COLUMNS($P$1006:R1006),$P$1006:$S$1006,0))&gt;=100000), " ",IF(INDEX($P$2:$S$1001,MATCH(ROWS($I$2:I759),$I$2:$I$1001,0),MATCH(COLUMNS($P$1006:R1006),$P$1006:$S$1006,0)), HYPERLINK("#",""), HYPERLINK(CONCATENATE("#metadata!", ADDRESS(INDEX($K$2:$K$1001,MATCH(ROWS($I$2:I759),$I$2:$I$1001,0),0), INDEX($P$1004:$S$1004,1,MATCH(COLUMNS($P$1006:R1006),$P$1006:$S$1006,0)))),"Fix")))</f>
        <v>0</v>
      </c>
      <c r="E759" s="3">
        <f>IF(OR(INDEX($J$2:$J$1001,MATCH(ROWS($I$2:I759),$I$2:$I$1001,0),1)&gt;=100000,INDEX($P$1005:$S$1005,1,MATCH(COLUMNS($P$1006:S1006),$P$1006:$S$1006,0))&gt;=100000), " ",IF(INDEX($P$2:$S$1001,MATCH(ROWS($I$2:I759),$I$2:$I$1001,0),MATCH(COLUMNS($P$1006:S1006),$P$1006:$S$1006,0)), HYPERLINK("#",""), HYPERLINK(CONCATENATE("#metadata!", ADDRESS(INDEX($K$2:$K$1001,MATCH(ROWS($I$2:I759),$I$2:$I$1001,0),0), INDEX($P$1004:$S$1004,1,MATCH(COLUMNS($P$1006:S1006),$P$1006:$S$1006,0)))),"Fix")))</f>
        <v>0</v>
      </c>
      <c r="I759">
        <v>0</v>
      </c>
      <c r="J759">
        <v>0</v>
      </c>
      <c r="K759">
        <v>0</v>
      </c>
      <c r="L759">
        <f>IF(M759,TRUE,AND(P759:S759))</f>
        <v>0</v>
      </c>
      <c r="M759">
        <f>COUNTBLANK(metadata!B759:E759)=COLUMNS(metadata!B759:E759)</f>
        <v>0</v>
      </c>
      <c r="N759">
        <v>0</v>
      </c>
      <c r="P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Q759">
        <f>AND(IF(metadata!C759="",FALSE,TRUE),exact(metadata!C759,"other"))</f>
        <v>0</v>
      </c>
      <c r="R759">
        <f>AND(IF(metadata!D759="",FALSE,TRUE),exact(metadata!D759,"metagenome"))</f>
        <v>0</v>
      </c>
      <c r="S759">
        <f>AND(IF(metadata!E759="",FALSE,TRUE),exact(metadata!E759,"256318"))</f>
        <v>0</v>
      </c>
    </row>
    <row r="760" spans="1:19">
      <c r="A760" s="4">
        <f>IF(B760=" "," ",HYPERLINK(CONCATENATE("#metadata!",ADDRESS(INDEX($K$2:$K$1001,MATCH(ROWS($I$2:I760),$I$2:$I$1001,0),0),1)),INDEX($N$2:$N$1001,MATCH(ROWS($I$2:I760),$I$2:$I$1001,0),0)))</f>
        <v>0</v>
      </c>
      <c r="B760" s="3">
        <f>IF(OR(INDEX($J$2:$J$1001,MATCH(ROWS($I$2:I760),$I$2:$I$1001,0),1)&gt;=100000,INDEX($P$1005:$S$1005,1,MATCH(COLUMNS($P$1006:P1006),$P$1006:$S$1006,0))&gt;=100000), " ",IF(INDEX($P$2:$S$1001,MATCH(ROWS($I$2:I760),$I$2:$I$1001,0),MATCH(COLUMNS($P$1006:P1006),$P$1006:$S$1006,0)), HYPERLINK("#",""), HYPERLINK(CONCATENATE("#metadata!", ADDRESS(INDEX($K$2:$K$1001,MATCH(ROWS($I$2:I760),$I$2:$I$1001,0),0), INDEX($P$1004:$S$1004,1,MATCH(COLUMNS($P$1006:P1006),$P$1006:$S$1006,0)))),"Fix")))</f>
        <v>0</v>
      </c>
      <c r="C760" s="3">
        <f>IF(OR(INDEX($J$2:$J$1001,MATCH(ROWS($I$2:I760),$I$2:$I$1001,0),1)&gt;=100000,INDEX($P$1005:$S$1005,1,MATCH(COLUMNS($P$1006:Q1006),$P$1006:$S$1006,0))&gt;=100000), " ",IF(INDEX($P$2:$S$1001,MATCH(ROWS($I$2:I760),$I$2:$I$1001,0),MATCH(COLUMNS($P$1006:Q1006),$P$1006:$S$1006,0)), HYPERLINK("#",""), HYPERLINK(CONCATENATE("#metadata!", ADDRESS(INDEX($K$2:$K$1001,MATCH(ROWS($I$2:I760),$I$2:$I$1001,0),0), INDEX($P$1004:$S$1004,1,MATCH(COLUMNS($P$1006:Q1006),$P$1006:$S$1006,0)))),"Fix")))</f>
        <v>0</v>
      </c>
      <c r="D760" s="3">
        <f>IF(OR(INDEX($J$2:$J$1001,MATCH(ROWS($I$2:I760),$I$2:$I$1001,0),1)&gt;=100000,INDEX($P$1005:$S$1005,1,MATCH(COLUMNS($P$1006:R1006),$P$1006:$S$1006,0))&gt;=100000), " ",IF(INDEX($P$2:$S$1001,MATCH(ROWS($I$2:I760),$I$2:$I$1001,0),MATCH(COLUMNS($P$1006:R1006),$P$1006:$S$1006,0)), HYPERLINK("#",""), HYPERLINK(CONCATENATE("#metadata!", ADDRESS(INDEX($K$2:$K$1001,MATCH(ROWS($I$2:I760),$I$2:$I$1001,0),0), INDEX($P$1004:$S$1004,1,MATCH(COLUMNS($P$1006:R1006),$P$1006:$S$1006,0)))),"Fix")))</f>
        <v>0</v>
      </c>
      <c r="E760" s="3">
        <f>IF(OR(INDEX($J$2:$J$1001,MATCH(ROWS($I$2:I760),$I$2:$I$1001,0),1)&gt;=100000,INDEX($P$1005:$S$1005,1,MATCH(COLUMNS($P$1006:S1006),$P$1006:$S$1006,0))&gt;=100000), " ",IF(INDEX($P$2:$S$1001,MATCH(ROWS($I$2:I760),$I$2:$I$1001,0),MATCH(COLUMNS($P$1006:S1006),$P$1006:$S$1006,0)), HYPERLINK("#",""), HYPERLINK(CONCATENATE("#metadata!", ADDRESS(INDEX($K$2:$K$1001,MATCH(ROWS($I$2:I760),$I$2:$I$1001,0),0), INDEX($P$1004:$S$1004,1,MATCH(COLUMNS($P$1006:S1006),$P$1006:$S$1006,0)))),"Fix")))</f>
        <v>0</v>
      </c>
      <c r="I760">
        <v>0</v>
      </c>
      <c r="J760">
        <v>0</v>
      </c>
      <c r="K760">
        <v>0</v>
      </c>
      <c r="L760">
        <f>IF(M760,TRUE,AND(P760:S760))</f>
        <v>0</v>
      </c>
      <c r="M760">
        <f>COUNTBLANK(metadata!B760:E760)=COLUMNS(metadata!B760:E760)</f>
        <v>0</v>
      </c>
      <c r="N760">
        <v>0</v>
      </c>
      <c r="P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Q760">
        <f>AND(IF(metadata!C760="",FALSE,TRUE),exact(metadata!C760,"other"))</f>
        <v>0</v>
      </c>
      <c r="R760">
        <f>AND(IF(metadata!D760="",FALSE,TRUE),exact(metadata!D760,"metagenome"))</f>
        <v>0</v>
      </c>
      <c r="S760">
        <f>AND(IF(metadata!E760="",FALSE,TRUE),exact(metadata!E760,"256318"))</f>
        <v>0</v>
      </c>
    </row>
    <row r="761" spans="1:19">
      <c r="A761" s="4">
        <f>IF(B761=" "," ",HYPERLINK(CONCATENATE("#metadata!",ADDRESS(INDEX($K$2:$K$1001,MATCH(ROWS($I$2:I761),$I$2:$I$1001,0),0),1)),INDEX($N$2:$N$1001,MATCH(ROWS($I$2:I761),$I$2:$I$1001,0),0)))</f>
        <v>0</v>
      </c>
      <c r="B761" s="3">
        <f>IF(OR(INDEX($J$2:$J$1001,MATCH(ROWS($I$2:I761),$I$2:$I$1001,0),1)&gt;=100000,INDEX($P$1005:$S$1005,1,MATCH(COLUMNS($P$1006:P1006),$P$1006:$S$1006,0))&gt;=100000), " ",IF(INDEX($P$2:$S$1001,MATCH(ROWS($I$2:I761),$I$2:$I$1001,0),MATCH(COLUMNS($P$1006:P1006),$P$1006:$S$1006,0)), HYPERLINK("#",""), HYPERLINK(CONCATENATE("#metadata!", ADDRESS(INDEX($K$2:$K$1001,MATCH(ROWS($I$2:I761),$I$2:$I$1001,0),0), INDEX($P$1004:$S$1004,1,MATCH(COLUMNS($P$1006:P1006),$P$1006:$S$1006,0)))),"Fix")))</f>
        <v>0</v>
      </c>
      <c r="C761" s="3">
        <f>IF(OR(INDEX($J$2:$J$1001,MATCH(ROWS($I$2:I761),$I$2:$I$1001,0),1)&gt;=100000,INDEX($P$1005:$S$1005,1,MATCH(COLUMNS($P$1006:Q1006),$P$1006:$S$1006,0))&gt;=100000), " ",IF(INDEX($P$2:$S$1001,MATCH(ROWS($I$2:I761),$I$2:$I$1001,0),MATCH(COLUMNS($P$1006:Q1006),$P$1006:$S$1006,0)), HYPERLINK("#",""), HYPERLINK(CONCATENATE("#metadata!", ADDRESS(INDEX($K$2:$K$1001,MATCH(ROWS($I$2:I761),$I$2:$I$1001,0),0), INDEX($P$1004:$S$1004,1,MATCH(COLUMNS($P$1006:Q1006),$P$1006:$S$1006,0)))),"Fix")))</f>
        <v>0</v>
      </c>
      <c r="D761" s="3">
        <f>IF(OR(INDEX($J$2:$J$1001,MATCH(ROWS($I$2:I761),$I$2:$I$1001,0),1)&gt;=100000,INDEX($P$1005:$S$1005,1,MATCH(COLUMNS($P$1006:R1006),$P$1006:$S$1006,0))&gt;=100000), " ",IF(INDEX($P$2:$S$1001,MATCH(ROWS($I$2:I761),$I$2:$I$1001,0),MATCH(COLUMNS($P$1006:R1006),$P$1006:$S$1006,0)), HYPERLINK("#",""), HYPERLINK(CONCATENATE("#metadata!", ADDRESS(INDEX($K$2:$K$1001,MATCH(ROWS($I$2:I761),$I$2:$I$1001,0),0), INDEX($P$1004:$S$1004,1,MATCH(COLUMNS($P$1006:R1006),$P$1006:$S$1006,0)))),"Fix")))</f>
        <v>0</v>
      </c>
      <c r="E761" s="3">
        <f>IF(OR(INDEX($J$2:$J$1001,MATCH(ROWS($I$2:I761),$I$2:$I$1001,0),1)&gt;=100000,INDEX($P$1005:$S$1005,1,MATCH(COLUMNS($P$1006:S1006),$P$1006:$S$1006,0))&gt;=100000), " ",IF(INDEX($P$2:$S$1001,MATCH(ROWS($I$2:I761),$I$2:$I$1001,0),MATCH(COLUMNS($P$1006:S1006),$P$1006:$S$1006,0)), HYPERLINK("#",""), HYPERLINK(CONCATENATE("#metadata!", ADDRESS(INDEX($K$2:$K$1001,MATCH(ROWS($I$2:I761),$I$2:$I$1001,0),0), INDEX($P$1004:$S$1004,1,MATCH(COLUMNS($P$1006:S1006),$P$1006:$S$1006,0)))),"Fix")))</f>
        <v>0</v>
      </c>
      <c r="I761">
        <v>0</v>
      </c>
      <c r="J761">
        <v>0</v>
      </c>
      <c r="K761">
        <v>0</v>
      </c>
      <c r="L761">
        <f>IF(M761,TRUE,AND(P761:S761))</f>
        <v>0</v>
      </c>
      <c r="M761">
        <f>COUNTBLANK(metadata!B761:E761)=COLUMNS(metadata!B761:E761)</f>
        <v>0</v>
      </c>
      <c r="N761">
        <v>0</v>
      </c>
      <c r="P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Q761">
        <f>AND(IF(metadata!C761="",FALSE,TRUE),exact(metadata!C761,"other"))</f>
        <v>0</v>
      </c>
      <c r="R761">
        <f>AND(IF(metadata!D761="",FALSE,TRUE),exact(metadata!D761,"metagenome"))</f>
        <v>0</v>
      </c>
      <c r="S761">
        <f>AND(IF(metadata!E761="",FALSE,TRUE),exact(metadata!E761,"256318"))</f>
        <v>0</v>
      </c>
    </row>
    <row r="762" spans="1:19">
      <c r="A762" s="4">
        <f>IF(B762=" "," ",HYPERLINK(CONCATENATE("#metadata!",ADDRESS(INDEX($K$2:$K$1001,MATCH(ROWS($I$2:I762),$I$2:$I$1001,0),0),1)),INDEX($N$2:$N$1001,MATCH(ROWS($I$2:I762),$I$2:$I$1001,0),0)))</f>
        <v>0</v>
      </c>
      <c r="B762" s="3">
        <f>IF(OR(INDEX($J$2:$J$1001,MATCH(ROWS($I$2:I762),$I$2:$I$1001,0),1)&gt;=100000,INDEX($P$1005:$S$1005,1,MATCH(COLUMNS($P$1006:P1006),$P$1006:$S$1006,0))&gt;=100000), " ",IF(INDEX($P$2:$S$1001,MATCH(ROWS($I$2:I762),$I$2:$I$1001,0),MATCH(COLUMNS($P$1006:P1006),$P$1006:$S$1006,0)), HYPERLINK("#",""), HYPERLINK(CONCATENATE("#metadata!", ADDRESS(INDEX($K$2:$K$1001,MATCH(ROWS($I$2:I762),$I$2:$I$1001,0),0), INDEX($P$1004:$S$1004,1,MATCH(COLUMNS($P$1006:P1006),$P$1006:$S$1006,0)))),"Fix")))</f>
        <v>0</v>
      </c>
      <c r="C762" s="3">
        <f>IF(OR(INDEX($J$2:$J$1001,MATCH(ROWS($I$2:I762),$I$2:$I$1001,0),1)&gt;=100000,INDEX($P$1005:$S$1005,1,MATCH(COLUMNS($P$1006:Q1006),$P$1006:$S$1006,0))&gt;=100000), " ",IF(INDEX($P$2:$S$1001,MATCH(ROWS($I$2:I762),$I$2:$I$1001,0),MATCH(COLUMNS($P$1006:Q1006),$P$1006:$S$1006,0)), HYPERLINK("#",""), HYPERLINK(CONCATENATE("#metadata!", ADDRESS(INDEX($K$2:$K$1001,MATCH(ROWS($I$2:I762),$I$2:$I$1001,0),0), INDEX($P$1004:$S$1004,1,MATCH(COLUMNS($P$1006:Q1006),$P$1006:$S$1006,0)))),"Fix")))</f>
        <v>0</v>
      </c>
      <c r="D762" s="3">
        <f>IF(OR(INDEX($J$2:$J$1001,MATCH(ROWS($I$2:I762),$I$2:$I$1001,0),1)&gt;=100000,INDEX($P$1005:$S$1005,1,MATCH(COLUMNS($P$1006:R1006),$P$1006:$S$1006,0))&gt;=100000), " ",IF(INDEX($P$2:$S$1001,MATCH(ROWS($I$2:I762),$I$2:$I$1001,0),MATCH(COLUMNS($P$1006:R1006),$P$1006:$S$1006,0)), HYPERLINK("#",""), HYPERLINK(CONCATENATE("#metadata!", ADDRESS(INDEX($K$2:$K$1001,MATCH(ROWS($I$2:I762),$I$2:$I$1001,0),0), INDEX($P$1004:$S$1004,1,MATCH(COLUMNS($P$1006:R1006),$P$1006:$S$1006,0)))),"Fix")))</f>
        <v>0</v>
      </c>
      <c r="E762" s="3">
        <f>IF(OR(INDEX($J$2:$J$1001,MATCH(ROWS($I$2:I762),$I$2:$I$1001,0),1)&gt;=100000,INDEX($P$1005:$S$1005,1,MATCH(COLUMNS($P$1006:S1006),$P$1006:$S$1006,0))&gt;=100000), " ",IF(INDEX($P$2:$S$1001,MATCH(ROWS($I$2:I762),$I$2:$I$1001,0),MATCH(COLUMNS($P$1006:S1006),$P$1006:$S$1006,0)), HYPERLINK("#",""), HYPERLINK(CONCATENATE("#metadata!", ADDRESS(INDEX($K$2:$K$1001,MATCH(ROWS($I$2:I762),$I$2:$I$1001,0),0), INDEX($P$1004:$S$1004,1,MATCH(COLUMNS($P$1006:S1006),$P$1006:$S$1006,0)))),"Fix")))</f>
        <v>0</v>
      </c>
      <c r="I762">
        <v>0</v>
      </c>
      <c r="J762">
        <v>0</v>
      </c>
      <c r="K762">
        <v>0</v>
      </c>
      <c r="L762">
        <f>IF(M762,TRUE,AND(P762:S762))</f>
        <v>0</v>
      </c>
      <c r="M762">
        <f>COUNTBLANK(metadata!B762:E762)=COLUMNS(metadata!B762:E762)</f>
        <v>0</v>
      </c>
      <c r="N762">
        <v>0</v>
      </c>
      <c r="P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Q762">
        <f>AND(IF(metadata!C762="",FALSE,TRUE),exact(metadata!C762,"other"))</f>
        <v>0</v>
      </c>
      <c r="R762">
        <f>AND(IF(metadata!D762="",FALSE,TRUE),exact(metadata!D762,"metagenome"))</f>
        <v>0</v>
      </c>
      <c r="S762">
        <f>AND(IF(metadata!E762="",FALSE,TRUE),exact(metadata!E762,"256318"))</f>
        <v>0</v>
      </c>
    </row>
    <row r="763" spans="1:19">
      <c r="A763" s="4">
        <f>IF(B763=" "," ",HYPERLINK(CONCATENATE("#metadata!",ADDRESS(INDEX($K$2:$K$1001,MATCH(ROWS($I$2:I763),$I$2:$I$1001,0),0),1)),INDEX($N$2:$N$1001,MATCH(ROWS($I$2:I763),$I$2:$I$1001,0),0)))</f>
        <v>0</v>
      </c>
      <c r="B763" s="3">
        <f>IF(OR(INDEX($J$2:$J$1001,MATCH(ROWS($I$2:I763),$I$2:$I$1001,0),1)&gt;=100000,INDEX($P$1005:$S$1005,1,MATCH(COLUMNS($P$1006:P1006),$P$1006:$S$1006,0))&gt;=100000), " ",IF(INDEX($P$2:$S$1001,MATCH(ROWS($I$2:I763),$I$2:$I$1001,0),MATCH(COLUMNS($P$1006:P1006),$P$1006:$S$1006,0)), HYPERLINK("#",""), HYPERLINK(CONCATENATE("#metadata!", ADDRESS(INDEX($K$2:$K$1001,MATCH(ROWS($I$2:I763),$I$2:$I$1001,0),0), INDEX($P$1004:$S$1004,1,MATCH(COLUMNS($P$1006:P1006),$P$1006:$S$1006,0)))),"Fix")))</f>
        <v>0</v>
      </c>
      <c r="C763" s="3">
        <f>IF(OR(INDEX($J$2:$J$1001,MATCH(ROWS($I$2:I763),$I$2:$I$1001,0),1)&gt;=100000,INDEX($P$1005:$S$1005,1,MATCH(COLUMNS($P$1006:Q1006),$P$1006:$S$1006,0))&gt;=100000), " ",IF(INDEX($P$2:$S$1001,MATCH(ROWS($I$2:I763),$I$2:$I$1001,0),MATCH(COLUMNS($P$1006:Q1006),$P$1006:$S$1006,0)), HYPERLINK("#",""), HYPERLINK(CONCATENATE("#metadata!", ADDRESS(INDEX($K$2:$K$1001,MATCH(ROWS($I$2:I763),$I$2:$I$1001,0),0), INDEX($P$1004:$S$1004,1,MATCH(COLUMNS($P$1006:Q1006),$P$1006:$S$1006,0)))),"Fix")))</f>
        <v>0</v>
      </c>
      <c r="D763" s="3">
        <f>IF(OR(INDEX($J$2:$J$1001,MATCH(ROWS($I$2:I763),$I$2:$I$1001,0),1)&gt;=100000,INDEX($P$1005:$S$1005,1,MATCH(COLUMNS($P$1006:R1006),$P$1006:$S$1006,0))&gt;=100000), " ",IF(INDEX($P$2:$S$1001,MATCH(ROWS($I$2:I763),$I$2:$I$1001,0),MATCH(COLUMNS($P$1006:R1006),$P$1006:$S$1006,0)), HYPERLINK("#",""), HYPERLINK(CONCATENATE("#metadata!", ADDRESS(INDEX($K$2:$K$1001,MATCH(ROWS($I$2:I763),$I$2:$I$1001,0),0), INDEX($P$1004:$S$1004,1,MATCH(COLUMNS($P$1006:R1006),$P$1006:$S$1006,0)))),"Fix")))</f>
        <v>0</v>
      </c>
      <c r="E763" s="3">
        <f>IF(OR(INDEX($J$2:$J$1001,MATCH(ROWS($I$2:I763),$I$2:$I$1001,0),1)&gt;=100000,INDEX($P$1005:$S$1005,1,MATCH(COLUMNS($P$1006:S1006),$P$1006:$S$1006,0))&gt;=100000), " ",IF(INDEX($P$2:$S$1001,MATCH(ROWS($I$2:I763),$I$2:$I$1001,0),MATCH(COLUMNS($P$1006:S1006),$P$1006:$S$1006,0)), HYPERLINK("#",""), HYPERLINK(CONCATENATE("#metadata!", ADDRESS(INDEX($K$2:$K$1001,MATCH(ROWS($I$2:I763),$I$2:$I$1001,0),0), INDEX($P$1004:$S$1004,1,MATCH(COLUMNS($P$1006:S1006),$P$1006:$S$1006,0)))),"Fix")))</f>
        <v>0</v>
      </c>
      <c r="I763">
        <v>0</v>
      </c>
      <c r="J763">
        <v>0</v>
      </c>
      <c r="K763">
        <v>0</v>
      </c>
      <c r="L763">
        <f>IF(M763,TRUE,AND(P763:S763))</f>
        <v>0</v>
      </c>
      <c r="M763">
        <f>COUNTBLANK(metadata!B763:E763)=COLUMNS(metadata!B763:E763)</f>
        <v>0</v>
      </c>
      <c r="N763">
        <v>0</v>
      </c>
      <c r="P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Q763">
        <f>AND(IF(metadata!C763="",FALSE,TRUE),exact(metadata!C763,"other"))</f>
        <v>0</v>
      </c>
      <c r="R763">
        <f>AND(IF(metadata!D763="",FALSE,TRUE),exact(metadata!D763,"metagenome"))</f>
        <v>0</v>
      </c>
      <c r="S763">
        <f>AND(IF(metadata!E763="",FALSE,TRUE),exact(metadata!E763,"256318"))</f>
        <v>0</v>
      </c>
    </row>
    <row r="764" spans="1:19">
      <c r="A764" s="4">
        <f>IF(B764=" "," ",HYPERLINK(CONCATENATE("#metadata!",ADDRESS(INDEX($K$2:$K$1001,MATCH(ROWS($I$2:I764),$I$2:$I$1001,0),0),1)),INDEX($N$2:$N$1001,MATCH(ROWS($I$2:I764),$I$2:$I$1001,0),0)))</f>
        <v>0</v>
      </c>
      <c r="B764" s="3">
        <f>IF(OR(INDEX($J$2:$J$1001,MATCH(ROWS($I$2:I764),$I$2:$I$1001,0),1)&gt;=100000,INDEX($P$1005:$S$1005,1,MATCH(COLUMNS($P$1006:P1006),$P$1006:$S$1006,0))&gt;=100000), " ",IF(INDEX($P$2:$S$1001,MATCH(ROWS($I$2:I764),$I$2:$I$1001,0),MATCH(COLUMNS($P$1006:P1006),$P$1006:$S$1006,0)), HYPERLINK("#",""), HYPERLINK(CONCATENATE("#metadata!", ADDRESS(INDEX($K$2:$K$1001,MATCH(ROWS($I$2:I764),$I$2:$I$1001,0),0), INDEX($P$1004:$S$1004,1,MATCH(COLUMNS($P$1006:P1006),$P$1006:$S$1006,0)))),"Fix")))</f>
        <v>0</v>
      </c>
      <c r="C764" s="3">
        <f>IF(OR(INDEX($J$2:$J$1001,MATCH(ROWS($I$2:I764),$I$2:$I$1001,0),1)&gt;=100000,INDEX($P$1005:$S$1005,1,MATCH(COLUMNS($P$1006:Q1006),$P$1006:$S$1006,0))&gt;=100000), " ",IF(INDEX($P$2:$S$1001,MATCH(ROWS($I$2:I764),$I$2:$I$1001,0),MATCH(COLUMNS($P$1006:Q1006),$P$1006:$S$1006,0)), HYPERLINK("#",""), HYPERLINK(CONCATENATE("#metadata!", ADDRESS(INDEX($K$2:$K$1001,MATCH(ROWS($I$2:I764),$I$2:$I$1001,0),0), INDEX($P$1004:$S$1004,1,MATCH(COLUMNS($P$1006:Q1006),$P$1006:$S$1006,0)))),"Fix")))</f>
        <v>0</v>
      </c>
      <c r="D764" s="3">
        <f>IF(OR(INDEX($J$2:$J$1001,MATCH(ROWS($I$2:I764),$I$2:$I$1001,0),1)&gt;=100000,INDEX($P$1005:$S$1005,1,MATCH(COLUMNS($P$1006:R1006),$P$1006:$S$1006,0))&gt;=100000), " ",IF(INDEX($P$2:$S$1001,MATCH(ROWS($I$2:I764),$I$2:$I$1001,0),MATCH(COLUMNS($P$1006:R1006),$P$1006:$S$1006,0)), HYPERLINK("#",""), HYPERLINK(CONCATENATE("#metadata!", ADDRESS(INDEX($K$2:$K$1001,MATCH(ROWS($I$2:I764),$I$2:$I$1001,0),0), INDEX($P$1004:$S$1004,1,MATCH(COLUMNS($P$1006:R1006),$P$1006:$S$1006,0)))),"Fix")))</f>
        <v>0</v>
      </c>
      <c r="E764" s="3">
        <f>IF(OR(INDEX($J$2:$J$1001,MATCH(ROWS($I$2:I764),$I$2:$I$1001,0),1)&gt;=100000,INDEX($P$1005:$S$1005,1,MATCH(COLUMNS($P$1006:S1006),$P$1006:$S$1006,0))&gt;=100000), " ",IF(INDEX($P$2:$S$1001,MATCH(ROWS($I$2:I764),$I$2:$I$1001,0),MATCH(COLUMNS($P$1006:S1006),$P$1006:$S$1006,0)), HYPERLINK("#",""), HYPERLINK(CONCATENATE("#metadata!", ADDRESS(INDEX($K$2:$K$1001,MATCH(ROWS($I$2:I764),$I$2:$I$1001,0),0), INDEX($P$1004:$S$1004,1,MATCH(COLUMNS($P$1006:S1006),$P$1006:$S$1006,0)))),"Fix")))</f>
        <v>0</v>
      </c>
      <c r="I764">
        <v>0</v>
      </c>
      <c r="J764">
        <v>0</v>
      </c>
      <c r="K764">
        <v>0</v>
      </c>
      <c r="L764">
        <f>IF(M764,TRUE,AND(P764:S764))</f>
        <v>0</v>
      </c>
      <c r="M764">
        <f>COUNTBLANK(metadata!B764:E764)=COLUMNS(metadata!B764:E764)</f>
        <v>0</v>
      </c>
      <c r="N764">
        <v>0</v>
      </c>
      <c r="P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Q764">
        <f>AND(IF(metadata!C764="",FALSE,TRUE),exact(metadata!C764,"other"))</f>
        <v>0</v>
      </c>
      <c r="R764">
        <f>AND(IF(metadata!D764="",FALSE,TRUE),exact(metadata!D764,"metagenome"))</f>
        <v>0</v>
      </c>
      <c r="S764">
        <f>AND(IF(metadata!E764="",FALSE,TRUE),exact(metadata!E764,"256318"))</f>
        <v>0</v>
      </c>
    </row>
    <row r="765" spans="1:19">
      <c r="A765" s="4">
        <f>IF(B765=" "," ",HYPERLINK(CONCATENATE("#metadata!",ADDRESS(INDEX($K$2:$K$1001,MATCH(ROWS($I$2:I765),$I$2:$I$1001,0),0),1)),INDEX($N$2:$N$1001,MATCH(ROWS($I$2:I765),$I$2:$I$1001,0),0)))</f>
        <v>0</v>
      </c>
      <c r="B765" s="3">
        <f>IF(OR(INDEX($J$2:$J$1001,MATCH(ROWS($I$2:I765),$I$2:$I$1001,0),1)&gt;=100000,INDEX($P$1005:$S$1005,1,MATCH(COLUMNS($P$1006:P1006),$P$1006:$S$1006,0))&gt;=100000), " ",IF(INDEX($P$2:$S$1001,MATCH(ROWS($I$2:I765),$I$2:$I$1001,0),MATCH(COLUMNS($P$1006:P1006),$P$1006:$S$1006,0)), HYPERLINK("#",""), HYPERLINK(CONCATENATE("#metadata!", ADDRESS(INDEX($K$2:$K$1001,MATCH(ROWS($I$2:I765),$I$2:$I$1001,0),0), INDEX($P$1004:$S$1004,1,MATCH(COLUMNS($P$1006:P1006),$P$1006:$S$1006,0)))),"Fix")))</f>
        <v>0</v>
      </c>
      <c r="C765" s="3">
        <f>IF(OR(INDEX($J$2:$J$1001,MATCH(ROWS($I$2:I765),$I$2:$I$1001,0),1)&gt;=100000,INDEX($P$1005:$S$1005,1,MATCH(COLUMNS($P$1006:Q1006),$P$1006:$S$1006,0))&gt;=100000), " ",IF(INDEX($P$2:$S$1001,MATCH(ROWS($I$2:I765),$I$2:$I$1001,0),MATCH(COLUMNS($P$1006:Q1006),$P$1006:$S$1006,0)), HYPERLINK("#",""), HYPERLINK(CONCATENATE("#metadata!", ADDRESS(INDEX($K$2:$K$1001,MATCH(ROWS($I$2:I765),$I$2:$I$1001,0),0), INDEX($P$1004:$S$1004,1,MATCH(COLUMNS($P$1006:Q1006),$P$1006:$S$1006,0)))),"Fix")))</f>
        <v>0</v>
      </c>
      <c r="D765" s="3">
        <f>IF(OR(INDEX($J$2:$J$1001,MATCH(ROWS($I$2:I765),$I$2:$I$1001,0),1)&gt;=100000,INDEX($P$1005:$S$1005,1,MATCH(COLUMNS($P$1006:R1006),$P$1006:$S$1006,0))&gt;=100000), " ",IF(INDEX($P$2:$S$1001,MATCH(ROWS($I$2:I765),$I$2:$I$1001,0),MATCH(COLUMNS($P$1006:R1006),$P$1006:$S$1006,0)), HYPERLINK("#",""), HYPERLINK(CONCATENATE("#metadata!", ADDRESS(INDEX($K$2:$K$1001,MATCH(ROWS($I$2:I765),$I$2:$I$1001,0),0), INDEX($P$1004:$S$1004,1,MATCH(COLUMNS($P$1006:R1006),$P$1006:$S$1006,0)))),"Fix")))</f>
        <v>0</v>
      </c>
      <c r="E765" s="3">
        <f>IF(OR(INDEX($J$2:$J$1001,MATCH(ROWS($I$2:I765),$I$2:$I$1001,0),1)&gt;=100000,INDEX($P$1005:$S$1005,1,MATCH(COLUMNS($P$1006:S1006),$P$1006:$S$1006,0))&gt;=100000), " ",IF(INDEX($P$2:$S$1001,MATCH(ROWS($I$2:I765),$I$2:$I$1001,0),MATCH(COLUMNS($P$1006:S1006),$P$1006:$S$1006,0)), HYPERLINK("#",""), HYPERLINK(CONCATENATE("#metadata!", ADDRESS(INDEX($K$2:$K$1001,MATCH(ROWS($I$2:I765),$I$2:$I$1001,0),0), INDEX($P$1004:$S$1004,1,MATCH(COLUMNS($P$1006:S1006),$P$1006:$S$1006,0)))),"Fix")))</f>
        <v>0</v>
      </c>
      <c r="I765">
        <v>0</v>
      </c>
      <c r="J765">
        <v>0</v>
      </c>
      <c r="K765">
        <v>0</v>
      </c>
      <c r="L765">
        <f>IF(M765,TRUE,AND(P765:S765))</f>
        <v>0</v>
      </c>
      <c r="M765">
        <f>COUNTBLANK(metadata!B765:E765)=COLUMNS(metadata!B765:E765)</f>
        <v>0</v>
      </c>
      <c r="N765">
        <v>0</v>
      </c>
      <c r="P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Q765">
        <f>AND(IF(metadata!C765="",FALSE,TRUE),exact(metadata!C765,"other"))</f>
        <v>0</v>
      </c>
      <c r="R765">
        <f>AND(IF(metadata!D765="",FALSE,TRUE),exact(metadata!D765,"metagenome"))</f>
        <v>0</v>
      </c>
      <c r="S765">
        <f>AND(IF(metadata!E765="",FALSE,TRUE),exact(metadata!E765,"256318"))</f>
        <v>0</v>
      </c>
    </row>
    <row r="766" spans="1:19">
      <c r="A766" s="4">
        <f>IF(B766=" "," ",HYPERLINK(CONCATENATE("#metadata!",ADDRESS(INDEX($K$2:$K$1001,MATCH(ROWS($I$2:I766),$I$2:$I$1001,0),0),1)),INDEX($N$2:$N$1001,MATCH(ROWS($I$2:I766),$I$2:$I$1001,0),0)))</f>
        <v>0</v>
      </c>
      <c r="B766" s="3">
        <f>IF(OR(INDEX($J$2:$J$1001,MATCH(ROWS($I$2:I766),$I$2:$I$1001,0),1)&gt;=100000,INDEX($P$1005:$S$1005,1,MATCH(COLUMNS($P$1006:P1006),$P$1006:$S$1006,0))&gt;=100000), " ",IF(INDEX($P$2:$S$1001,MATCH(ROWS($I$2:I766),$I$2:$I$1001,0),MATCH(COLUMNS($P$1006:P1006),$P$1006:$S$1006,0)), HYPERLINK("#",""), HYPERLINK(CONCATENATE("#metadata!", ADDRESS(INDEX($K$2:$K$1001,MATCH(ROWS($I$2:I766),$I$2:$I$1001,0),0), INDEX($P$1004:$S$1004,1,MATCH(COLUMNS($P$1006:P1006),$P$1006:$S$1006,0)))),"Fix")))</f>
        <v>0</v>
      </c>
      <c r="C766" s="3">
        <f>IF(OR(INDEX($J$2:$J$1001,MATCH(ROWS($I$2:I766),$I$2:$I$1001,0),1)&gt;=100000,INDEX($P$1005:$S$1005,1,MATCH(COLUMNS($P$1006:Q1006),$P$1006:$S$1006,0))&gt;=100000), " ",IF(INDEX($P$2:$S$1001,MATCH(ROWS($I$2:I766),$I$2:$I$1001,0),MATCH(COLUMNS($P$1006:Q1006),$P$1006:$S$1006,0)), HYPERLINK("#",""), HYPERLINK(CONCATENATE("#metadata!", ADDRESS(INDEX($K$2:$K$1001,MATCH(ROWS($I$2:I766),$I$2:$I$1001,0),0), INDEX($P$1004:$S$1004,1,MATCH(COLUMNS($P$1006:Q1006),$P$1006:$S$1006,0)))),"Fix")))</f>
        <v>0</v>
      </c>
      <c r="D766" s="3">
        <f>IF(OR(INDEX($J$2:$J$1001,MATCH(ROWS($I$2:I766),$I$2:$I$1001,0),1)&gt;=100000,INDEX($P$1005:$S$1005,1,MATCH(COLUMNS($P$1006:R1006),$P$1006:$S$1006,0))&gt;=100000), " ",IF(INDEX($P$2:$S$1001,MATCH(ROWS($I$2:I766),$I$2:$I$1001,0),MATCH(COLUMNS($P$1006:R1006),$P$1006:$S$1006,0)), HYPERLINK("#",""), HYPERLINK(CONCATENATE("#metadata!", ADDRESS(INDEX($K$2:$K$1001,MATCH(ROWS($I$2:I766),$I$2:$I$1001,0),0), INDEX($P$1004:$S$1004,1,MATCH(COLUMNS($P$1006:R1006),$P$1006:$S$1006,0)))),"Fix")))</f>
        <v>0</v>
      </c>
      <c r="E766" s="3">
        <f>IF(OR(INDEX($J$2:$J$1001,MATCH(ROWS($I$2:I766),$I$2:$I$1001,0),1)&gt;=100000,INDEX($P$1005:$S$1005,1,MATCH(COLUMNS($P$1006:S1006),$P$1006:$S$1006,0))&gt;=100000), " ",IF(INDEX($P$2:$S$1001,MATCH(ROWS($I$2:I766),$I$2:$I$1001,0),MATCH(COLUMNS($P$1006:S1006),$P$1006:$S$1006,0)), HYPERLINK("#",""), HYPERLINK(CONCATENATE("#metadata!", ADDRESS(INDEX($K$2:$K$1001,MATCH(ROWS($I$2:I766),$I$2:$I$1001,0),0), INDEX($P$1004:$S$1004,1,MATCH(COLUMNS($P$1006:S1006),$P$1006:$S$1006,0)))),"Fix")))</f>
        <v>0</v>
      </c>
      <c r="I766">
        <v>0</v>
      </c>
      <c r="J766">
        <v>0</v>
      </c>
      <c r="K766">
        <v>0</v>
      </c>
      <c r="L766">
        <f>IF(M766,TRUE,AND(P766:S766))</f>
        <v>0</v>
      </c>
      <c r="M766">
        <f>COUNTBLANK(metadata!B766:E766)=COLUMNS(metadata!B766:E766)</f>
        <v>0</v>
      </c>
      <c r="N766">
        <v>0</v>
      </c>
      <c r="P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Q766">
        <f>AND(IF(metadata!C766="",FALSE,TRUE),exact(metadata!C766,"other"))</f>
        <v>0</v>
      </c>
      <c r="R766">
        <f>AND(IF(metadata!D766="",FALSE,TRUE),exact(metadata!D766,"metagenome"))</f>
        <v>0</v>
      </c>
      <c r="S766">
        <f>AND(IF(metadata!E766="",FALSE,TRUE),exact(metadata!E766,"256318"))</f>
        <v>0</v>
      </c>
    </row>
    <row r="767" spans="1:19">
      <c r="A767" s="4">
        <f>IF(B767=" "," ",HYPERLINK(CONCATENATE("#metadata!",ADDRESS(INDEX($K$2:$K$1001,MATCH(ROWS($I$2:I767),$I$2:$I$1001,0),0),1)),INDEX($N$2:$N$1001,MATCH(ROWS($I$2:I767),$I$2:$I$1001,0),0)))</f>
        <v>0</v>
      </c>
      <c r="B767" s="3">
        <f>IF(OR(INDEX($J$2:$J$1001,MATCH(ROWS($I$2:I767),$I$2:$I$1001,0),1)&gt;=100000,INDEX($P$1005:$S$1005,1,MATCH(COLUMNS($P$1006:P1006),$P$1006:$S$1006,0))&gt;=100000), " ",IF(INDEX($P$2:$S$1001,MATCH(ROWS($I$2:I767),$I$2:$I$1001,0),MATCH(COLUMNS($P$1006:P1006),$P$1006:$S$1006,0)), HYPERLINK("#",""), HYPERLINK(CONCATENATE("#metadata!", ADDRESS(INDEX($K$2:$K$1001,MATCH(ROWS($I$2:I767),$I$2:$I$1001,0),0), INDEX($P$1004:$S$1004,1,MATCH(COLUMNS($P$1006:P1006),$P$1006:$S$1006,0)))),"Fix")))</f>
        <v>0</v>
      </c>
      <c r="C767" s="3">
        <f>IF(OR(INDEX($J$2:$J$1001,MATCH(ROWS($I$2:I767),$I$2:$I$1001,0),1)&gt;=100000,INDEX($P$1005:$S$1005,1,MATCH(COLUMNS($P$1006:Q1006),$P$1006:$S$1006,0))&gt;=100000), " ",IF(INDEX($P$2:$S$1001,MATCH(ROWS($I$2:I767),$I$2:$I$1001,0),MATCH(COLUMNS($P$1006:Q1006),$P$1006:$S$1006,0)), HYPERLINK("#",""), HYPERLINK(CONCATENATE("#metadata!", ADDRESS(INDEX($K$2:$K$1001,MATCH(ROWS($I$2:I767),$I$2:$I$1001,0),0), INDEX($P$1004:$S$1004,1,MATCH(COLUMNS($P$1006:Q1006),$P$1006:$S$1006,0)))),"Fix")))</f>
        <v>0</v>
      </c>
      <c r="D767" s="3">
        <f>IF(OR(INDEX($J$2:$J$1001,MATCH(ROWS($I$2:I767),$I$2:$I$1001,0),1)&gt;=100000,INDEX($P$1005:$S$1005,1,MATCH(COLUMNS($P$1006:R1006),$P$1006:$S$1006,0))&gt;=100000), " ",IF(INDEX($P$2:$S$1001,MATCH(ROWS($I$2:I767),$I$2:$I$1001,0),MATCH(COLUMNS($P$1006:R1006),$P$1006:$S$1006,0)), HYPERLINK("#",""), HYPERLINK(CONCATENATE("#metadata!", ADDRESS(INDEX($K$2:$K$1001,MATCH(ROWS($I$2:I767),$I$2:$I$1001,0),0), INDEX($P$1004:$S$1004,1,MATCH(COLUMNS($P$1006:R1006),$P$1006:$S$1006,0)))),"Fix")))</f>
        <v>0</v>
      </c>
      <c r="E767" s="3">
        <f>IF(OR(INDEX($J$2:$J$1001,MATCH(ROWS($I$2:I767),$I$2:$I$1001,0),1)&gt;=100000,INDEX($P$1005:$S$1005,1,MATCH(COLUMNS($P$1006:S1006),$P$1006:$S$1006,0))&gt;=100000), " ",IF(INDEX($P$2:$S$1001,MATCH(ROWS($I$2:I767),$I$2:$I$1001,0),MATCH(COLUMNS($P$1006:S1006),$P$1006:$S$1006,0)), HYPERLINK("#",""), HYPERLINK(CONCATENATE("#metadata!", ADDRESS(INDEX($K$2:$K$1001,MATCH(ROWS($I$2:I767),$I$2:$I$1001,0),0), INDEX($P$1004:$S$1004,1,MATCH(COLUMNS($P$1006:S1006),$P$1006:$S$1006,0)))),"Fix")))</f>
        <v>0</v>
      </c>
      <c r="I767">
        <v>0</v>
      </c>
      <c r="J767">
        <v>0</v>
      </c>
      <c r="K767">
        <v>0</v>
      </c>
      <c r="L767">
        <f>IF(M767,TRUE,AND(P767:S767))</f>
        <v>0</v>
      </c>
      <c r="M767">
        <f>COUNTBLANK(metadata!B767:E767)=COLUMNS(metadata!B767:E767)</f>
        <v>0</v>
      </c>
      <c r="N767">
        <v>0</v>
      </c>
      <c r="P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Q767">
        <f>AND(IF(metadata!C767="",FALSE,TRUE),exact(metadata!C767,"other"))</f>
        <v>0</v>
      </c>
      <c r="R767">
        <f>AND(IF(metadata!D767="",FALSE,TRUE),exact(metadata!D767,"metagenome"))</f>
        <v>0</v>
      </c>
      <c r="S767">
        <f>AND(IF(metadata!E767="",FALSE,TRUE),exact(metadata!E767,"256318"))</f>
        <v>0</v>
      </c>
    </row>
    <row r="768" spans="1:19">
      <c r="A768" s="4">
        <f>IF(B768=" "," ",HYPERLINK(CONCATENATE("#metadata!",ADDRESS(INDEX($K$2:$K$1001,MATCH(ROWS($I$2:I768),$I$2:$I$1001,0),0),1)),INDEX($N$2:$N$1001,MATCH(ROWS($I$2:I768),$I$2:$I$1001,0),0)))</f>
        <v>0</v>
      </c>
      <c r="B768" s="3">
        <f>IF(OR(INDEX($J$2:$J$1001,MATCH(ROWS($I$2:I768),$I$2:$I$1001,0),1)&gt;=100000,INDEX($P$1005:$S$1005,1,MATCH(COLUMNS($P$1006:P1006),$P$1006:$S$1006,0))&gt;=100000), " ",IF(INDEX($P$2:$S$1001,MATCH(ROWS($I$2:I768),$I$2:$I$1001,0),MATCH(COLUMNS($P$1006:P1006),$P$1006:$S$1006,0)), HYPERLINK("#",""), HYPERLINK(CONCATENATE("#metadata!", ADDRESS(INDEX($K$2:$K$1001,MATCH(ROWS($I$2:I768),$I$2:$I$1001,0),0), INDEX($P$1004:$S$1004,1,MATCH(COLUMNS($P$1006:P1006),$P$1006:$S$1006,0)))),"Fix")))</f>
        <v>0</v>
      </c>
      <c r="C768" s="3">
        <f>IF(OR(INDEX($J$2:$J$1001,MATCH(ROWS($I$2:I768),$I$2:$I$1001,0),1)&gt;=100000,INDEX($P$1005:$S$1005,1,MATCH(COLUMNS($P$1006:Q1006),$P$1006:$S$1006,0))&gt;=100000), " ",IF(INDEX($P$2:$S$1001,MATCH(ROWS($I$2:I768),$I$2:$I$1001,0),MATCH(COLUMNS($P$1006:Q1006),$P$1006:$S$1006,0)), HYPERLINK("#",""), HYPERLINK(CONCATENATE("#metadata!", ADDRESS(INDEX($K$2:$K$1001,MATCH(ROWS($I$2:I768),$I$2:$I$1001,0),0), INDEX($P$1004:$S$1004,1,MATCH(COLUMNS($P$1006:Q1006),$P$1006:$S$1006,0)))),"Fix")))</f>
        <v>0</v>
      </c>
      <c r="D768" s="3">
        <f>IF(OR(INDEX($J$2:$J$1001,MATCH(ROWS($I$2:I768),$I$2:$I$1001,0),1)&gt;=100000,INDEX($P$1005:$S$1005,1,MATCH(COLUMNS($P$1006:R1006),$P$1006:$S$1006,0))&gt;=100000), " ",IF(INDEX($P$2:$S$1001,MATCH(ROWS($I$2:I768),$I$2:$I$1001,0),MATCH(COLUMNS($P$1006:R1006),$P$1006:$S$1006,0)), HYPERLINK("#",""), HYPERLINK(CONCATENATE("#metadata!", ADDRESS(INDEX($K$2:$K$1001,MATCH(ROWS($I$2:I768),$I$2:$I$1001,0),0), INDEX($P$1004:$S$1004,1,MATCH(COLUMNS($P$1006:R1006),$P$1006:$S$1006,0)))),"Fix")))</f>
        <v>0</v>
      </c>
      <c r="E768" s="3">
        <f>IF(OR(INDEX($J$2:$J$1001,MATCH(ROWS($I$2:I768),$I$2:$I$1001,0),1)&gt;=100000,INDEX($P$1005:$S$1005,1,MATCH(COLUMNS($P$1006:S1006),$P$1006:$S$1006,0))&gt;=100000), " ",IF(INDEX($P$2:$S$1001,MATCH(ROWS($I$2:I768),$I$2:$I$1001,0),MATCH(COLUMNS($P$1006:S1006),$P$1006:$S$1006,0)), HYPERLINK("#",""), HYPERLINK(CONCATENATE("#metadata!", ADDRESS(INDEX($K$2:$K$1001,MATCH(ROWS($I$2:I768),$I$2:$I$1001,0),0), INDEX($P$1004:$S$1004,1,MATCH(COLUMNS($P$1006:S1006),$P$1006:$S$1006,0)))),"Fix")))</f>
        <v>0</v>
      </c>
      <c r="I768">
        <v>0</v>
      </c>
      <c r="J768">
        <v>0</v>
      </c>
      <c r="K768">
        <v>0</v>
      </c>
      <c r="L768">
        <f>IF(M768,TRUE,AND(P768:S768))</f>
        <v>0</v>
      </c>
      <c r="M768">
        <f>COUNTBLANK(metadata!B768:E768)=COLUMNS(metadata!B768:E768)</f>
        <v>0</v>
      </c>
      <c r="N768">
        <v>0</v>
      </c>
      <c r="P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Q768">
        <f>AND(IF(metadata!C768="",FALSE,TRUE),exact(metadata!C768,"other"))</f>
        <v>0</v>
      </c>
      <c r="R768">
        <f>AND(IF(metadata!D768="",FALSE,TRUE),exact(metadata!D768,"metagenome"))</f>
        <v>0</v>
      </c>
      <c r="S768">
        <f>AND(IF(metadata!E768="",FALSE,TRUE),exact(metadata!E768,"256318"))</f>
        <v>0</v>
      </c>
    </row>
    <row r="769" spans="1:19">
      <c r="A769" s="4">
        <f>IF(B769=" "," ",HYPERLINK(CONCATENATE("#metadata!",ADDRESS(INDEX($K$2:$K$1001,MATCH(ROWS($I$2:I769),$I$2:$I$1001,0),0),1)),INDEX($N$2:$N$1001,MATCH(ROWS($I$2:I769),$I$2:$I$1001,0),0)))</f>
        <v>0</v>
      </c>
      <c r="B769" s="3">
        <f>IF(OR(INDEX($J$2:$J$1001,MATCH(ROWS($I$2:I769),$I$2:$I$1001,0),1)&gt;=100000,INDEX($P$1005:$S$1005,1,MATCH(COLUMNS($P$1006:P1006),$P$1006:$S$1006,0))&gt;=100000), " ",IF(INDEX($P$2:$S$1001,MATCH(ROWS($I$2:I769),$I$2:$I$1001,0),MATCH(COLUMNS($P$1006:P1006),$P$1006:$S$1006,0)), HYPERLINK("#",""), HYPERLINK(CONCATENATE("#metadata!", ADDRESS(INDEX($K$2:$K$1001,MATCH(ROWS($I$2:I769),$I$2:$I$1001,0),0), INDEX($P$1004:$S$1004,1,MATCH(COLUMNS($P$1006:P1006),$P$1006:$S$1006,0)))),"Fix")))</f>
        <v>0</v>
      </c>
      <c r="C769" s="3">
        <f>IF(OR(INDEX($J$2:$J$1001,MATCH(ROWS($I$2:I769),$I$2:$I$1001,0),1)&gt;=100000,INDEX($P$1005:$S$1005,1,MATCH(COLUMNS($P$1006:Q1006),$P$1006:$S$1006,0))&gt;=100000), " ",IF(INDEX($P$2:$S$1001,MATCH(ROWS($I$2:I769),$I$2:$I$1001,0),MATCH(COLUMNS($P$1006:Q1006),$P$1006:$S$1006,0)), HYPERLINK("#",""), HYPERLINK(CONCATENATE("#metadata!", ADDRESS(INDEX($K$2:$K$1001,MATCH(ROWS($I$2:I769),$I$2:$I$1001,0),0), INDEX($P$1004:$S$1004,1,MATCH(COLUMNS($P$1006:Q1006),$P$1006:$S$1006,0)))),"Fix")))</f>
        <v>0</v>
      </c>
      <c r="D769" s="3">
        <f>IF(OR(INDEX($J$2:$J$1001,MATCH(ROWS($I$2:I769),$I$2:$I$1001,0),1)&gt;=100000,INDEX($P$1005:$S$1005,1,MATCH(COLUMNS($P$1006:R1006),$P$1006:$S$1006,0))&gt;=100000), " ",IF(INDEX($P$2:$S$1001,MATCH(ROWS($I$2:I769),$I$2:$I$1001,0),MATCH(COLUMNS($P$1006:R1006),$P$1006:$S$1006,0)), HYPERLINK("#",""), HYPERLINK(CONCATENATE("#metadata!", ADDRESS(INDEX($K$2:$K$1001,MATCH(ROWS($I$2:I769),$I$2:$I$1001,0),0), INDEX($P$1004:$S$1004,1,MATCH(COLUMNS($P$1006:R1006),$P$1006:$S$1006,0)))),"Fix")))</f>
        <v>0</v>
      </c>
      <c r="E769" s="3">
        <f>IF(OR(INDEX($J$2:$J$1001,MATCH(ROWS($I$2:I769),$I$2:$I$1001,0),1)&gt;=100000,INDEX($P$1005:$S$1005,1,MATCH(COLUMNS($P$1006:S1006),$P$1006:$S$1006,0))&gt;=100000), " ",IF(INDEX($P$2:$S$1001,MATCH(ROWS($I$2:I769),$I$2:$I$1001,0),MATCH(COLUMNS($P$1006:S1006),$P$1006:$S$1006,0)), HYPERLINK("#",""), HYPERLINK(CONCATENATE("#metadata!", ADDRESS(INDEX($K$2:$K$1001,MATCH(ROWS($I$2:I769),$I$2:$I$1001,0),0), INDEX($P$1004:$S$1004,1,MATCH(COLUMNS($P$1006:S1006),$P$1006:$S$1006,0)))),"Fix")))</f>
        <v>0</v>
      </c>
      <c r="I769">
        <v>0</v>
      </c>
      <c r="J769">
        <v>0</v>
      </c>
      <c r="K769">
        <v>0</v>
      </c>
      <c r="L769">
        <f>IF(M769,TRUE,AND(P769:S769))</f>
        <v>0</v>
      </c>
      <c r="M769">
        <f>COUNTBLANK(metadata!B769:E769)=COLUMNS(metadata!B769:E769)</f>
        <v>0</v>
      </c>
      <c r="N769">
        <v>0</v>
      </c>
      <c r="P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Q769">
        <f>AND(IF(metadata!C769="",FALSE,TRUE),exact(metadata!C769,"other"))</f>
        <v>0</v>
      </c>
      <c r="R769">
        <f>AND(IF(metadata!D769="",FALSE,TRUE),exact(metadata!D769,"metagenome"))</f>
        <v>0</v>
      </c>
      <c r="S769">
        <f>AND(IF(metadata!E769="",FALSE,TRUE),exact(metadata!E769,"256318"))</f>
        <v>0</v>
      </c>
    </row>
    <row r="770" spans="1:19">
      <c r="A770" s="4">
        <f>IF(B770=" "," ",HYPERLINK(CONCATENATE("#metadata!",ADDRESS(INDEX($K$2:$K$1001,MATCH(ROWS($I$2:I770),$I$2:$I$1001,0),0),1)),INDEX($N$2:$N$1001,MATCH(ROWS($I$2:I770),$I$2:$I$1001,0),0)))</f>
        <v>0</v>
      </c>
      <c r="B770" s="3">
        <f>IF(OR(INDEX($J$2:$J$1001,MATCH(ROWS($I$2:I770),$I$2:$I$1001,0),1)&gt;=100000,INDEX($P$1005:$S$1005,1,MATCH(COLUMNS($P$1006:P1006),$P$1006:$S$1006,0))&gt;=100000), " ",IF(INDEX($P$2:$S$1001,MATCH(ROWS($I$2:I770),$I$2:$I$1001,0),MATCH(COLUMNS($P$1006:P1006),$P$1006:$S$1006,0)), HYPERLINK("#",""), HYPERLINK(CONCATENATE("#metadata!", ADDRESS(INDEX($K$2:$K$1001,MATCH(ROWS($I$2:I770),$I$2:$I$1001,0),0), INDEX($P$1004:$S$1004,1,MATCH(COLUMNS($P$1006:P1006),$P$1006:$S$1006,0)))),"Fix")))</f>
        <v>0</v>
      </c>
      <c r="C770" s="3">
        <f>IF(OR(INDEX($J$2:$J$1001,MATCH(ROWS($I$2:I770),$I$2:$I$1001,0),1)&gt;=100000,INDEX($P$1005:$S$1005,1,MATCH(COLUMNS($P$1006:Q1006),$P$1006:$S$1006,0))&gt;=100000), " ",IF(INDEX($P$2:$S$1001,MATCH(ROWS($I$2:I770),$I$2:$I$1001,0),MATCH(COLUMNS($P$1006:Q1006),$P$1006:$S$1006,0)), HYPERLINK("#",""), HYPERLINK(CONCATENATE("#metadata!", ADDRESS(INDEX($K$2:$K$1001,MATCH(ROWS($I$2:I770),$I$2:$I$1001,0),0), INDEX($P$1004:$S$1004,1,MATCH(COLUMNS($P$1006:Q1006),$P$1006:$S$1006,0)))),"Fix")))</f>
        <v>0</v>
      </c>
      <c r="D770" s="3">
        <f>IF(OR(INDEX($J$2:$J$1001,MATCH(ROWS($I$2:I770),$I$2:$I$1001,0),1)&gt;=100000,INDEX($P$1005:$S$1005,1,MATCH(COLUMNS($P$1006:R1006),$P$1006:$S$1006,0))&gt;=100000), " ",IF(INDEX($P$2:$S$1001,MATCH(ROWS($I$2:I770),$I$2:$I$1001,0),MATCH(COLUMNS($P$1006:R1006),$P$1006:$S$1006,0)), HYPERLINK("#",""), HYPERLINK(CONCATENATE("#metadata!", ADDRESS(INDEX($K$2:$K$1001,MATCH(ROWS($I$2:I770),$I$2:$I$1001,0),0), INDEX($P$1004:$S$1004,1,MATCH(COLUMNS($P$1006:R1006),$P$1006:$S$1006,0)))),"Fix")))</f>
        <v>0</v>
      </c>
      <c r="E770" s="3">
        <f>IF(OR(INDEX($J$2:$J$1001,MATCH(ROWS($I$2:I770),$I$2:$I$1001,0),1)&gt;=100000,INDEX($P$1005:$S$1005,1,MATCH(COLUMNS($P$1006:S1006),$P$1006:$S$1006,0))&gt;=100000), " ",IF(INDEX($P$2:$S$1001,MATCH(ROWS($I$2:I770),$I$2:$I$1001,0),MATCH(COLUMNS($P$1006:S1006),$P$1006:$S$1006,0)), HYPERLINK("#",""), HYPERLINK(CONCATENATE("#metadata!", ADDRESS(INDEX($K$2:$K$1001,MATCH(ROWS($I$2:I770),$I$2:$I$1001,0),0), INDEX($P$1004:$S$1004,1,MATCH(COLUMNS($P$1006:S1006),$P$1006:$S$1006,0)))),"Fix")))</f>
        <v>0</v>
      </c>
      <c r="I770">
        <v>0</v>
      </c>
      <c r="J770">
        <v>0</v>
      </c>
      <c r="K770">
        <v>0</v>
      </c>
      <c r="L770">
        <f>IF(M770,TRUE,AND(P770:S770))</f>
        <v>0</v>
      </c>
      <c r="M770">
        <f>COUNTBLANK(metadata!B770:E770)=COLUMNS(metadata!B770:E770)</f>
        <v>0</v>
      </c>
      <c r="N770">
        <v>0</v>
      </c>
      <c r="P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Q770">
        <f>AND(IF(metadata!C770="",FALSE,TRUE),exact(metadata!C770,"other"))</f>
        <v>0</v>
      </c>
      <c r="R770">
        <f>AND(IF(metadata!D770="",FALSE,TRUE),exact(metadata!D770,"metagenome"))</f>
        <v>0</v>
      </c>
      <c r="S770">
        <f>AND(IF(metadata!E770="",FALSE,TRUE),exact(metadata!E770,"256318"))</f>
        <v>0</v>
      </c>
    </row>
    <row r="771" spans="1:19">
      <c r="A771" s="4">
        <f>IF(B771=" "," ",HYPERLINK(CONCATENATE("#metadata!",ADDRESS(INDEX($K$2:$K$1001,MATCH(ROWS($I$2:I771),$I$2:$I$1001,0),0),1)),INDEX($N$2:$N$1001,MATCH(ROWS($I$2:I771),$I$2:$I$1001,0),0)))</f>
        <v>0</v>
      </c>
      <c r="B771" s="3">
        <f>IF(OR(INDEX($J$2:$J$1001,MATCH(ROWS($I$2:I771),$I$2:$I$1001,0),1)&gt;=100000,INDEX($P$1005:$S$1005,1,MATCH(COLUMNS($P$1006:P1006),$P$1006:$S$1006,0))&gt;=100000), " ",IF(INDEX($P$2:$S$1001,MATCH(ROWS($I$2:I771),$I$2:$I$1001,0),MATCH(COLUMNS($P$1006:P1006),$P$1006:$S$1006,0)), HYPERLINK("#",""), HYPERLINK(CONCATENATE("#metadata!", ADDRESS(INDEX($K$2:$K$1001,MATCH(ROWS($I$2:I771),$I$2:$I$1001,0),0), INDEX($P$1004:$S$1004,1,MATCH(COLUMNS($P$1006:P1006),$P$1006:$S$1006,0)))),"Fix")))</f>
        <v>0</v>
      </c>
      <c r="C771" s="3">
        <f>IF(OR(INDEX($J$2:$J$1001,MATCH(ROWS($I$2:I771),$I$2:$I$1001,0),1)&gt;=100000,INDEX($P$1005:$S$1005,1,MATCH(COLUMNS($P$1006:Q1006),$P$1006:$S$1006,0))&gt;=100000), " ",IF(INDEX($P$2:$S$1001,MATCH(ROWS($I$2:I771),$I$2:$I$1001,0),MATCH(COLUMNS($P$1006:Q1006),$P$1006:$S$1006,0)), HYPERLINK("#",""), HYPERLINK(CONCATENATE("#metadata!", ADDRESS(INDEX($K$2:$K$1001,MATCH(ROWS($I$2:I771),$I$2:$I$1001,0),0), INDEX($P$1004:$S$1004,1,MATCH(COLUMNS($P$1006:Q1006),$P$1006:$S$1006,0)))),"Fix")))</f>
        <v>0</v>
      </c>
      <c r="D771" s="3">
        <f>IF(OR(INDEX($J$2:$J$1001,MATCH(ROWS($I$2:I771),$I$2:$I$1001,0),1)&gt;=100000,INDEX($P$1005:$S$1005,1,MATCH(COLUMNS($P$1006:R1006),$P$1006:$S$1006,0))&gt;=100000), " ",IF(INDEX($P$2:$S$1001,MATCH(ROWS($I$2:I771),$I$2:$I$1001,0),MATCH(COLUMNS($P$1006:R1006),$P$1006:$S$1006,0)), HYPERLINK("#",""), HYPERLINK(CONCATENATE("#metadata!", ADDRESS(INDEX($K$2:$K$1001,MATCH(ROWS($I$2:I771),$I$2:$I$1001,0),0), INDEX($P$1004:$S$1004,1,MATCH(COLUMNS($P$1006:R1006),$P$1006:$S$1006,0)))),"Fix")))</f>
        <v>0</v>
      </c>
      <c r="E771" s="3">
        <f>IF(OR(INDEX($J$2:$J$1001,MATCH(ROWS($I$2:I771),$I$2:$I$1001,0),1)&gt;=100000,INDEX($P$1005:$S$1005,1,MATCH(COLUMNS($P$1006:S1006),$P$1006:$S$1006,0))&gt;=100000), " ",IF(INDEX($P$2:$S$1001,MATCH(ROWS($I$2:I771),$I$2:$I$1001,0),MATCH(COLUMNS($P$1006:S1006),$P$1006:$S$1006,0)), HYPERLINK("#",""), HYPERLINK(CONCATENATE("#metadata!", ADDRESS(INDEX($K$2:$K$1001,MATCH(ROWS($I$2:I771),$I$2:$I$1001,0),0), INDEX($P$1004:$S$1004,1,MATCH(COLUMNS($P$1006:S1006),$P$1006:$S$1006,0)))),"Fix")))</f>
        <v>0</v>
      </c>
      <c r="I771">
        <v>0</v>
      </c>
      <c r="J771">
        <v>0</v>
      </c>
      <c r="K771">
        <v>0</v>
      </c>
      <c r="L771">
        <f>IF(M771,TRUE,AND(P771:S771))</f>
        <v>0</v>
      </c>
      <c r="M771">
        <f>COUNTBLANK(metadata!B771:E771)=COLUMNS(metadata!B771:E771)</f>
        <v>0</v>
      </c>
      <c r="N771">
        <v>0</v>
      </c>
      <c r="P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Q771">
        <f>AND(IF(metadata!C771="",FALSE,TRUE),exact(metadata!C771,"other"))</f>
        <v>0</v>
      </c>
      <c r="R771">
        <f>AND(IF(metadata!D771="",FALSE,TRUE),exact(metadata!D771,"metagenome"))</f>
        <v>0</v>
      </c>
      <c r="S771">
        <f>AND(IF(metadata!E771="",FALSE,TRUE),exact(metadata!E771,"256318"))</f>
        <v>0</v>
      </c>
    </row>
    <row r="772" spans="1:19">
      <c r="A772" s="4">
        <f>IF(B772=" "," ",HYPERLINK(CONCATENATE("#metadata!",ADDRESS(INDEX($K$2:$K$1001,MATCH(ROWS($I$2:I772),$I$2:$I$1001,0),0),1)),INDEX($N$2:$N$1001,MATCH(ROWS($I$2:I772),$I$2:$I$1001,0),0)))</f>
        <v>0</v>
      </c>
      <c r="B772" s="3">
        <f>IF(OR(INDEX($J$2:$J$1001,MATCH(ROWS($I$2:I772),$I$2:$I$1001,0),1)&gt;=100000,INDEX($P$1005:$S$1005,1,MATCH(COLUMNS($P$1006:P1006),$P$1006:$S$1006,0))&gt;=100000), " ",IF(INDEX($P$2:$S$1001,MATCH(ROWS($I$2:I772),$I$2:$I$1001,0),MATCH(COLUMNS($P$1006:P1006),$P$1006:$S$1006,0)), HYPERLINK("#",""), HYPERLINK(CONCATENATE("#metadata!", ADDRESS(INDEX($K$2:$K$1001,MATCH(ROWS($I$2:I772),$I$2:$I$1001,0),0), INDEX($P$1004:$S$1004,1,MATCH(COLUMNS($P$1006:P1006),$P$1006:$S$1006,0)))),"Fix")))</f>
        <v>0</v>
      </c>
      <c r="C772" s="3">
        <f>IF(OR(INDEX($J$2:$J$1001,MATCH(ROWS($I$2:I772),$I$2:$I$1001,0),1)&gt;=100000,INDEX($P$1005:$S$1005,1,MATCH(COLUMNS($P$1006:Q1006),$P$1006:$S$1006,0))&gt;=100000), " ",IF(INDEX($P$2:$S$1001,MATCH(ROWS($I$2:I772),$I$2:$I$1001,0),MATCH(COLUMNS($P$1006:Q1006),$P$1006:$S$1006,0)), HYPERLINK("#",""), HYPERLINK(CONCATENATE("#metadata!", ADDRESS(INDEX($K$2:$K$1001,MATCH(ROWS($I$2:I772),$I$2:$I$1001,0),0), INDEX($P$1004:$S$1004,1,MATCH(COLUMNS($P$1006:Q1006),$P$1006:$S$1006,0)))),"Fix")))</f>
        <v>0</v>
      </c>
      <c r="D772" s="3">
        <f>IF(OR(INDEX($J$2:$J$1001,MATCH(ROWS($I$2:I772),$I$2:$I$1001,0),1)&gt;=100000,INDEX($P$1005:$S$1005,1,MATCH(COLUMNS($P$1006:R1006),$P$1006:$S$1006,0))&gt;=100000), " ",IF(INDEX($P$2:$S$1001,MATCH(ROWS($I$2:I772),$I$2:$I$1001,0),MATCH(COLUMNS($P$1006:R1006),$P$1006:$S$1006,0)), HYPERLINK("#",""), HYPERLINK(CONCATENATE("#metadata!", ADDRESS(INDEX($K$2:$K$1001,MATCH(ROWS($I$2:I772),$I$2:$I$1001,0),0), INDEX($P$1004:$S$1004,1,MATCH(COLUMNS($P$1006:R1006),$P$1006:$S$1006,0)))),"Fix")))</f>
        <v>0</v>
      </c>
      <c r="E772" s="3">
        <f>IF(OR(INDEX($J$2:$J$1001,MATCH(ROWS($I$2:I772),$I$2:$I$1001,0),1)&gt;=100000,INDEX($P$1005:$S$1005,1,MATCH(COLUMNS($P$1006:S1006),$P$1006:$S$1006,0))&gt;=100000), " ",IF(INDEX($P$2:$S$1001,MATCH(ROWS($I$2:I772),$I$2:$I$1001,0),MATCH(COLUMNS($P$1006:S1006),$P$1006:$S$1006,0)), HYPERLINK("#",""), HYPERLINK(CONCATENATE("#metadata!", ADDRESS(INDEX($K$2:$K$1001,MATCH(ROWS($I$2:I772),$I$2:$I$1001,0),0), INDEX($P$1004:$S$1004,1,MATCH(COLUMNS($P$1006:S1006),$P$1006:$S$1006,0)))),"Fix")))</f>
        <v>0</v>
      </c>
      <c r="I772">
        <v>0</v>
      </c>
      <c r="J772">
        <v>0</v>
      </c>
      <c r="K772">
        <v>0</v>
      </c>
      <c r="L772">
        <f>IF(M772,TRUE,AND(P772:S772))</f>
        <v>0</v>
      </c>
      <c r="M772">
        <f>COUNTBLANK(metadata!B772:E772)=COLUMNS(metadata!B772:E772)</f>
        <v>0</v>
      </c>
      <c r="N772">
        <v>0</v>
      </c>
      <c r="P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Q772">
        <f>AND(IF(metadata!C772="",FALSE,TRUE),exact(metadata!C772,"other"))</f>
        <v>0</v>
      </c>
      <c r="R772">
        <f>AND(IF(metadata!D772="",FALSE,TRUE),exact(metadata!D772,"metagenome"))</f>
        <v>0</v>
      </c>
      <c r="S772">
        <f>AND(IF(metadata!E772="",FALSE,TRUE),exact(metadata!E772,"256318"))</f>
        <v>0</v>
      </c>
    </row>
    <row r="773" spans="1:19">
      <c r="A773" s="4">
        <f>IF(B773=" "," ",HYPERLINK(CONCATENATE("#metadata!",ADDRESS(INDEX($K$2:$K$1001,MATCH(ROWS($I$2:I773),$I$2:$I$1001,0),0),1)),INDEX($N$2:$N$1001,MATCH(ROWS($I$2:I773),$I$2:$I$1001,0),0)))</f>
        <v>0</v>
      </c>
      <c r="B773" s="3">
        <f>IF(OR(INDEX($J$2:$J$1001,MATCH(ROWS($I$2:I773),$I$2:$I$1001,0),1)&gt;=100000,INDEX($P$1005:$S$1005,1,MATCH(COLUMNS($P$1006:P1006),$P$1006:$S$1006,0))&gt;=100000), " ",IF(INDEX($P$2:$S$1001,MATCH(ROWS($I$2:I773),$I$2:$I$1001,0),MATCH(COLUMNS($P$1006:P1006),$P$1006:$S$1006,0)), HYPERLINK("#",""), HYPERLINK(CONCATENATE("#metadata!", ADDRESS(INDEX($K$2:$K$1001,MATCH(ROWS($I$2:I773),$I$2:$I$1001,0),0), INDEX($P$1004:$S$1004,1,MATCH(COLUMNS($P$1006:P1006),$P$1006:$S$1006,0)))),"Fix")))</f>
        <v>0</v>
      </c>
      <c r="C773" s="3">
        <f>IF(OR(INDEX($J$2:$J$1001,MATCH(ROWS($I$2:I773),$I$2:$I$1001,0),1)&gt;=100000,INDEX($P$1005:$S$1005,1,MATCH(COLUMNS($P$1006:Q1006),$P$1006:$S$1006,0))&gt;=100000), " ",IF(INDEX($P$2:$S$1001,MATCH(ROWS($I$2:I773),$I$2:$I$1001,0),MATCH(COLUMNS($P$1006:Q1006),$P$1006:$S$1006,0)), HYPERLINK("#",""), HYPERLINK(CONCATENATE("#metadata!", ADDRESS(INDEX($K$2:$K$1001,MATCH(ROWS($I$2:I773),$I$2:$I$1001,0),0), INDEX($P$1004:$S$1004,1,MATCH(COLUMNS($P$1006:Q1006),$P$1006:$S$1006,0)))),"Fix")))</f>
        <v>0</v>
      </c>
      <c r="D773" s="3">
        <f>IF(OR(INDEX($J$2:$J$1001,MATCH(ROWS($I$2:I773),$I$2:$I$1001,0),1)&gt;=100000,INDEX($P$1005:$S$1005,1,MATCH(COLUMNS($P$1006:R1006),$P$1006:$S$1006,0))&gt;=100000), " ",IF(INDEX($P$2:$S$1001,MATCH(ROWS($I$2:I773),$I$2:$I$1001,0),MATCH(COLUMNS($P$1006:R1006),$P$1006:$S$1006,0)), HYPERLINK("#",""), HYPERLINK(CONCATENATE("#metadata!", ADDRESS(INDEX($K$2:$K$1001,MATCH(ROWS($I$2:I773),$I$2:$I$1001,0),0), INDEX($P$1004:$S$1004,1,MATCH(COLUMNS($P$1006:R1006),$P$1006:$S$1006,0)))),"Fix")))</f>
        <v>0</v>
      </c>
      <c r="E773" s="3">
        <f>IF(OR(INDEX($J$2:$J$1001,MATCH(ROWS($I$2:I773),$I$2:$I$1001,0),1)&gt;=100000,INDEX($P$1005:$S$1005,1,MATCH(COLUMNS($P$1006:S1006),$P$1006:$S$1006,0))&gt;=100000), " ",IF(INDEX($P$2:$S$1001,MATCH(ROWS($I$2:I773),$I$2:$I$1001,0),MATCH(COLUMNS($P$1006:S1006),$P$1006:$S$1006,0)), HYPERLINK("#",""), HYPERLINK(CONCATENATE("#metadata!", ADDRESS(INDEX($K$2:$K$1001,MATCH(ROWS($I$2:I773),$I$2:$I$1001,0),0), INDEX($P$1004:$S$1004,1,MATCH(COLUMNS($P$1006:S1006),$P$1006:$S$1006,0)))),"Fix")))</f>
        <v>0</v>
      </c>
      <c r="I773">
        <v>0</v>
      </c>
      <c r="J773">
        <v>0</v>
      </c>
      <c r="K773">
        <v>0</v>
      </c>
      <c r="L773">
        <f>IF(M773,TRUE,AND(P773:S773))</f>
        <v>0</v>
      </c>
      <c r="M773">
        <f>COUNTBLANK(metadata!B773:E773)=COLUMNS(metadata!B773:E773)</f>
        <v>0</v>
      </c>
      <c r="N773">
        <v>0</v>
      </c>
      <c r="P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Q773">
        <f>AND(IF(metadata!C773="",FALSE,TRUE),exact(metadata!C773,"other"))</f>
        <v>0</v>
      </c>
      <c r="R773">
        <f>AND(IF(metadata!D773="",FALSE,TRUE),exact(metadata!D773,"metagenome"))</f>
        <v>0</v>
      </c>
      <c r="S773">
        <f>AND(IF(metadata!E773="",FALSE,TRUE),exact(metadata!E773,"256318"))</f>
        <v>0</v>
      </c>
    </row>
    <row r="774" spans="1:19">
      <c r="A774" s="4">
        <f>IF(B774=" "," ",HYPERLINK(CONCATENATE("#metadata!",ADDRESS(INDEX($K$2:$K$1001,MATCH(ROWS($I$2:I774),$I$2:$I$1001,0),0),1)),INDEX($N$2:$N$1001,MATCH(ROWS($I$2:I774),$I$2:$I$1001,0),0)))</f>
        <v>0</v>
      </c>
      <c r="B774" s="3">
        <f>IF(OR(INDEX($J$2:$J$1001,MATCH(ROWS($I$2:I774),$I$2:$I$1001,0),1)&gt;=100000,INDEX($P$1005:$S$1005,1,MATCH(COLUMNS($P$1006:P1006),$P$1006:$S$1006,0))&gt;=100000), " ",IF(INDEX($P$2:$S$1001,MATCH(ROWS($I$2:I774),$I$2:$I$1001,0),MATCH(COLUMNS($P$1006:P1006),$P$1006:$S$1006,0)), HYPERLINK("#",""), HYPERLINK(CONCATENATE("#metadata!", ADDRESS(INDEX($K$2:$K$1001,MATCH(ROWS($I$2:I774),$I$2:$I$1001,0),0), INDEX($P$1004:$S$1004,1,MATCH(COLUMNS($P$1006:P1006),$P$1006:$S$1006,0)))),"Fix")))</f>
        <v>0</v>
      </c>
      <c r="C774" s="3">
        <f>IF(OR(INDEX($J$2:$J$1001,MATCH(ROWS($I$2:I774),$I$2:$I$1001,0),1)&gt;=100000,INDEX($P$1005:$S$1005,1,MATCH(COLUMNS($P$1006:Q1006),$P$1006:$S$1006,0))&gt;=100000), " ",IF(INDEX($P$2:$S$1001,MATCH(ROWS($I$2:I774),$I$2:$I$1001,0),MATCH(COLUMNS($P$1006:Q1006),$P$1006:$S$1006,0)), HYPERLINK("#",""), HYPERLINK(CONCATENATE("#metadata!", ADDRESS(INDEX($K$2:$K$1001,MATCH(ROWS($I$2:I774),$I$2:$I$1001,0),0), INDEX($P$1004:$S$1004,1,MATCH(COLUMNS($P$1006:Q1006),$P$1006:$S$1006,0)))),"Fix")))</f>
        <v>0</v>
      </c>
      <c r="D774" s="3">
        <f>IF(OR(INDEX($J$2:$J$1001,MATCH(ROWS($I$2:I774),$I$2:$I$1001,0),1)&gt;=100000,INDEX($P$1005:$S$1005,1,MATCH(COLUMNS($P$1006:R1006),$P$1006:$S$1006,0))&gt;=100000), " ",IF(INDEX($P$2:$S$1001,MATCH(ROWS($I$2:I774),$I$2:$I$1001,0),MATCH(COLUMNS($P$1006:R1006),$P$1006:$S$1006,0)), HYPERLINK("#",""), HYPERLINK(CONCATENATE("#metadata!", ADDRESS(INDEX($K$2:$K$1001,MATCH(ROWS($I$2:I774),$I$2:$I$1001,0),0), INDEX($P$1004:$S$1004,1,MATCH(COLUMNS($P$1006:R1006),$P$1006:$S$1006,0)))),"Fix")))</f>
        <v>0</v>
      </c>
      <c r="E774" s="3">
        <f>IF(OR(INDEX($J$2:$J$1001,MATCH(ROWS($I$2:I774),$I$2:$I$1001,0),1)&gt;=100000,INDEX($P$1005:$S$1005,1,MATCH(COLUMNS($P$1006:S1006),$P$1006:$S$1006,0))&gt;=100000), " ",IF(INDEX($P$2:$S$1001,MATCH(ROWS($I$2:I774),$I$2:$I$1001,0),MATCH(COLUMNS($P$1006:S1006),$P$1006:$S$1006,0)), HYPERLINK("#",""), HYPERLINK(CONCATENATE("#metadata!", ADDRESS(INDEX($K$2:$K$1001,MATCH(ROWS($I$2:I774),$I$2:$I$1001,0),0), INDEX($P$1004:$S$1004,1,MATCH(COLUMNS($P$1006:S1006),$P$1006:$S$1006,0)))),"Fix")))</f>
        <v>0</v>
      </c>
      <c r="I774">
        <v>0</v>
      </c>
      <c r="J774">
        <v>0</v>
      </c>
      <c r="K774">
        <v>0</v>
      </c>
      <c r="L774">
        <f>IF(M774,TRUE,AND(P774:S774))</f>
        <v>0</v>
      </c>
      <c r="M774">
        <f>COUNTBLANK(metadata!B774:E774)=COLUMNS(metadata!B774:E774)</f>
        <v>0</v>
      </c>
      <c r="N774">
        <v>0</v>
      </c>
      <c r="P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Q774">
        <f>AND(IF(metadata!C774="",FALSE,TRUE),exact(metadata!C774,"other"))</f>
        <v>0</v>
      </c>
      <c r="R774">
        <f>AND(IF(metadata!D774="",FALSE,TRUE),exact(metadata!D774,"metagenome"))</f>
        <v>0</v>
      </c>
      <c r="S774">
        <f>AND(IF(metadata!E774="",FALSE,TRUE),exact(metadata!E774,"256318"))</f>
        <v>0</v>
      </c>
    </row>
    <row r="775" spans="1:19">
      <c r="A775" s="4">
        <f>IF(B775=" "," ",HYPERLINK(CONCATENATE("#metadata!",ADDRESS(INDEX($K$2:$K$1001,MATCH(ROWS($I$2:I775),$I$2:$I$1001,0),0),1)),INDEX($N$2:$N$1001,MATCH(ROWS($I$2:I775),$I$2:$I$1001,0),0)))</f>
        <v>0</v>
      </c>
      <c r="B775" s="3">
        <f>IF(OR(INDEX($J$2:$J$1001,MATCH(ROWS($I$2:I775),$I$2:$I$1001,0),1)&gt;=100000,INDEX($P$1005:$S$1005,1,MATCH(COLUMNS($P$1006:P1006),$P$1006:$S$1006,0))&gt;=100000), " ",IF(INDEX($P$2:$S$1001,MATCH(ROWS($I$2:I775),$I$2:$I$1001,0),MATCH(COLUMNS($P$1006:P1006),$P$1006:$S$1006,0)), HYPERLINK("#",""), HYPERLINK(CONCATENATE("#metadata!", ADDRESS(INDEX($K$2:$K$1001,MATCH(ROWS($I$2:I775),$I$2:$I$1001,0),0), INDEX($P$1004:$S$1004,1,MATCH(COLUMNS($P$1006:P1006),$P$1006:$S$1006,0)))),"Fix")))</f>
        <v>0</v>
      </c>
      <c r="C775" s="3">
        <f>IF(OR(INDEX($J$2:$J$1001,MATCH(ROWS($I$2:I775),$I$2:$I$1001,0),1)&gt;=100000,INDEX($P$1005:$S$1005,1,MATCH(COLUMNS($P$1006:Q1006),$P$1006:$S$1006,0))&gt;=100000), " ",IF(INDEX($P$2:$S$1001,MATCH(ROWS($I$2:I775),$I$2:$I$1001,0),MATCH(COLUMNS($P$1006:Q1006),$P$1006:$S$1006,0)), HYPERLINK("#",""), HYPERLINK(CONCATENATE("#metadata!", ADDRESS(INDEX($K$2:$K$1001,MATCH(ROWS($I$2:I775),$I$2:$I$1001,0),0), INDEX($P$1004:$S$1004,1,MATCH(COLUMNS($P$1006:Q1006),$P$1006:$S$1006,0)))),"Fix")))</f>
        <v>0</v>
      </c>
      <c r="D775" s="3">
        <f>IF(OR(INDEX($J$2:$J$1001,MATCH(ROWS($I$2:I775),$I$2:$I$1001,0),1)&gt;=100000,INDEX($P$1005:$S$1005,1,MATCH(COLUMNS($P$1006:R1006),$P$1006:$S$1006,0))&gt;=100000), " ",IF(INDEX($P$2:$S$1001,MATCH(ROWS($I$2:I775),$I$2:$I$1001,0),MATCH(COLUMNS($P$1006:R1006),$P$1006:$S$1006,0)), HYPERLINK("#",""), HYPERLINK(CONCATENATE("#metadata!", ADDRESS(INDEX($K$2:$K$1001,MATCH(ROWS($I$2:I775),$I$2:$I$1001,0),0), INDEX($P$1004:$S$1004,1,MATCH(COLUMNS($P$1006:R1006),$P$1006:$S$1006,0)))),"Fix")))</f>
        <v>0</v>
      </c>
      <c r="E775" s="3">
        <f>IF(OR(INDEX($J$2:$J$1001,MATCH(ROWS($I$2:I775),$I$2:$I$1001,0),1)&gt;=100000,INDEX($P$1005:$S$1005,1,MATCH(COLUMNS($P$1006:S1006),$P$1006:$S$1006,0))&gt;=100000), " ",IF(INDEX($P$2:$S$1001,MATCH(ROWS($I$2:I775),$I$2:$I$1001,0),MATCH(COLUMNS($P$1006:S1006),$P$1006:$S$1006,0)), HYPERLINK("#",""), HYPERLINK(CONCATENATE("#metadata!", ADDRESS(INDEX($K$2:$K$1001,MATCH(ROWS($I$2:I775),$I$2:$I$1001,0),0), INDEX($P$1004:$S$1004,1,MATCH(COLUMNS($P$1006:S1006),$P$1006:$S$1006,0)))),"Fix")))</f>
        <v>0</v>
      </c>
      <c r="I775">
        <v>0</v>
      </c>
      <c r="J775">
        <v>0</v>
      </c>
      <c r="K775">
        <v>0</v>
      </c>
      <c r="L775">
        <f>IF(M775,TRUE,AND(P775:S775))</f>
        <v>0</v>
      </c>
      <c r="M775">
        <f>COUNTBLANK(metadata!B775:E775)=COLUMNS(metadata!B775:E775)</f>
        <v>0</v>
      </c>
      <c r="N775">
        <v>0</v>
      </c>
      <c r="P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Q775">
        <f>AND(IF(metadata!C775="",FALSE,TRUE),exact(metadata!C775,"other"))</f>
        <v>0</v>
      </c>
      <c r="R775">
        <f>AND(IF(metadata!D775="",FALSE,TRUE),exact(metadata!D775,"metagenome"))</f>
        <v>0</v>
      </c>
      <c r="S775">
        <f>AND(IF(metadata!E775="",FALSE,TRUE),exact(metadata!E775,"256318"))</f>
        <v>0</v>
      </c>
    </row>
    <row r="776" spans="1:19">
      <c r="A776" s="4">
        <f>IF(B776=" "," ",HYPERLINK(CONCATENATE("#metadata!",ADDRESS(INDEX($K$2:$K$1001,MATCH(ROWS($I$2:I776),$I$2:$I$1001,0),0),1)),INDEX($N$2:$N$1001,MATCH(ROWS($I$2:I776),$I$2:$I$1001,0),0)))</f>
        <v>0</v>
      </c>
      <c r="B776" s="3">
        <f>IF(OR(INDEX($J$2:$J$1001,MATCH(ROWS($I$2:I776),$I$2:$I$1001,0),1)&gt;=100000,INDEX($P$1005:$S$1005,1,MATCH(COLUMNS($P$1006:P1006),$P$1006:$S$1006,0))&gt;=100000), " ",IF(INDEX($P$2:$S$1001,MATCH(ROWS($I$2:I776),$I$2:$I$1001,0),MATCH(COLUMNS($P$1006:P1006),$P$1006:$S$1006,0)), HYPERLINK("#",""), HYPERLINK(CONCATENATE("#metadata!", ADDRESS(INDEX($K$2:$K$1001,MATCH(ROWS($I$2:I776),$I$2:$I$1001,0),0), INDEX($P$1004:$S$1004,1,MATCH(COLUMNS($P$1006:P1006),$P$1006:$S$1006,0)))),"Fix")))</f>
        <v>0</v>
      </c>
      <c r="C776" s="3">
        <f>IF(OR(INDEX($J$2:$J$1001,MATCH(ROWS($I$2:I776),$I$2:$I$1001,0),1)&gt;=100000,INDEX($P$1005:$S$1005,1,MATCH(COLUMNS($P$1006:Q1006),$P$1006:$S$1006,0))&gt;=100000), " ",IF(INDEX($P$2:$S$1001,MATCH(ROWS($I$2:I776),$I$2:$I$1001,0),MATCH(COLUMNS($P$1006:Q1006),$P$1006:$S$1006,0)), HYPERLINK("#",""), HYPERLINK(CONCATENATE("#metadata!", ADDRESS(INDEX($K$2:$K$1001,MATCH(ROWS($I$2:I776),$I$2:$I$1001,0),0), INDEX($P$1004:$S$1004,1,MATCH(COLUMNS($P$1006:Q1006),$P$1006:$S$1006,0)))),"Fix")))</f>
        <v>0</v>
      </c>
      <c r="D776" s="3">
        <f>IF(OR(INDEX($J$2:$J$1001,MATCH(ROWS($I$2:I776),$I$2:$I$1001,0),1)&gt;=100000,INDEX($P$1005:$S$1005,1,MATCH(COLUMNS($P$1006:R1006),$P$1006:$S$1006,0))&gt;=100000), " ",IF(INDEX($P$2:$S$1001,MATCH(ROWS($I$2:I776),$I$2:$I$1001,0),MATCH(COLUMNS($P$1006:R1006),$P$1006:$S$1006,0)), HYPERLINK("#",""), HYPERLINK(CONCATENATE("#metadata!", ADDRESS(INDEX($K$2:$K$1001,MATCH(ROWS($I$2:I776),$I$2:$I$1001,0),0), INDEX($P$1004:$S$1004,1,MATCH(COLUMNS($P$1006:R1006),$P$1006:$S$1006,0)))),"Fix")))</f>
        <v>0</v>
      </c>
      <c r="E776" s="3">
        <f>IF(OR(INDEX($J$2:$J$1001,MATCH(ROWS($I$2:I776),$I$2:$I$1001,0),1)&gt;=100000,INDEX($P$1005:$S$1005,1,MATCH(COLUMNS($P$1006:S1006),$P$1006:$S$1006,0))&gt;=100000), " ",IF(INDEX($P$2:$S$1001,MATCH(ROWS($I$2:I776),$I$2:$I$1001,0),MATCH(COLUMNS($P$1006:S1006),$P$1006:$S$1006,0)), HYPERLINK("#",""), HYPERLINK(CONCATENATE("#metadata!", ADDRESS(INDEX($K$2:$K$1001,MATCH(ROWS($I$2:I776),$I$2:$I$1001,0),0), INDEX($P$1004:$S$1004,1,MATCH(COLUMNS($P$1006:S1006),$P$1006:$S$1006,0)))),"Fix")))</f>
        <v>0</v>
      </c>
      <c r="I776">
        <v>0</v>
      </c>
      <c r="J776">
        <v>0</v>
      </c>
      <c r="K776">
        <v>0</v>
      </c>
      <c r="L776">
        <f>IF(M776,TRUE,AND(P776:S776))</f>
        <v>0</v>
      </c>
      <c r="M776">
        <f>COUNTBLANK(metadata!B776:E776)=COLUMNS(metadata!B776:E776)</f>
        <v>0</v>
      </c>
      <c r="N776">
        <v>0</v>
      </c>
      <c r="P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Q776">
        <f>AND(IF(metadata!C776="",FALSE,TRUE),exact(metadata!C776,"other"))</f>
        <v>0</v>
      </c>
      <c r="R776">
        <f>AND(IF(metadata!D776="",FALSE,TRUE),exact(metadata!D776,"metagenome"))</f>
        <v>0</v>
      </c>
      <c r="S776">
        <f>AND(IF(metadata!E776="",FALSE,TRUE),exact(metadata!E776,"256318"))</f>
        <v>0</v>
      </c>
    </row>
    <row r="777" spans="1:19">
      <c r="A777" s="4">
        <f>IF(B777=" "," ",HYPERLINK(CONCATENATE("#metadata!",ADDRESS(INDEX($K$2:$K$1001,MATCH(ROWS($I$2:I777),$I$2:$I$1001,0),0),1)),INDEX($N$2:$N$1001,MATCH(ROWS($I$2:I777),$I$2:$I$1001,0),0)))</f>
        <v>0</v>
      </c>
      <c r="B777" s="3">
        <f>IF(OR(INDEX($J$2:$J$1001,MATCH(ROWS($I$2:I777),$I$2:$I$1001,0),1)&gt;=100000,INDEX($P$1005:$S$1005,1,MATCH(COLUMNS($P$1006:P1006),$P$1006:$S$1006,0))&gt;=100000), " ",IF(INDEX($P$2:$S$1001,MATCH(ROWS($I$2:I777),$I$2:$I$1001,0),MATCH(COLUMNS($P$1006:P1006),$P$1006:$S$1006,0)), HYPERLINK("#",""), HYPERLINK(CONCATENATE("#metadata!", ADDRESS(INDEX($K$2:$K$1001,MATCH(ROWS($I$2:I777),$I$2:$I$1001,0),0), INDEX($P$1004:$S$1004,1,MATCH(COLUMNS($P$1006:P1006),$P$1006:$S$1006,0)))),"Fix")))</f>
        <v>0</v>
      </c>
      <c r="C777" s="3">
        <f>IF(OR(INDEX($J$2:$J$1001,MATCH(ROWS($I$2:I777),$I$2:$I$1001,0),1)&gt;=100000,INDEX($P$1005:$S$1005,1,MATCH(COLUMNS($P$1006:Q1006),$P$1006:$S$1006,0))&gt;=100000), " ",IF(INDEX($P$2:$S$1001,MATCH(ROWS($I$2:I777),$I$2:$I$1001,0),MATCH(COLUMNS($P$1006:Q1006),$P$1006:$S$1006,0)), HYPERLINK("#",""), HYPERLINK(CONCATENATE("#metadata!", ADDRESS(INDEX($K$2:$K$1001,MATCH(ROWS($I$2:I777),$I$2:$I$1001,0),0), INDEX($P$1004:$S$1004,1,MATCH(COLUMNS($P$1006:Q1006),$P$1006:$S$1006,0)))),"Fix")))</f>
        <v>0</v>
      </c>
      <c r="D777" s="3">
        <f>IF(OR(INDEX($J$2:$J$1001,MATCH(ROWS($I$2:I777),$I$2:$I$1001,0),1)&gt;=100000,INDEX($P$1005:$S$1005,1,MATCH(COLUMNS($P$1006:R1006),$P$1006:$S$1006,0))&gt;=100000), " ",IF(INDEX($P$2:$S$1001,MATCH(ROWS($I$2:I777),$I$2:$I$1001,0),MATCH(COLUMNS($P$1006:R1006),$P$1006:$S$1006,0)), HYPERLINK("#",""), HYPERLINK(CONCATENATE("#metadata!", ADDRESS(INDEX($K$2:$K$1001,MATCH(ROWS($I$2:I777),$I$2:$I$1001,0),0), INDEX($P$1004:$S$1004,1,MATCH(COLUMNS($P$1006:R1006),$P$1006:$S$1006,0)))),"Fix")))</f>
        <v>0</v>
      </c>
      <c r="E777" s="3">
        <f>IF(OR(INDEX($J$2:$J$1001,MATCH(ROWS($I$2:I777),$I$2:$I$1001,0),1)&gt;=100000,INDEX($P$1005:$S$1005,1,MATCH(COLUMNS($P$1006:S1006),$P$1006:$S$1006,0))&gt;=100000), " ",IF(INDEX($P$2:$S$1001,MATCH(ROWS($I$2:I777),$I$2:$I$1001,0),MATCH(COLUMNS($P$1006:S1006),$P$1006:$S$1006,0)), HYPERLINK("#",""), HYPERLINK(CONCATENATE("#metadata!", ADDRESS(INDEX($K$2:$K$1001,MATCH(ROWS($I$2:I777),$I$2:$I$1001,0),0), INDEX($P$1004:$S$1004,1,MATCH(COLUMNS($P$1006:S1006),$P$1006:$S$1006,0)))),"Fix")))</f>
        <v>0</v>
      </c>
      <c r="I777">
        <v>0</v>
      </c>
      <c r="J777">
        <v>0</v>
      </c>
      <c r="K777">
        <v>0</v>
      </c>
      <c r="L777">
        <f>IF(M777,TRUE,AND(P777:S777))</f>
        <v>0</v>
      </c>
      <c r="M777">
        <f>COUNTBLANK(metadata!B777:E777)=COLUMNS(metadata!B777:E777)</f>
        <v>0</v>
      </c>
      <c r="N777">
        <v>0</v>
      </c>
      <c r="P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Q777">
        <f>AND(IF(metadata!C777="",FALSE,TRUE),exact(metadata!C777,"other"))</f>
        <v>0</v>
      </c>
      <c r="R777">
        <f>AND(IF(metadata!D777="",FALSE,TRUE),exact(metadata!D777,"metagenome"))</f>
        <v>0</v>
      </c>
      <c r="S777">
        <f>AND(IF(metadata!E777="",FALSE,TRUE),exact(metadata!E777,"256318"))</f>
        <v>0</v>
      </c>
    </row>
    <row r="778" spans="1:19">
      <c r="A778" s="4">
        <f>IF(B778=" "," ",HYPERLINK(CONCATENATE("#metadata!",ADDRESS(INDEX($K$2:$K$1001,MATCH(ROWS($I$2:I778),$I$2:$I$1001,0),0),1)),INDEX($N$2:$N$1001,MATCH(ROWS($I$2:I778),$I$2:$I$1001,0),0)))</f>
        <v>0</v>
      </c>
      <c r="B778" s="3">
        <f>IF(OR(INDEX($J$2:$J$1001,MATCH(ROWS($I$2:I778),$I$2:$I$1001,0),1)&gt;=100000,INDEX($P$1005:$S$1005,1,MATCH(COLUMNS($P$1006:P1006),$P$1006:$S$1006,0))&gt;=100000), " ",IF(INDEX($P$2:$S$1001,MATCH(ROWS($I$2:I778),$I$2:$I$1001,0),MATCH(COLUMNS($P$1006:P1006),$P$1006:$S$1006,0)), HYPERLINK("#",""), HYPERLINK(CONCATENATE("#metadata!", ADDRESS(INDEX($K$2:$K$1001,MATCH(ROWS($I$2:I778),$I$2:$I$1001,0),0), INDEX($P$1004:$S$1004,1,MATCH(COLUMNS($P$1006:P1006),$P$1006:$S$1006,0)))),"Fix")))</f>
        <v>0</v>
      </c>
      <c r="C778" s="3">
        <f>IF(OR(INDEX($J$2:$J$1001,MATCH(ROWS($I$2:I778),$I$2:$I$1001,0),1)&gt;=100000,INDEX($P$1005:$S$1005,1,MATCH(COLUMNS($P$1006:Q1006),$P$1006:$S$1006,0))&gt;=100000), " ",IF(INDEX($P$2:$S$1001,MATCH(ROWS($I$2:I778),$I$2:$I$1001,0),MATCH(COLUMNS($P$1006:Q1006),$P$1006:$S$1006,0)), HYPERLINK("#",""), HYPERLINK(CONCATENATE("#metadata!", ADDRESS(INDEX($K$2:$K$1001,MATCH(ROWS($I$2:I778),$I$2:$I$1001,0),0), INDEX($P$1004:$S$1004,1,MATCH(COLUMNS($P$1006:Q1006),$P$1006:$S$1006,0)))),"Fix")))</f>
        <v>0</v>
      </c>
      <c r="D778" s="3">
        <f>IF(OR(INDEX($J$2:$J$1001,MATCH(ROWS($I$2:I778),$I$2:$I$1001,0),1)&gt;=100000,INDEX($P$1005:$S$1005,1,MATCH(COLUMNS($P$1006:R1006),$P$1006:$S$1006,0))&gt;=100000), " ",IF(INDEX($P$2:$S$1001,MATCH(ROWS($I$2:I778),$I$2:$I$1001,0),MATCH(COLUMNS($P$1006:R1006),$P$1006:$S$1006,0)), HYPERLINK("#",""), HYPERLINK(CONCATENATE("#metadata!", ADDRESS(INDEX($K$2:$K$1001,MATCH(ROWS($I$2:I778),$I$2:$I$1001,0),0), INDEX($P$1004:$S$1004,1,MATCH(COLUMNS($P$1006:R1006),$P$1006:$S$1006,0)))),"Fix")))</f>
        <v>0</v>
      </c>
      <c r="E778" s="3">
        <f>IF(OR(INDEX($J$2:$J$1001,MATCH(ROWS($I$2:I778),$I$2:$I$1001,0),1)&gt;=100000,INDEX($P$1005:$S$1005,1,MATCH(COLUMNS($P$1006:S1006),$P$1006:$S$1006,0))&gt;=100000), " ",IF(INDEX($P$2:$S$1001,MATCH(ROWS($I$2:I778),$I$2:$I$1001,0),MATCH(COLUMNS($P$1006:S1006),$P$1006:$S$1006,0)), HYPERLINK("#",""), HYPERLINK(CONCATENATE("#metadata!", ADDRESS(INDEX($K$2:$K$1001,MATCH(ROWS($I$2:I778),$I$2:$I$1001,0),0), INDEX($P$1004:$S$1004,1,MATCH(COLUMNS($P$1006:S1006),$P$1006:$S$1006,0)))),"Fix")))</f>
        <v>0</v>
      </c>
      <c r="I778">
        <v>0</v>
      </c>
      <c r="J778">
        <v>0</v>
      </c>
      <c r="K778">
        <v>0</v>
      </c>
      <c r="L778">
        <f>IF(M778,TRUE,AND(P778:S778))</f>
        <v>0</v>
      </c>
      <c r="M778">
        <f>COUNTBLANK(metadata!B778:E778)=COLUMNS(metadata!B778:E778)</f>
        <v>0</v>
      </c>
      <c r="N778">
        <v>0</v>
      </c>
      <c r="P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Q778">
        <f>AND(IF(metadata!C778="",FALSE,TRUE),exact(metadata!C778,"other"))</f>
        <v>0</v>
      </c>
      <c r="R778">
        <f>AND(IF(metadata!D778="",FALSE,TRUE),exact(metadata!D778,"metagenome"))</f>
        <v>0</v>
      </c>
      <c r="S778">
        <f>AND(IF(metadata!E778="",FALSE,TRUE),exact(metadata!E778,"256318"))</f>
        <v>0</v>
      </c>
    </row>
    <row r="779" spans="1:19">
      <c r="A779" s="4">
        <f>IF(B779=" "," ",HYPERLINK(CONCATENATE("#metadata!",ADDRESS(INDEX($K$2:$K$1001,MATCH(ROWS($I$2:I779),$I$2:$I$1001,0),0),1)),INDEX($N$2:$N$1001,MATCH(ROWS($I$2:I779),$I$2:$I$1001,0),0)))</f>
        <v>0</v>
      </c>
      <c r="B779" s="3">
        <f>IF(OR(INDEX($J$2:$J$1001,MATCH(ROWS($I$2:I779),$I$2:$I$1001,0),1)&gt;=100000,INDEX($P$1005:$S$1005,1,MATCH(COLUMNS($P$1006:P1006),$P$1006:$S$1006,0))&gt;=100000), " ",IF(INDEX($P$2:$S$1001,MATCH(ROWS($I$2:I779),$I$2:$I$1001,0),MATCH(COLUMNS($P$1006:P1006),$P$1006:$S$1006,0)), HYPERLINK("#",""), HYPERLINK(CONCATENATE("#metadata!", ADDRESS(INDEX($K$2:$K$1001,MATCH(ROWS($I$2:I779),$I$2:$I$1001,0),0), INDEX($P$1004:$S$1004,1,MATCH(COLUMNS($P$1006:P1006),$P$1006:$S$1006,0)))),"Fix")))</f>
        <v>0</v>
      </c>
      <c r="C779" s="3">
        <f>IF(OR(INDEX($J$2:$J$1001,MATCH(ROWS($I$2:I779),$I$2:$I$1001,0),1)&gt;=100000,INDEX($P$1005:$S$1005,1,MATCH(COLUMNS($P$1006:Q1006),$P$1006:$S$1006,0))&gt;=100000), " ",IF(INDEX($P$2:$S$1001,MATCH(ROWS($I$2:I779),$I$2:$I$1001,0),MATCH(COLUMNS($P$1006:Q1006),$P$1006:$S$1006,0)), HYPERLINK("#",""), HYPERLINK(CONCATENATE("#metadata!", ADDRESS(INDEX($K$2:$K$1001,MATCH(ROWS($I$2:I779),$I$2:$I$1001,0),0), INDEX($P$1004:$S$1004,1,MATCH(COLUMNS($P$1006:Q1006),$P$1006:$S$1006,0)))),"Fix")))</f>
        <v>0</v>
      </c>
      <c r="D779" s="3">
        <f>IF(OR(INDEX($J$2:$J$1001,MATCH(ROWS($I$2:I779),$I$2:$I$1001,0),1)&gt;=100000,INDEX($P$1005:$S$1005,1,MATCH(COLUMNS($P$1006:R1006),$P$1006:$S$1006,0))&gt;=100000), " ",IF(INDEX($P$2:$S$1001,MATCH(ROWS($I$2:I779),$I$2:$I$1001,0),MATCH(COLUMNS($P$1006:R1006),$P$1006:$S$1006,0)), HYPERLINK("#",""), HYPERLINK(CONCATENATE("#metadata!", ADDRESS(INDEX($K$2:$K$1001,MATCH(ROWS($I$2:I779),$I$2:$I$1001,0),0), INDEX($P$1004:$S$1004,1,MATCH(COLUMNS($P$1006:R1006),$P$1006:$S$1006,0)))),"Fix")))</f>
        <v>0</v>
      </c>
      <c r="E779" s="3">
        <f>IF(OR(INDEX($J$2:$J$1001,MATCH(ROWS($I$2:I779),$I$2:$I$1001,0),1)&gt;=100000,INDEX($P$1005:$S$1005,1,MATCH(COLUMNS($P$1006:S1006),$P$1006:$S$1006,0))&gt;=100000), " ",IF(INDEX($P$2:$S$1001,MATCH(ROWS($I$2:I779),$I$2:$I$1001,0),MATCH(COLUMNS($P$1006:S1006),$P$1006:$S$1006,0)), HYPERLINK("#",""), HYPERLINK(CONCATENATE("#metadata!", ADDRESS(INDEX($K$2:$K$1001,MATCH(ROWS($I$2:I779),$I$2:$I$1001,0),0), INDEX($P$1004:$S$1004,1,MATCH(COLUMNS($P$1006:S1006),$P$1006:$S$1006,0)))),"Fix")))</f>
        <v>0</v>
      </c>
      <c r="I779">
        <v>0</v>
      </c>
      <c r="J779">
        <v>0</v>
      </c>
      <c r="K779">
        <v>0</v>
      </c>
      <c r="L779">
        <f>IF(M779,TRUE,AND(P779:S779))</f>
        <v>0</v>
      </c>
      <c r="M779">
        <f>COUNTBLANK(metadata!B779:E779)=COLUMNS(metadata!B779:E779)</f>
        <v>0</v>
      </c>
      <c r="N779">
        <v>0</v>
      </c>
      <c r="P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Q779">
        <f>AND(IF(metadata!C779="",FALSE,TRUE),exact(metadata!C779,"other"))</f>
        <v>0</v>
      </c>
      <c r="R779">
        <f>AND(IF(metadata!D779="",FALSE,TRUE),exact(metadata!D779,"metagenome"))</f>
        <v>0</v>
      </c>
      <c r="S779">
        <f>AND(IF(metadata!E779="",FALSE,TRUE),exact(metadata!E779,"256318"))</f>
        <v>0</v>
      </c>
    </row>
    <row r="780" spans="1:19">
      <c r="A780" s="4">
        <f>IF(B780=" "," ",HYPERLINK(CONCATENATE("#metadata!",ADDRESS(INDEX($K$2:$K$1001,MATCH(ROWS($I$2:I780),$I$2:$I$1001,0),0),1)),INDEX($N$2:$N$1001,MATCH(ROWS($I$2:I780),$I$2:$I$1001,0),0)))</f>
        <v>0</v>
      </c>
      <c r="B780" s="3">
        <f>IF(OR(INDEX($J$2:$J$1001,MATCH(ROWS($I$2:I780),$I$2:$I$1001,0),1)&gt;=100000,INDEX($P$1005:$S$1005,1,MATCH(COLUMNS($P$1006:P1006),$P$1006:$S$1006,0))&gt;=100000), " ",IF(INDEX($P$2:$S$1001,MATCH(ROWS($I$2:I780),$I$2:$I$1001,0),MATCH(COLUMNS($P$1006:P1006),$P$1006:$S$1006,0)), HYPERLINK("#",""), HYPERLINK(CONCATENATE("#metadata!", ADDRESS(INDEX($K$2:$K$1001,MATCH(ROWS($I$2:I780),$I$2:$I$1001,0),0), INDEX($P$1004:$S$1004,1,MATCH(COLUMNS($P$1006:P1006),$P$1006:$S$1006,0)))),"Fix")))</f>
        <v>0</v>
      </c>
      <c r="C780" s="3">
        <f>IF(OR(INDEX($J$2:$J$1001,MATCH(ROWS($I$2:I780),$I$2:$I$1001,0),1)&gt;=100000,INDEX($P$1005:$S$1005,1,MATCH(COLUMNS($P$1006:Q1006),$P$1006:$S$1006,0))&gt;=100000), " ",IF(INDEX($P$2:$S$1001,MATCH(ROWS($I$2:I780),$I$2:$I$1001,0),MATCH(COLUMNS($P$1006:Q1006),$P$1006:$S$1006,0)), HYPERLINK("#",""), HYPERLINK(CONCATENATE("#metadata!", ADDRESS(INDEX($K$2:$K$1001,MATCH(ROWS($I$2:I780),$I$2:$I$1001,0),0), INDEX($P$1004:$S$1004,1,MATCH(COLUMNS($P$1006:Q1006),$P$1006:$S$1006,0)))),"Fix")))</f>
        <v>0</v>
      </c>
      <c r="D780" s="3">
        <f>IF(OR(INDEX($J$2:$J$1001,MATCH(ROWS($I$2:I780),$I$2:$I$1001,0),1)&gt;=100000,INDEX($P$1005:$S$1005,1,MATCH(COLUMNS($P$1006:R1006),$P$1006:$S$1006,0))&gt;=100000), " ",IF(INDEX($P$2:$S$1001,MATCH(ROWS($I$2:I780),$I$2:$I$1001,0),MATCH(COLUMNS($P$1006:R1006),$P$1006:$S$1006,0)), HYPERLINK("#",""), HYPERLINK(CONCATENATE("#metadata!", ADDRESS(INDEX($K$2:$K$1001,MATCH(ROWS($I$2:I780),$I$2:$I$1001,0),0), INDEX($P$1004:$S$1004,1,MATCH(COLUMNS($P$1006:R1006),$P$1006:$S$1006,0)))),"Fix")))</f>
        <v>0</v>
      </c>
      <c r="E780" s="3">
        <f>IF(OR(INDEX($J$2:$J$1001,MATCH(ROWS($I$2:I780),$I$2:$I$1001,0),1)&gt;=100000,INDEX($P$1005:$S$1005,1,MATCH(COLUMNS($P$1006:S1006),$P$1006:$S$1006,0))&gt;=100000), " ",IF(INDEX($P$2:$S$1001,MATCH(ROWS($I$2:I780),$I$2:$I$1001,0),MATCH(COLUMNS($P$1006:S1006),$P$1006:$S$1006,0)), HYPERLINK("#",""), HYPERLINK(CONCATENATE("#metadata!", ADDRESS(INDEX($K$2:$K$1001,MATCH(ROWS($I$2:I780),$I$2:$I$1001,0),0), INDEX($P$1004:$S$1004,1,MATCH(COLUMNS($P$1006:S1006),$P$1006:$S$1006,0)))),"Fix")))</f>
        <v>0</v>
      </c>
      <c r="I780">
        <v>0</v>
      </c>
      <c r="J780">
        <v>0</v>
      </c>
      <c r="K780">
        <v>0</v>
      </c>
      <c r="L780">
        <f>IF(M780,TRUE,AND(P780:S780))</f>
        <v>0</v>
      </c>
      <c r="M780">
        <f>COUNTBLANK(metadata!B780:E780)=COLUMNS(metadata!B780:E780)</f>
        <v>0</v>
      </c>
      <c r="N780">
        <v>0</v>
      </c>
      <c r="P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Q780">
        <f>AND(IF(metadata!C780="",FALSE,TRUE),exact(metadata!C780,"other"))</f>
        <v>0</v>
      </c>
      <c r="R780">
        <f>AND(IF(metadata!D780="",FALSE,TRUE),exact(metadata!D780,"metagenome"))</f>
        <v>0</v>
      </c>
      <c r="S780">
        <f>AND(IF(metadata!E780="",FALSE,TRUE),exact(metadata!E780,"256318"))</f>
        <v>0</v>
      </c>
    </row>
    <row r="781" spans="1:19">
      <c r="A781" s="4">
        <f>IF(B781=" "," ",HYPERLINK(CONCATENATE("#metadata!",ADDRESS(INDEX($K$2:$K$1001,MATCH(ROWS($I$2:I781),$I$2:$I$1001,0),0),1)),INDEX($N$2:$N$1001,MATCH(ROWS($I$2:I781),$I$2:$I$1001,0),0)))</f>
        <v>0</v>
      </c>
      <c r="B781" s="3">
        <f>IF(OR(INDEX($J$2:$J$1001,MATCH(ROWS($I$2:I781),$I$2:$I$1001,0),1)&gt;=100000,INDEX($P$1005:$S$1005,1,MATCH(COLUMNS($P$1006:P1006),$P$1006:$S$1006,0))&gt;=100000), " ",IF(INDEX($P$2:$S$1001,MATCH(ROWS($I$2:I781),$I$2:$I$1001,0),MATCH(COLUMNS($P$1006:P1006),$P$1006:$S$1006,0)), HYPERLINK("#",""), HYPERLINK(CONCATENATE("#metadata!", ADDRESS(INDEX($K$2:$K$1001,MATCH(ROWS($I$2:I781),$I$2:$I$1001,0),0), INDEX($P$1004:$S$1004,1,MATCH(COLUMNS($P$1006:P1006),$P$1006:$S$1006,0)))),"Fix")))</f>
        <v>0</v>
      </c>
      <c r="C781" s="3">
        <f>IF(OR(INDEX($J$2:$J$1001,MATCH(ROWS($I$2:I781),$I$2:$I$1001,0),1)&gt;=100000,INDEX($P$1005:$S$1005,1,MATCH(COLUMNS($P$1006:Q1006),$P$1006:$S$1006,0))&gt;=100000), " ",IF(INDEX($P$2:$S$1001,MATCH(ROWS($I$2:I781),$I$2:$I$1001,0),MATCH(COLUMNS($P$1006:Q1006),$P$1006:$S$1006,0)), HYPERLINK("#",""), HYPERLINK(CONCATENATE("#metadata!", ADDRESS(INDEX($K$2:$K$1001,MATCH(ROWS($I$2:I781),$I$2:$I$1001,0),0), INDEX($P$1004:$S$1004,1,MATCH(COLUMNS($P$1006:Q1006),$P$1006:$S$1006,0)))),"Fix")))</f>
        <v>0</v>
      </c>
      <c r="D781" s="3">
        <f>IF(OR(INDEX($J$2:$J$1001,MATCH(ROWS($I$2:I781),$I$2:$I$1001,0),1)&gt;=100000,INDEX($P$1005:$S$1005,1,MATCH(COLUMNS($P$1006:R1006),$P$1006:$S$1006,0))&gt;=100000), " ",IF(INDEX($P$2:$S$1001,MATCH(ROWS($I$2:I781),$I$2:$I$1001,0),MATCH(COLUMNS($P$1006:R1006),$P$1006:$S$1006,0)), HYPERLINK("#",""), HYPERLINK(CONCATENATE("#metadata!", ADDRESS(INDEX($K$2:$K$1001,MATCH(ROWS($I$2:I781),$I$2:$I$1001,0),0), INDEX($P$1004:$S$1004,1,MATCH(COLUMNS($P$1006:R1006),$P$1006:$S$1006,0)))),"Fix")))</f>
        <v>0</v>
      </c>
      <c r="E781" s="3">
        <f>IF(OR(INDEX($J$2:$J$1001,MATCH(ROWS($I$2:I781),$I$2:$I$1001,0),1)&gt;=100000,INDEX($P$1005:$S$1005,1,MATCH(COLUMNS($P$1006:S1006),$P$1006:$S$1006,0))&gt;=100000), " ",IF(INDEX($P$2:$S$1001,MATCH(ROWS($I$2:I781),$I$2:$I$1001,0),MATCH(COLUMNS($P$1006:S1006),$P$1006:$S$1006,0)), HYPERLINK("#",""), HYPERLINK(CONCATENATE("#metadata!", ADDRESS(INDEX($K$2:$K$1001,MATCH(ROWS($I$2:I781),$I$2:$I$1001,0),0), INDEX($P$1004:$S$1004,1,MATCH(COLUMNS($P$1006:S1006),$P$1006:$S$1006,0)))),"Fix")))</f>
        <v>0</v>
      </c>
      <c r="I781">
        <v>0</v>
      </c>
      <c r="J781">
        <v>0</v>
      </c>
      <c r="K781">
        <v>0</v>
      </c>
      <c r="L781">
        <f>IF(M781,TRUE,AND(P781:S781))</f>
        <v>0</v>
      </c>
      <c r="M781">
        <f>COUNTBLANK(metadata!B781:E781)=COLUMNS(metadata!B781:E781)</f>
        <v>0</v>
      </c>
      <c r="N781">
        <v>0</v>
      </c>
      <c r="P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Q781">
        <f>AND(IF(metadata!C781="",FALSE,TRUE),exact(metadata!C781,"other"))</f>
        <v>0</v>
      </c>
      <c r="R781">
        <f>AND(IF(metadata!D781="",FALSE,TRUE),exact(metadata!D781,"metagenome"))</f>
        <v>0</v>
      </c>
      <c r="S781">
        <f>AND(IF(metadata!E781="",FALSE,TRUE),exact(metadata!E781,"256318"))</f>
        <v>0</v>
      </c>
    </row>
    <row r="782" spans="1:19">
      <c r="A782" s="4">
        <f>IF(B782=" "," ",HYPERLINK(CONCATENATE("#metadata!",ADDRESS(INDEX($K$2:$K$1001,MATCH(ROWS($I$2:I782),$I$2:$I$1001,0),0),1)),INDEX($N$2:$N$1001,MATCH(ROWS($I$2:I782),$I$2:$I$1001,0),0)))</f>
        <v>0</v>
      </c>
      <c r="B782" s="3">
        <f>IF(OR(INDEX($J$2:$J$1001,MATCH(ROWS($I$2:I782),$I$2:$I$1001,0),1)&gt;=100000,INDEX($P$1005:$S$1005,1,MATCH(COLUMNS($P$1006:P1006),$P$1006:$S$1006,0))&gt;=100000), " ",IF(INDEX($P$2:$S$1001,MATCH(ROWS($I$2:I782),$I$2:$I$1001,0),MATCH(COLUMNS($P$1006:P1006),$P$1006:$S$1006,0)), HYPERLINK("#",""), HYPERLINK(CONCATENATE("#metadata!", ADDRESS(INDEX($K$2:$K$1001,MATCH(ROWS($I$2:I782),$I$2:$I$1001,0),0), INDEX($P$1004:$S$1004,1,MATCH(COLUMNS($P$1006:P1006),$P$1006:$S$1006,0)))),"Fix")))</f>
        <v>0</v>
      </c>
      <c r="C782" s="3">
        <f>IF(OR(INDEX($J$2:$J$1001,MATCH(ROWS($I$2:I782),$I$2:$I$1001,0),1)&gt;=100000,INDEX($P$1005:$S$1005,1,MATCH(COLUMNS($P$1006:Q1006),$P$1006:$S$1006,0))&gt;=100000), " ",IF(INDEX($P$2:$S$1001,MATCH(ROWS($I$2:I782),$I$2:$I$1001,0),MATCH(COLUMNS($P$1006:Q1006),$P$1006:$S$1006,0)), HYPERLINK("#",""), HYPERLINK(CONCATENATE("#metadata!", ADDRESS(INDEX($K$2:$K$1001,MATCH(ROWS($I$2:I782),$I$2:$I$1001,0),0), INDEX($P$1004:$S$1004,1,MATCH(COLUMNS($P$1006:Q1006),$P$1006:$S$1006,0)))),"Fix")))</f>
        <v>0</v>
      </c>
      <c r="D782" s="3">
        <f>IF(OR(INDEX($J$2:$J$1001,MATCH(ROWS($I$2:I782),$I$2:$I$1001,0),1)&gt;=100000,INDEX($P$1005:$S$1005,1,MATCH(COLUMNS($P$1006:R1006),$P$1006:$S$1006,0))&gt;=100000), " ",IF(INDEX($P$2:$S$1001,MATCH(ROWS($I$2:I782),$I$2:$I$1001,0),MATCH(COLUMNS($P$1006:R1006),$P$1006:$S$1006,0)), HYPERLINK("#",""), HYPERLINK(CONCATENATE("#metadata!", ADDRESS(INDEX($K$2:$K$1001,MATCH(ROWS($I$2:I782),$I$2:$I$1001,0),0), INDEX($P$1004:$S$1004,1,MATCH(COLUMNS($P$1006:R1006),$P$1006:$S$1006,0)))),"Fix")))</f>
        <v>0</v>
      </c>
      <c r="E782" s="3">
        <f>IF(OR(INDEX($J$2:$J$1001,MATCH(ROWS($I$2:I782),$I$2:$I$1001,0),1)&gt;=100000,INDEX($P$1005:$S$1005,1,MATCH(COLUMNS($P$1006:S1006),$P$1006:$S$1006,0))&gt;=100000), " ",IF(INDEX($P$2:$S$1001,MATCH(ROWS($I$2:I782),$I$2:$I$1001,0),MATCH(COLUMNS($P$1006:S1006),$P$1006:$S$1006,0)), HYPERLINK("#",""), HYPERLINK(CONCATENATE("#metadata!", ADDRESS(INDEX($K$2:$K$1001,MATCH(ROWS($I$2:I782),$I$2:$I$1001,0),0), INDEX($P$1004:$S$1004,1,MATCH(COLUMNS($P$1006:S1006),$P$1006:$S$1006,0)))),"Fix")))</f>
        <v>0</v>
      </c>
      <c r="I782">
        <v>0</v>
      </c>
      <c r="J782">
        <v>0</v>
      </c>
      <c r="K782">
        <v>0</v>
      </c>
      <c r="L782">
        <f>IF(M782,TRUE,AND(P782:S782))</f>
        <v>0</v>
      </c>
      <c r="M782">
        <f>COUNTBLANK(metadata!B782:E782)=COLUMNS(metadata!B782:E782)</f>
        <v>0</v>
      </c>
      <c r="N782">
        <v>0</v>
      </c>
      <c r="P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Q782">
        <f>AND(IF(metadata!C782="",FALSE,TRUE),exact(metadata!C782,"other"))</f>
        <v>0</v>
      </c>
      <c r="R782">
        <f>AND(IF(metadata!D782="",FALSE,TRUE),exact(metadata!D782,"metagenome"))</f>
        <v>0</v>
      </c>
      <c r="S782">
        <f>AND(IF(metadata!E782="",FALSE,TRUE),exact(metadata!E782,"256318"))</f>
        <v>0</v>
      </c>
    </row>
    <row r="783" spans="1:19">
      <c r="A783" s="4">
        <f>IF(B783=" "," ",HYPERLINK(CONCATENATE("#metadata!",ADDRESS(INDEX($K$2:$K$1001,MATCH(ROWS($I$2:I783),$I$2:$I$1001,0),0),1)),INDEX($N$2:$N$1001,MATCH(ROWS($I$2:I783),$I$2:$I$1001,0),0)))</f>
        <v>0</v>
      </c>
      <c r="B783" s="3">
        <f>IF(OR(INDEX($J$2:$J$1001,MATCH(ROWS($I$2:I783),$I$2:$I$1001,0),1)&gt;=100000,INDEX($P$1005:$S$1005,1,MATCH(COLUMNS($P$1006:P1006),$P$1006:$S$1006,0))&gt;=100000), " ",IF(INDEX($P$2:$S$1001,MATCH(ROWS($I$2:I783),$I$2:$I$1001,0),MATCH(COLUMNS($P$1006:P1006),$P$1006:$S$1006,0)), HYPERLINK("#",""), HYPERLINK(CONCATENATE("#metadata!", ADDRESS(INDEX($K$2:$K$1001,MATCH(ROWS($I$2:I783),$I$2:$I$1001,0),0), INDEX($P$1004:$S$1004,1,MATCH(COLUMNS($P$1006:P1006),$P$1006:$S$1006,0)))),"Fix")))</f>
        <v>0</v>
      </c>
      <c r="C783" s="3">
        <f>IF(OR(INDEX($J$2:$J$1001,MATCH(ROWS($I$2:I783),$I$2:$I$1001,0),1)&gt;=100000,INDEX($P$1005:$S$1005,1,MATCH(COLUMNS($P$1006:Q1006),$P$1006:$S$1006,0))&gt;=100000), " ",IF(INDEX($P$2:$S$1001,MATCH(ROWS($I$2:I783),$I$2:$I$1001,0),MATCH(COLUMNS($P$1006:Q1006),$P$1006:$S$1006,0)), HYPERLINK("#",""), HYPERLINK(CONCATENATE("#metadata!", ADDRESS(INDEX($K$2:$K$1001,MATCH(ROWS($I$2:I783),$I$2:$I$1001,0),0), INDEX($P$1004:$S$1004,1,MATCH(COLUMNS($P$1006:Q1006),$P$1006:$S$1006,0)))),"Fix")))</f>
        <v>0</v>
      </c>
      <c r="D783" s="3">
        <f>IF(OR(INDEX($J$2:$J$1001,MATCH(ROWS($I$2:I783),$I$2:$I$1001,0),1)&gt;=100000,INDEX($P$1005:$S$1005,1,MATCH(COLUMNS($P$1006:R1006),$P$1006:$S$1006,0))&gt;=100000), " ",IF(INDEX($P$2:$S$1001,MATCH(ROWS($I$2:I783),$I$2:$I$1001,0),MATCH(COLUMNS($P$1006:R1006),$P$1006:$S$1006,0)), HYPERLINK("#",""), HYPERLINK(CONCATENATE("#metadata!", ADDRESS(INDEX($K$2:$K$1001,MATCH(ROWS($I$2:I783),$I$2:$I$1001,0),0), INDEX($P$1004:$S$1004,1,MATCH(COLUMNS($P$1006:R1006),$P$1006:$S$1006,0)))),"Fix")))</f>
        <v>0</v>
      </c>
      <c r="E783" s="3">
        <f>IF(OR(INDEX($J$2:$J$1001,MATCH(ROWS($I$2:I783),$I$2:$I$1001,0),1)&gt;=100000,INDEX($P$1005:$S$1005,1,MATCH(COLUMNS($P$1006:S1006),$P$1006:$S$1006,0))&gt;=100000), " ",IF(INDEX($P$2:$S$1001,MATCH(ROWS($I$2:I783),$I$2:$I$1001,0),MATCH(COLUMNS($P$1006:S1006),$P$1006:$S$1006,0)), HYPERLINK("#",""), HYPERLINK(CONCATENATE("#metadata!", ADDRESS(INDEX($K$2:$K$1001,MATCH(ROWS($I$2:I783),$I$2:$I$1001,0),0), INDEX($P$1004:$S$1004,1,MATCH(COLUMNS($P$1006:S1006),$P$1006:$S$1006,0)))),"Fix")))</f>
        <v>0</v>
      </c>
      <c r="I783">
        <v>0</v>
      </c>
      <c r="J783">
        <v>0</v>
      </c>
      <c r="K783">
        <v>0</v>
      </c>
      <c r="L783">
        <f>IF(M783,TRUE,AND(P783:S783))</f>
        <v>0</v>
      </c>
      <c r="M783">
        <f>COUNTBLANK(metadata!B783:E783)=COLUMNS(metadata!B783:E783)</f>
        <v>0</v>
      </c>
      <c r="N783">
        <v>0</v>
      </c>
      <c r="P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Q783">
        <f>AND(IF(metadata!C783="",FALSE,TRUE),exact(metadata!C783,"other"))</f>
        <v>0</v>
      </c>
      <c r="R783">
        <f>AND(IF(metadata!D783="",FALSE,TRUE),exact(metadata!D783,"metagenome"))</f>
        <v>0</v>
      </c>
      <c r="S783">
        <f>AND(IF(metadata!E783="",FALSE,TRUE),exact(metadata!E783,"256318"))</f>
        <v>0</v>
      </c>
    </row>
    <row r="784" spans="1:19">
      <c r="A784" s="4">
        <f>IF(B784=" "," ",HYPERLINK(CONCATENATE("#metadata!",ADDRESS(INDEX($K$2:$K$1001,MATCH(ROWS($I$2:I784),$I$2:$I$1001,0),0),1)),INDEX($N$2:$N$1001,MATCH(ROWS($I$2:I784),$I$2:$I$1001,0),0)))</f>
        <v>0</v>
      </c>
      <c r="B784" s="3">
        <f>IF(OR(INDEX($J$2:$J$1001,MATCH(ROWS($I$2:I784),$I$2:$I$1001,0),1)&gt;=100000,INDEX($P$1005:$S$1005,1,MATCH(COLUMNS($P$1006:P1006),$P$1006:$S$1006,0))&gt;=100000), " ",IF(INDEX($P$2:$S$1001,MATCH(ROWS($I$2:I784),$I$2:$I$1001,0),MATCH(COLUMNS($P$1006:P1006),$P$1006:$S$1006,0)), HYPERLINK("#",""), HYPERLINK(CONCATENATE("#metadata!", ADDRESS(INDEX($K$2:$K$1001,MATCH(ROWS($I$2:I784),$I$2:$I$1001,0),0), INDEX($P$1004:$S$1004,1,MATCH(COLUMNS($P$1006:P1006),$P$1006:$S$1006,0)))),"Fix")))</f>
        <v>0</v>
      </c>
      <c r="C784" s="3">
        <f>IF(OR(INDEX($J$2:$J$1001,MATCH(ROWS($I$2:I784),$I$2:$I$1001,0),1)&gt;=100000,INDEX($P$1005:$S$1005,1,MATCH(COLUMNS($P$1006:Q1006),$P$1006:$S$1006,0))&gt;=100000), " ",IF(INDEX($P$2:$S$1001,MATCH(ROWS($I$2:I784),$I$2:$I$1001,0),MATCH(COLUMNS($P$1006:Q1006),$P$1006:$S$1006,0)), HYPERLINK("#",""), HYPERLINK(CONCATENATE("#metadata!", ADDRESS(INDEX($K$2:$K$1001,MATCH(ROWS($I$2:I784),$I$2:$I$1001,0),0), INDEX($P$1004:$S$1004,1,MATCH(COLUMNS($P$1006:Q1006),$P$1006:$S$1006,0)))),"Fix")))</f>
        <v>0</v>
      </c>
      <c r="D784" s="3">
        <f>IF(OR(INDEX($J$2:$J$1001,MATCH(ROWS($I$2:I784),$I$2:$I$1001,0),1)&gt;=100000,INDEX($P$1005:$S$1005,1,MATCH(COLUMNS($P$1006:R1006),$P$1006:$S$1006,0))&gt;=100000), " ",IF(INDEX($P$2:$S$1001,MATCH(ROWS($I$2:I784),$I$2:$I$1001,0),MATCH(COLUMNS($P$1006:R1006),$P$1006:$S$1006,0)), HYPERLINK("#",""), HYPERLINK(CONCATENATE("#metadata!", ADDRESS(INDEX($K$2:$K$1001,MATCH(ROWS($I$2:I784),$I$2:$I$1001,0),0), INDEX($P$1004:$S$1004,1,MATCH(COLUMNS($P$1006:R1006),$P$1006:$S$1006,0)))),"Fix")))</f>
        <v>0</v>
      </c>
      <c r="E784" s="3">
        <f>IF(OR(INDEX($J$2:$J$1001,MATCH(ROWS($I$2:I784),$I$2:$I$1001,0),1)&gt;=100000,INDEX($P$1005:$S$1005,1,MATCH(COLUMNS($P$1006:S1006),$P$1006:$S$1006,0))&gt;=100000), " ",IF(INDEX($P$2:$S$1001,MATCH(ROWS($I$2:I784),$I$2:$I$1001,0),MATCH(COLUMNS($P$1006:S1006),$P$1006:$S$1006,0)), HYPERLINK("#",""), HYPERLINK(CONCATENATE("#metadata!", ADDRESS(INDEX($K$2:$K$1001,MATCH(ROWS($I$2:I784),$I$2:$I$1001,0),0), INDEX($P$1004:$S$1004,1,MATCH(COLUMNS($P$1006:S1006),$P$1006:$S$1006,0)))),"Fix")))</f>
        <v>0</v>
      </c>
      <c r="I784">
        <v>0</v>
      </c>
      <c r="J784">
        <v>0</v>
      </c>
      <c r="K784">
        <v>0</v>
      </c>
      <c r="L784">
        <f>IF(M784,TRUE,AND(P784:S784))</f>
        <v>0</v>
      </c>
      <c r="M784">
        <f>COUNTBLANK(metadata!B784:E784)=COLUMNS(metadata!B784:E784)</f>
        <v>0</v>
      </c>
      <c r="N784">
        <v>0</v>
      </c>
      <c r="P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Q784">
        <f>AND(IF(metadata!C784="",FALSE,TRUE),exact(metadata!C784,"other"))</f>
        <v>0</v>
      </c>
      <c r="R784">
        <f>AND(IF(metadata!D784="",FALSE,TRUE),exact(metadata!D784,"metagenome"))</f>
        <v>0</v>
      </c>
      <c r="S784">
        <f>AND(IF(metadata!E784="",FALSE,TRUE),exact(metadata!E784,"256318"))</f>
        <v>0</v>
      </c>
    </row>
    <row r="785" spans="1:19">
      <c r="A785" s="4">
        <f>IF(B785=" "," ",HYPERLINK(CONCATENATE("#metadata!",ADDRESS(INDEX($K$2:$K$1001,MATCH(ROWS($I$2:I785),$I$2:$I$1001,0),0),1)),INDEX($N$2:$N$1001,MATCH(ROWS($I$2:I785),$I$2:$I$1001,0),0)))</f>
        <v>0</v>
      </c>
      <c r="B785" s="3">
        <f>IF(OR(INDEX($J$2:$J$1001,MATCH(ROWS($I$2:I785),$I$2:$I$1001,0),1)&gt;=100000,INDEX($P$1005:$S$1005,1,MATCH(COLUMNS($P$1006:P1006),$P$1006:$S$1006,0))&gt;=100000), " ",IF(INDEX($P$2:$S$1001,MATCH(ROWS($I$2:I785),$I$2:$I$1001,0),MATCH(COLUMNS($P$1006:P1006),$P$1006:$S$1006,0)), HYPERLINK("#",""), HYPERLINK(CONCATENATE("#metadata!", ADDRESS(INDEX($K$2:$K$1001,MATCH(ROWS($I$2:I785),$I$2:$I$1001,0),0), INDEX($P$1004:$S$1004,1,MATCH(COLUMNS($P$1006:P1006),$P$1006:$S$1006,0)))),"Fix")))</f>
        <v>0</v>
      </c>
      <c r="C785" s="3">
        <f>IF(OR(INDEX($J$2:$J$1001,MATCH(ROWS($I$2:I785),$I$2:$I$1001,0),1)&gt;=100000,INDEX($P$1005:$S$1005,1,MATCH(COLUMNS($P$1006:Q1006),$P$1006:$S$1006,0))&gt;=100000), " ",IF(INDEX($P$2:$S$1001,MATCH(ROWS($I$2:I785),$I$2:$I$1001,0),MATCH(COLUMNS($P$1006:Q1006),$P$1006:$S$1006,0)), HYPERLINK("#",""), HYPERLINK(CONCATENATE("#metadata!", ADDRESS(INDEX($K$2:$K$1001,MATCH(ROWS($I$2:I785),$I$2:$I$1001,0),0), INDEX($P$1004:$S$1004,1,MATCH(COLUMNS($P$1006:Q1006),$P$1006:$S$1006,0)))),"Fix")))</f>
        <v>0</v>
      </c>
      <c r="D785" s="3">
        <f>IF(OR(INDEX($J$2:$J$1001,MATCH(ROWS($I$2:I785),$I$2:$I$1001,0),1)&gt;=100000,INDEX($P$1005:$S$1005,1,MATCH(COLUMNS($P$1006:R1006),$P$1006:$S$1006,0))&gt;=100000), " ",IF(INDEX($P$2:$S$1001,MATCH(ROWS($I$2:I785),$I$2:$I$1001,0),MATCH(COLUMNS($P$1006:R1006),$P$1006:$S$1006,0)), HYPERLINK("#",""), HYPERLINK(CONCATENATE("#metadata!", ADDRESS(INDEX($K$2:$K$1001,MATCH(ROWS($I$2:I785),$I$2:$I$1001,0),0), INDEX($P$1004:$S$1004,1,MATCH(COLUMNS($P$1006:R1006),$P$1006:$S$1006,0)))),"Fix")))</f>
        <v>0</v>
      </c>
      <c r="E785" s="3">
        <f>IF(OR(INDEX($J$2:$J$1001,MATCH(ROWS($I$2:I785),$I$2:$I$1001,0),1)&gt;=100000,INDEX($P$1005:$S$1005,1,MATCH(COLUMNS($P$1006:S1006),$P$1006:$S$1006,0))&gt;=100000), " ",IF(INDEX($P$2:$S$1001,MATCH(ROWS($I$2:I785),$I$2:$I$1001,0),MATCH(COLUMNS($P$1006:S1006),$P$1006:$S$1006,0)), HYPERLINK("#",""), HYPERLINK(CONCATENATE("#metadata!", ADDRESS(INDEX($K$2:$K$1001,MATCH(ROWS($I$2:I785),$I$2:$I$1001,0),0), INDEX($P$1004:$S$1004,1,MATCH(COLUMNS($P$1006:S1006),$P$1006:$S$1006,0)))),"Fix")))</f>
        <v>0</v>
      </c>
      <c r="I785">
        <v>0</v>
      </c>
      <c r="J785">
        <v>0</v>
      </c>
      <c r="K785">
        <v>0</v>
      </c>
      <c r="L785">
        <f>IF(M785,TRUE,AND(P785:S785))</f>
        <v>0</v>
      </c>
      <c r="M785">
        <f>COUNTBLANK(metadata!B785:E785)=COLUMNS(metadata!B785:E785)</f>
        <v>0</v>
      </c>
      <c r="N785">
        <v>0</v>
      </c>
      <c r="P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Q785">
        <f>AND(IF(metadata!C785="",FALSE,TRUE),exact(metadata!C785,"other"))</f>
        <v>0</v>
      </c>
      <c r="R785">
        <f>AND(IF(metadata!D785="",FALSE,TRUE),exact(metadata!D785,"metagenome"))</f>
        <v>0</v>
      </c>
      <c r="S785">
        <f>AND(IF(metadata!E785="",FALSE,TRUE),exact(metadata!E785,"256318"))</f>
        <v>0</v>
      </c>
    </row>
    <row r="786" spans="1:19">
      <c r="A786" s="4">
        <f>IF(B786=" "," ",HYPERLINK(CONCATENATE("#metadata!",ADDRESS(INDEX($K$2:$K$1001,MATCH(ROWS($I$2:I786),$I$2:$I$1001,0),0),1)),INDEX($N$2:$N$1001,MATCH(ROWS($I$2:I786),$I$2:$I$1001,0),0)))</f>
        <v>0</v>
      </c>
      <c r="B786" s="3">
        <f>IF(OR(INDEX($J$2:$J$1001,MATCH(ROWS($I$2:I786),$I$2:$I$1001,0),1)&gt;=100000,INDEX($P$1005:$S$1005,1,MATCH(COLUMNS($P$1006:P1006),$P$1006:$S$1006,0))&gt;=100000), " ",IF(INDEX($P$2:$S$1001,MATCH(ROWS($I$2:I786),$I$2:$I$1001,0),MATCH(COLUMNS($P$1006:P1006),$P$1006:$S$1006,0)), HYPERLINK("#",""), HYPERLINK(CONCATENATE("#metadata!", ADDRESS(INDEX($K$2:$K$1001,MATCH(ROWS($I$2:I786),$I$2:$I$1001,0),0), INDEX($P$1004:$S$1004,1,MATCH(COLUMNS($P$1006:P1006),$P$1006:$S$1006,0)))),"Fix")))</f>
        <v>0</v>
      </c>
      <c r="C786" s="3">
        <f>IF(OR(INDEX($J$2:$J$1001,MATCH(ROWS($I$2:I786),$I$2:$I$1001,0),1)&gt;=100000,INDEX($P$1005:$S$1005,1,MATCH(COLUMNS($P$1006:Q1006),$P$1006:$S$1006,0))&gt;=100000), " ",IF(INDEX($P$2:$S$1001,MATCH(ROWS($I$2:I786),$I$2:$I$1001,0),MATCH(COLUMNS($P$1006:Q1006),$P$1006:$S$1006,0)), HYPERLINK("#",""), HYPERLINK(CONCATENATE("#metadata!", ADDRESS(INDEX($K$2:$K$1001,MATCH(ROWS($I$2:I786),$I$2:$I$1001,0),0), INDEX($P$1004:$S$1004,1,MATCH(COLUMNS($P$1006:Q1006),$P$1006:$S$1006,0)))),"Fix")))</f>
        <v>0</v>
      </c>
      <c r="D786" s="3">
        <f>IF(OR(INDEX($J$2:$J$1001,MATCH(ROWS($I$2:I786),$I$2:$I$1001,0),1)&gt;=100000,INDEX($P$1005:$S$1005,1,MATCH(COLUMNS($P$1006:R1006),$P$1006:$S$1006,0))&gt;=100000), " ",IF(INDEX($P$2:$S$1001,MATCH(ROWS($I$2:I786),$I$2:$I$1001,0),MATCH(COLUMNS($P$1006:R1006),$P$1006:$S$1006,0)), HYPERLINK("#",""), HYPERLINK(CONCATENATE("#metadata!", ADDRESS(INDEX($K$2:$K$1001,MATCH(ROWS($I$2:I786),$I$2:$I$1001,0),0), INDEX($P$1004:$S$1004,1,MATCH(COLUMNS($P$1006:R1006),$P$1006:$S$1006,0)))),"Fix")))</f>
        <v>0</v>
      </c>
      <c r="E786" s="3">
        <f>IF(OR(INDEX($J$2:$J$1001,MATCH(ROWS($I$2:I786),$I$2:$I$1001,0),1)&gt;=100000,INDEX($P$1005:$S$1005,1,MATCH(COLUMNS($P$1006:S1006),$P$1006:$S$1006,0))&gt;=100000), " ",IF(INDEX($P$2:$S$1001,MATCH(ROWS($I$2:I786),$I$2:$I$1001,0),MATCH(COLUMNS($P$1006:S1006),$P$1006:$S$1006,0)), HYPERLINK("#",""), HYPERLINK(CONCATENATE("#metadata!", ADDRESS(INDEX($K$2:$K$1001,MATCH(ROWS($I$2:I786),$I$2:$I$1001,0),0), INDEX($P$1004:$S$1004,1,MATCH(COLUMNS($P$1006:S1006),$P$1006:$S$1006,0)))),"Fix")))</f>
        <v>0</v>
      </c>
      <c r="I786">
        <v>0</v>
      </c>
      <c r="J786">
        <v>0</v>
      </c>
      <c r="K786">
        <v>0</v>
      </c>
      <c r="L786">
        <f>IF(M786,TRUE,AND(P786:S786))</f>
        <v>0</v>
      </c>
      <c r="M786">
        <f>COUNTBLANK(metadata!B786:E786)=COLUMNS(metadata!B786:E786)</f>
        <v>0</v>
      </c>
      <c r="N786">
        <v>0</v>
      </c>
      <c r="P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Q786">
        <f>AND(IF(metadata!C786="",FALSE,TRUE),exact(metadata!C786,"other"))</f>
        <v>0</v>
      </c>
      <c r="R786">
        <f>AND(IF(metadata!D786="",FALSE,TRUE),exact(metadata!D786,"metagenome"))</f>
        <v>0</v>
      </c>
      <c r="S786">
        <f>AND(IF(metadata!E786="",FALSE,TRUE),exact(metadata!E786,"256318"))</f>
        <v>0</v>
      </c>
    </row>
    <row r="787" spans="1:19">
      <c r="A787" s="4">
        <f>IF(B787=" "," ",HYPERLINK(CONCATENATE("#metadata!",ADDRESS(INDEX($K$2:$K$1001,MATCH(ROWS($I$2:I787),$I$2:$I$1001,0),0),1)),INDEX($N$2:$N$1001,MATCH(ROWS($I$2:I787),$I$2:$I$1001,0),0)))</f>
        <v>0</v>
      </c>
      <c r="B787" s="3">
        <f>IF(OR(INDEX($J$2:$J$1001,MATCH(ROWS($I$2:I787),$I$2:$I$1001,0),1)&gt;=100000,INDEX($P$1005:$S$1005,1,MATCH(COLUMNS($P$1006:P1006),$P$1006:$S$1006,0))&gt;=100000), " ",IF(INDEX($P$2:$S$1001,MATCH(ROWS($I$2:I787),$I$2:$I$1001,0),MATCH(COLUMNS($P$1006:P1006),$P$1006:$S$1006,0)), HYPERLINK("#",""), HYPERLINK(CONCATENATE("#metadata!", ADDRESS(INDEX($K$2:$K$1001,MATCH(ROWS($I$2:I787),$I$2:$I$1001,0),0), INDEX($P$1004:$S$1004,1,MATCH(COLUMNS($P$1006:P1006),$P$1006:$S$1006,0)))),"Fix")))</f>
        <v>0</v>
      </c>
      <c r="C787" s="3">
        <f>IF(OR(INDEX($J$2:$J$1001,MATCH(ROWS($I$2:I787),$I$2:$I$1001,0),1)&gt;=100000,INDEX($P$1005:$S$1005,1,MATCH(COLUMNS($P$1006:Q1006),$P$1006:$S$1006,0))&gt;=100000), " ",IF(INDEX($P$2:$S$1001,MATCH(ROWS($I$2:I787),$I$2:$I$1001,0),MATCH(COLUMNS($P$1006:Q1006),$P$1006:$S$1006,0)), HYPERLINK("#",""), HYPERLINK(CONCATENATE("#metadata!", ADDRESS(INDEX($K$2:$K$1001,MATCH(ROWS($I$2:I787),$I$2:$I$1001,0),0), INDEX($P$1004:$S$1004,1,MATCH(COLUMNS($P$1006:Q1006),$P$1006:$S$1006,0)))),"Fix")))</f>
        <v>0</v>
      </c>
      <c r="D787" s="3">
        <f>IF(OR(INDEX($J$2:$J$1001,MATCH(ROWS($I$2:I787),$I$2:$I$1001,0),1)&gt;=100000,INDEX($P$1005:$S$1005,1,MATCH(COLUMNS($P$1006:R1006),$P$1006:$S$1006,0))&gt;=100000), " ",IF(INDEX($P$2:$S$1001,MATCH(ROWS($I$2:I787),$I$2:$I$1001,0),MATCH(COLUMNS($P$1006:R1006),$P$1006:$S$1006,0)), HYPERLINK("#",""), HYPERLINK(CONCATENATE("#metadata!", ADDRESS(INDEX($K$2:$K$1001,MATCH(ROWS($I$2:I787),$I$2:$I$1001,0),0), INDEX($P$1004:$S$1004,1,MATCH(COLUMNS($P$1006:R1006),$P$1006:$S$1006,0)))),"Fix")))</f>
        <v>0</v>
      </c>
      <c r="E787" s="3">
        <f>IF(OR(INDEX($J$2:$J$1001,MATCH(ROWS($I$2:I787),$I$2:$I$1001,0),1)&gt;=100000,INDEX($P$1005:$S$1005,1,MATCH(COLUMNS($P$1006:S1006),$P$1006:$S$1006,0))&gt;=100000), " ",IF(INDEX($P$2:$S$1001,MATCH(ROWS($I$2:I787),$I$2:$I$1001,0),MATCH(COLUMNS($P$1006:S1006),$P$1006:$S$1006,0)), HYPERLINK("#",""), HYPERLINK(CONCATENATE("#metadata!", ADDRESS(INDEX($K$2:$K$1001,MATCH(ROWS($I$2:I787),$I$2:$I$1001,0),0), INDEX($P$1004:$S$1004,1,MATCH(COLUMNS($P$1006:S1006),$P$1006:$S$1006,0)))),"Fix")))</f>
        <v>0</v>
      </c>
      <c r="I787">
        <v>0</v>
      </c>
      <c r="J787">
        <v>0</v>
      </c>
      <c r="K787">
        <v>0</v>
      </c>
      <c r="L787">
        <f>IF(M787,TRUE,AND(P787:S787))</f>
        <v>0</v>
      </c>
      <c r="M787">
        <f>COUNTBLANK(metadata!B787:E787)=COLUMNS(metadata!B787:E787)</f>
        <v>0</v>
      </c>
      <c r="N787">
        <v>0</v>
      </c>
      <c r="P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Q787">
        <f>AND(IF(metadata!C787="",FALSE,TRUE),exact(metadata!C787,"other"))</f>
        <v>0</v>
      </c>
      <c r="R787">
        <f>AND(IF(metadata!D787="",FALSE,TRUE),exact(metadata!D787,"metagenome"))</f>
        <v>0</v>
      </c>
      <c r="S787">
        <f>AND(IF(metadata!E787="",FALSE,TRUE),exact(metadata!E787,"256318"))</f>
        <v>0</v>
      </c>
    </row>
    <row r="788" spans="1:19">
      <c r="A788" s="4">
        <f>IF(B788=" "," ",HYPERLINK(CONCATENATE("#metadata!",ADDRESS(INDEX($K$2:$K$1001,MATCH(ROWS($I$2:I788),$I$2:$I$1001,0),0),1)),INDEX($N$2:$N$1001,MATCH(ROWS($I$2:I788),$I$2:$I$1001,0),0)))</f>
        <v>0</v>
      </c>
      <c r="B788" s="3">
        <f>IF(OR(INDEX($J$2:$J$1001,MATCH(ROWS($I$2:I788),$I$2:$I$1001,0),1)&gt;=100000,INDEX($P$1005:$S$1005,1,MATCH(COLUMNS($P$1006:P1006),$P$1006:$S$1006,0))&gt;=100000), " ",IF(INDEX($P$2:$S$1001,MATCH(ROWS($I$2:I788),$I$2:$I$1001,0),MATCH(COLUMNS($P$1006:P1006),$P$1006:$S$1006,0)), HYPERLINK("#",""), HYPERLINK(CONCATENATE("#metadata!", ADDRESS(INDEX($K$2:$K$1001,MATCH(ROWS($I$2:I788),$I$2:$I$1001,0),0), INDEX($P$1004:$S$1004,1,MATCH(COLUMNS($P$1006:P1006),$P$1006:$S$1006,0)))),"Fix")))</f>
        <v>0</v>
      </c>
      <c r="C788" s="3">
        <f>IF(OR(INDEX($J$2:$J$1001,MATCH(ROWS($I$2:I788),$I$2:$I$1001,0),1)&gt;=100000,INDEX($P$1005:$S$1005,1,MATCH(COLUMNS($P$1006:Q1006),$P$1006:$S$1006,0))&gt;=100000), " ",IF(INDEX($P$2:$S$1001,MATCH(ROWS($I$2:I788),$I$2:$I$1001,0),MATCH(COLUMNS($P$1006:Q1006),$P$1006:$S$1006,0)), HYPERLINK("#",""), HYPERLINK(CONCATENATE("#metadata!", ADDRESS(INDEX($K$2:$K$1001,MATCH(ROWS($I$2:I788),$I$2:$I$1001,0),0), INDEX($P$1004:$S$1004,1,MATCH(COLUMNS($P$1006:Q1006),$P$1006:$S$1006,0)))),"Fix")))</f>
        <v>0</v>
      </c>
      <c r="D788" s="3">
        <f>IF(OR(INDEX($J$2:$J$1001,MATCH(ROWS($I$2:I788),$I$2:$I$1001,0),1)&gt;=100000,INDEX($P$1005:$S$1005,1,MATCH(COLUMNS($P$1006:R1006),$P$1006:$S$1006,0))&gt;=100000), " ",IF(INDEX($P$2:$S$1001,MATCH(ROWS($I$2:I788),$I$2:$I$1001,0),MATCH(COLUMNS($P$1006:R1006),$P$1006:$S$1006,0)), HYPERLINK("#",""), HYPERLINK(CONCATENATE("#metadata!", ADDRESS(INDEX($K$2:$K$1001,MATCH(ROWS($I$2:I788),$I$2:$I$1001,0),0), INDEX($P$1004:$S$1004,1,MATCH(COLUMNS($P$1006:R1006),$P$1006:$S$1006,0)))),"Fix")))</f>
        <v>0</v>
      </c>
      <c r="E788" s="3">
        <f>IF(OR(INDEX($J$2:$J$1001,MATCH(ROWS($I$2:I788),$I$2:$I$1001,0),1)&gt;=100000,INDEX($P$1005:$S$1005,1,MATCH(COLUMNS($P$1006:S1006),$P$1006:$S$1006,0))&gt;=100000), " ",IF(INDEX($P$2:$S$1001,MATCH(ROWS($I$2:I788),$I$2:$I$1001,0),MATCH(COLUMNS($P$1006:S1006),$P$1006:$S$1006,0)), HYPERLINK("#",""), HYPERLINK(CONCATENATE("#metadata!", ADDRESS(INDEX($K$2:$K$1001,MATCH(ROWS($I$2:I788),$I$2:$I$1001,0),0), INDEX($P$1004:$S$1004,1,MATCH(COLUMNS($P$1006:S1006),$P$1006:$S$1006,0)))),"Fix")))</f>
        <v>0</v>
      </c>
      <c r="I788">
        <v>0</v>
      </c>
      <c r="J788">
        <v>0</v>
      </c>
      <c r="K788">
        <v>0</v>
      </c>
      <c r="L788">
        <f>IF(M788,TRUE,AND(P788:S788))</f>
        <v>0</v>
      </c>
      <c r="M788">
        <f>COUNTBLANK(metadata!B788:E788)=COLUMNS(metadata!B788:E788)</f>
        <v>0</v>
      </c>
      <c r="N788">
        <v>0</v>
      </c>
      <c r="P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Q788">
        <f>AND(IF(metadata!C788="",FALSE,TRUE),exact(metadata!C788,"other"))</f>
        <v>0</v>
      </c>
      <c r="R788">
        <f>AND(IF(metadata!D788="",FALSE,TRUE),exact(metadata!D788,"metagenome"))</f>
        <v>0</v>
      </c>
      <c r="S788">
        <f>AND(IF(metadata!E788="",FALSE,TRUE),exact(metadata!E788,"256318"))</f>
        <v>0</v>
      </c>
    </row>
    <row r="789" spans="1:19">
      <c r="A789" s="4">
        <f>IF(B789=" "," ",HYPERLINK(CONCATENATE("#metadata!",ADDRESS(INDEX($K$2:$K$1001,MATCH(ROWS($I$2:I789),$I$2:$I$1001,0),0),1)),INDEX($N$2:$N$1001,MATCH(ROWS($I$2:I789),$I$2:$I$1001,0),0)))</f>
        <v>0</v>
      </c>
      <c r="B789" s="3">
        <f>IF(OR(INDEX($J$2:$J$1001,MATCH(ROWS($I$2:I789),$I$2:$I$1001,0),1)&gt;=100000,INDEX($P$1005:$S$1005,1,MATCH(COLUMNS($P$1006:P1006),$P$1006:$S$1006,0))&gt;=100000), " ",IF(INDEX($P$2:$S$1001,MATCH(ROWS($I$2:I789),$I$2:$I$1001,0),MATCH(COLUMNS($P$1006:P1006),$P$1006:$S$1006,0)), HYPERLINK("#",""), HYPERLINK(CONCATENATE("#metadata!", ADDRESS(INDEX($K$2:$K$1001,MATCH(ROWS($I$2:I789),$I$2:$I$1001,0),0), INDEX($P$1004:$S$1004,1,MATCH(COLUMNS($P$1006:P1006),$P$1006:$S$1006,0)))),"Fix")))</f>
        <v>0</v>
      </c>
      <c r="C789" s="3">
        <f>IF(OR(INDEX($J$2:$J$1001,MATCH(ROWS($I$2:I789),$I$2:$I$1001,0),1)&gt;=100000,INDEX($P$1005:$S$1005,1,MATCH(COLUMNS($P$1006:Q1006),$P$1006:$S$1006,0))&gt;=100000), " ",IF(INDEX($P$2:$S$1001,MATCH(ROWS($I$2:I789),$I$2:$I$1001,0),MATCH(COLUMNS($P$1006:Q1006),$P$1006:$S$1006,0)), HYPERLINK("#",""), HYPERLINK(CONCATENATE("#metadata!", ADDRESS(INDEX($K$2:$K$1001,MATCH(ROWS($I$2:I789),$I$2:$I$1001,0),0), INDEX($P$1004:$S$1004,1,MATCH(COLUMNS($P$1006:Q1006),$P$1006:$S$1006,0)))),"Fix")))</f>
        <v>0</v>
      </c>
      <c r="D789" s="3">
        <f>IF(OR(INDEX($J$2:$J$1001,MATCH(ROWS($I$2:I789),$I$2:$I$1001,0),1)&gt;=100000,INDEX($P$1005:$S$1005,1,MATCH(COLUMNS($P$1006:R1006),$P$1006:$S$1006,0))&gt;=100000), " ",IF(INDEX($P$2:$S$1001,MATCH(ROWS($I$2:I789),$I$2:$I$1001,0),MATCH(COLUMNS($P$1006:R1006),$P$1006:$S$1006,0)), HYPERLINK("#",""), HYPERLINK(CONCATENATE("#metadata!", ADDRESS(INDEX($K$2:$K$1001,MATCH(ROWS($I$2:I789),$I$2:$I$1001,0),0), INDEX($P$1004:$S$1004,1,MATCH(COLUMNS($P$1006:R1006),$P$1006:$S$1006,0)))),"Fix")))</f>
        <v>0</v>
      </c>
      <c r="E789" s="3">
        <f>IF(OR(INDEX($J$2:$J$1001,MATCH(ROWS($I$2:I789),$I$2:$I$1001,0),1)&gt;=100000,INDEX($P$1005:$S$1005,1,MATCH(COLUMNS($P$1006:S1006),$P$1006:$S$1006,0))&gt;=100000), " ",IF(INDEX($P$2:$S$1001,MATCH(ROWS($I$2:I789),$I$2:$I$1001,0),MATCH(COLUMNS($P$1006:S1006),$P$1006:$S$1006,0)), HYPERLINK("#",""), HYPERLINK(CONCATENATE("#metadata!", ADDRESS(INDEX($K$2:$K$1001,MATCH(ROWS($I$2:I789),$I$2:$I$1001,0),0), INDEX($P$1004:$S$1004,1,MATCH(COLUMNS($P$1006:S1006),$P$1006:$S$1006,0)))),"Fix")))</f>
        <v>0</v>
      </c>
      <c r="I789">
        <v>0</v>
      </c>
      <c r="J789">
        <v>0</v>
      </c>
      <c r="K789">
        <v>0</v>
      </c>
      <c r="L789">
        <f>IF(M789,TRUE,AND(P789:S789))</f>
        <v>0</v>
      </c>
      <c r="M789">
        <f>COUNTBLANK(metadata!B789:E789)=COLUMNS(metadata!B789:E789)</f>
        <v>0</v>
      </c>
      <c r="N789">
        <v>0</v>
      </c>
      <c r="P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Q789">
        <f>AND(IF(metadata!C789="",FALSE,TRUE),exact(metadata!C789,"other"))</f>
        <v>0</v>
      </c>
      <c r="R789">
        <f>AND(IF(metadata!D789="",FALSE,TRUE),exact(metadata!D789,"metagenome"))</f>
        <v>0</v>
      </c>
      <c r="S789">
        <f>AND(IF(metadata!E789="",FALSE,TRUE),exact(metadata!E789,"256318"))</f>
        <v>0</v>
      </c>
    </row>
    <row r="790" spans="1:19">
      <c r="A790" s="4">
        <f>IF(B790=" "," ",HYPERLINK(CONCATENATE("#metadata!",ADDRESS(INDEX($K$2:$K$1001,MATCH(ROWS($I$2:I790),$I$2:$I$1001,0),0),1)),INDEX($N$2:$N$1001,MATCH(ROWS($I$2:I790),$I$2:$I$1001,0),0)))</f>
        <v>0</v>
      </c>
      <c r="B790" s="3">
        <f>IF(OR(INDEX($J$2:$J$1001,MATCH(ROWS($I$2:I790),$I$2:$I$1001,0),1)&gt;=100000,INDEX($P$1005:$S$1005,1,MATCH(COLUMNS($P$1006:P1006),$P$1006:$S$1006,0))&gt;=100000), " ",IF(INDEX($P$2:$S$1001,MATCH(ROWS($I$2:I790),$I$2:$I$1001,0),MATCH(COLUMNS($P$1006:P1006),$P$1006:$S$1006,0)), HYPERLINK("#",""), HYPERLINK(CONCATENATE("#metadata!", ADDRESS(INDEX($K$2:$K$1001,MATCH(ROWS($I$2:I790),$I$2:$I$1001,0),0), INDEX($P$1004:$S$1004,1,MATCH(COLUMNS($P$1006:P1006),$P$1006:$S$1006,0)))),"Fix")))</f>
        <v>0</v>
      </c>
      <c r="C790" s="3">
        <f>IF(OR(INDEX($J$2:$J$1001,MATCH(ROWS($I$2:I790),$I$2:$I$1001,0),1)&gt;=100000,INDEX($P$1005:$S$1005,1,MATCH(COLUMNS($P$1006:Q1006),$P$1006:$S$1006,0))&gt;=100000), " ",IF(INDEX($P$2:$S$1001,MATCH(ROWS($I$2:I790),$I$2:$I$1001,0),MATCH(COLUMNS($P$1006:Q1006),$P$1006:$S$1006,0)), HYPERLINK("#",""), HYPERLINK(CONCATENATE("#metadata!", ADDRESS(INDEX($K$2:$K$1001,MATCH(ROWS($I$2:I790),$I$2:$I$1001,0),0), INDEX($P$1004:$S$1004,1,MATCH(COLUMNS($P$1006:Q1006),$P$1006:$S$1006,0)))),"Fix")))</f>
        <v>0</v>
      </c>
      <c r="D790" s="3">
        <f>IF(OR(INDEX($J$2:$J$1001,MATCH(ROWS($I$2:I790),$I$2:$I$1001,0),1)&gt;=100000,INDEX($P$1005:$S$1005,1,MATCH(COLUMNS($P$1006:R1006),$P$1006:$S$1006,0))&gt;=100000), " ",IF(INDEX($P$2:$S$1001,MATCH(ROWS($I$2:I790),$I$2:$I$1001,0),MATCH(COLUMNS($P$1006:R1006),$P$1006:$S$1006,0)), HYPERLINK("#",""), HYPERLINK(CONCATENATE("#metadata!", ADDRESS(INDEX($K$2:$K$1001,MATCH(ROWS($I$2:I790),$I$2:$I$1001,0),0), INDEX($P$1004:$S$1004,1,MATCH(COLUMNS($P$1006:R1006),$P$1006:$S$1006,0)))),"Fix")))</f>
        <v>0</v>
      </c>
      <c r="E790" s="3">
        <f>IF(OR(INDEX($J$2:$J$1001,MATCH(ROWS($I$2:I790),$I$2:$I$1001,0),1)&gt;=100000,INDEX($P$1005:$S$1005,1,MATCH(COLUMNS($P$1006:S1006),$P$1006:$S$1006,0))&gt;=100000), " ",IF(INDEX($P$2:$S$1001,MATCH(ROWS($I$2:I790),$I$2:$I$1001,0),MATCH(COLUMNS($P$1006:S1006),$P$1006:$S$1006,0)), HYPERLINK("#",""), HYPERLINK(CONCATENATE("#metadata!", ADDRESS(INDEX($K$2:$K$1001,MATCH(ROWS($I$2:I790),$I$2:$I$1001,0),0), INDEX($P$1004:$S$1004,1,MATCH(COLUMNS($P$1006:S1006),$P$1006:$S$1006,0)))),"Fix")))</f>
        <v>0</v>
      </c>
      <c r="I790">
        <v>0</v>
      </c>
      <c r="J790">
        <v>0</v>
      </c>
      <c r="K790">
        <v>0</v>
      </c>
      <c r="L790">
        <f>IF(M790,TRUE,AND(P790:S790))</f>
        <v>0</v>
      </c>
      <c r="M790">
        <f>COUNTBLANK(metadata!B790:E790)=COLUMNS(metadata!B790:E790)</f>
        <v>0</v>
      </c>
      <c r="N790">
        <v>0</v>
      </c>
      <c r="P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Q790">
        <f>AND(IF(metadata!C790="",FALSE,TRUE),exact(metadata!C790,"other"))</f>
        <v>0</v>
      </c>
      <c r="R790">
        <f>AND(IF(metadata!D790="",FALSE,TRUE),exact(metadata!D790,"metagenome"))</f>
        <v>0</v>
      </c>
      <c r="S790">
        <f>AND(IF(metadata!E790="",FALSE,TRUE),exact(metadata!E790,"256318"))</f>
        <v>0</v>
      </c>
    </row>
    <row r="791" spans="1:19">
      <c r="A791" s="4">
        <f>IF(B791=" "," ",HYPERLINK(CONCATENATE("#metadata!",ADDRESS(INDEX($K$2:$K$1001,MATCH(ROWS($I$2:I791),$I$2:$I$1001,0),0),1)),INDEX($N$2:$N$1001,MATCH(ROWS($I$2:I791),$I$2:$I$1001,0),0)))</f>
        <v>0</v>
      </c>
      <c r="B791" s="3">
        <f>IF(OR(INDEX($J$2:$J$1001,MATCH(ROWS($I$2:I791),$I$2:$I$1001,0),1)&gt;=100000,INDEX($P$1005:$S$1005,1,MATCH(COLUMNS($P$1006:P1006),$P$1006:$S$1006,0))&gt;=100000), " ",IF(INDEX($P$2:$S$1001,MATCH(ROWS($I$2:I791),$I$2:$I$1001,0),MATCH(COLUMNS($P$1006:P1006),$P$1006:$S$1006,0)), HYPERLINK("#",""), HYPERLINK(CONCATENATE("#metadata!", ADDRESS(INDEX($K$2:$K$1001,MATCH(ROWS($I$2:I791),$I$2:$I$1001,0),0), INDEX($P$1004:$S$1004,1,MATCH(COLUMNS($P$1006:P1006),$P$1006:$S$1006,0)))),"Fix")))</f>
        <v>0</v>
      </c>
      <c r="C791" s="3">
        <f>IF(OR(INDEX($J$2:$J$1001,MATCH(ROWS($I$2:I791),$I$2:$I$1001,0),1)&gt;=100000,INDEX($P$1005:$S$1005,1,MATCH(COLUMNS($P$1006:Q1006),$P$1006:$S$1006,0))&gt;=100000), " ",IF(INDEX($P$2:$S$1001,MATCH(ROWS($I$2:I791),$I$2:$I$1001,0),MATCH(COLUMNS($P$1006:Q1006),$P$1006:$S$1006,0)), HYPERLINK("#",""), HYPERLINK(CONCATENATE("#metadata!", ADDRESS(INDEX($K$2:$K$1001,MATCH(ROWS($I$2:I791),$I$2:$I$1001,0),0), INDEX($P$1004:$S$1004,1,MATCH(COLUMNS($P$1006:Q1006),$P$1006:$S$1006,0)))),"Fix")))</f>
        <v>0</v>
      </c>
      <c r="D791" s="3">
        <f>IF(OR(INDEX($J$2:$J$1001,MATCH(ROWS($I$2:I791),$I$2:$I$1001,0),1)&gt;=100000,INDEX($P$1005:$S$1005,1,MATCH(COLUMNS($P$1006:R1006),$P$1006:$S$1006,0))&gt;=100000), " ",IF(INDEX($P$2:$S$1001,MATCH(ROWS($I$2:I791),$I$2:$I$1001,0),MATCH(COLUMNS($P$1006:R1006),$P$1006:$S$1006,0)), HYPERLINK("#",""), HYPERLINK(CONCATENATE("#metadata!", ADDRESS(INDEX($K$2:$K$1001,MATCH(ROWS($I$2:I791),$I$2:$I$1001,0),0), INDEX($P$1004:$S$1004,1,MATCH(COLUMNS($P$1006:R1006),$P$1006:$S$1006,0)))),"Fix")))</f>
        <v>0</v>
      </c>
      <c r="E791" s="3">
        <f>IF(OR(INDEX($J$2:$J$1001,MATCH(ROWS($I$2:I791),$I$2:$I$1001,0),1)&gt;=100000,INDEX($P$1005:$S$1005,1,MATCH(COLUMNS($P$1006:S1006),$P$1006:$S$1006,0))&gt;=100000), " ",IF(INDEX($P$2:$S$1001,MATCH(ROWS($I$2:I791),$I$2:$I$1001,0),MATCH(COLUMNS($P$1006:S1006),$P$1006:$S$1006,0)), HYPERLINK("#",""), HYPERLINK(CONCATENATE("#metadata!", ADDRESS(INDEX($K$2:$K$1001,MATCH(ROWS($I$2:I791),$I$2:$I$1001,0),0), INDEX($P$1004:$S$1004,1,MATCH(COLUMNS($P$1006:S1006),$P$1006:$S$1006,0)))),"Fix")))</f>
        <v>0</v>
      </c>
      <c r="I791">
        <v>0</v>
      </c>
      <c r="J791">
        <v>0</v>
      </c>
      <c r="K791">
        <v>0</v>
      </c>
      <c r="L791">
        <f>IF(M791,TRUE,AND(P791:S791))</f>
        <v>0</v>
      </c>
      <c r="M791">
        <f>COUNTBLANK(metadata!B791:E791)=COLUMNS(metadata!B791:E791)</f>
        <v>0</v>
      </c>
      <c r="N791">
        <v>0</v>
      </c>
      <c r="P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Q791">
        <f>AND(IF(metadata!C791="",FALSE,TRUE),exact(metadata!C791,"other"))</f>
        <v>0</v>
      </c>
      <c r="R791">
        <f>AND(IF(metadata!D791="",FALSE,TRUE),exact(metadata!D791,"metagenome"))</f>
        <v>0</v>
      </c>
      <c r="S791">
        <f>AND(IF(metadata!E791="",FALSE,TRUE),exact(metadata!E791,"256318"))</f>
        <v>0</v>
      </c>
    </row>
    <row r="792" spans="1:19">
      <c r="A792" s="4">
        <f>IF(B792=" "," ",HYPERLINK(CONCATENATE("#metadata!",ADDRESS(INDEX($K$2:$K$1001,MATCH(ROWS($I$2:I792),$I$2:$I$1001,0),0),1)),INDEX($N$2:$N$1001,MATCH(ROWS($I$2:I792),$I$2:$I$1001,0),0)))</f>
        <v>0</v>
      </c>
      <c r="B792" s="3">
        <f>IF(OR(INDEX($J$2:$J$1001,MATCH(ROWS($I$2:I792),$I$2:$I$1001,0),1)&gt;=100000,INDEX($P$1005:$S$1005,1,MATCH(COLUMNS($P$1006:P1006),$P$1006:$S$1006,0))&gt;=100000), " ",IF(INDEX($P$2:$S$1001,MATCH(ROWS($I$2:I792),$I$2:$I$1001,0),MATCH(COLUMNS($P$1006:P1006),$P$1006:$S$1006,0)), HYPERLINK("#",""), HYPERLINK(CONCATENATE("#metadata!", ADDRESS(INDEX($K$2:$K$1001,MATCH(ROWS($I$2:I792),$I$2:$I$1001,0),0), INDEX($P$1004:$S$1004,1,MATCH(COLUMNS($P$1006:P1006),$P$1006:$S$1006,0)))),"Fix")))</f>
        <v>0</v>
      </c>
      <c r="C792" s="3">
        <f>IF(OR(INDEX($J$2:$J$1001,MATCH(ROWS($I$2:I792),$I$2:$I$1001,0),1)&gt;=100000,INDEX($P$1005:$S$1005,1,MATCH(COLUMNS($P$1006:Q1006),$P$1006:$S$1006,0))&gt;=100000), " ",IF(INDEX($P$2:$S$1001,MATCH(ROWS($I$2:I792),$I$2:$I$1001,0),MATCH(COLUMNS($P$1006:Q1006),$P$1006:$S$1006,0)), HYPERLINK("#",""), HYPERLINK(CONCATENATE("#metadata!", ADDRESS(INDEX($K$2:$K$1001,MATCH(ROWS($I$2:I792),$I$2:$I$1001,0),0), INDEX($P$1004:$S$1004,1,MATCH(COLUMNS($P$1006:Q1006),$P$1006:$S$1006,0)))),"Fix")))</f>
        <v>0</v>
      </c>
      <c r="D792" s="3">
        <f>IF(OR(INDEX($J$2:$J$1001,MATCH(ROWS($I$2:I792),$I$2:$I$1001,0),1)&gt;=100000,INDEX($P$1005:$S$1005,1,MATCH(COLUMNS($P$1006:R1006),$P$1006:$S$1006,0))&gt;=100000), " ",IF(INDEX($P$2:$S$1001,MATCH(ROWS($I$2:I792),$I$2:$I$1001,0),MATCH(COLUMNS($P$1006:R1006),$P$1006:$S$1006,0)), HYPERLINK("#",""), HYPERLINK(CONCATENATE("#metadata!", ADDRESS(INDEX($K$2:$K$1001,MATCH(ROWS($I$2:I792),$I$2:$I$1001,0),0), INDEX($P$1004:$S$1004,1,MATCH(COLUMNS($P$1006:R1006),$P$1006:$S$1006,0)))),"Fix")))</f>
        <v>0</v>
      </c>
      <c r="E792" s="3">
        <f>IF(OR(INDEX($J$2:$J$1001,MATCH(ROWS($I$2:I792),$I$2:$I$1001,0),1)&gt;=100000,INDEX($P$1005:$S$1005,1,MATCH(COLUMNS($P$1006:S1006),$P$1006:$S$1006,0))&gt;=100000), " ",IF(INDEX($P$2:$S$1001,MATCH(ROWS($I$2:I792),$I$2:$I$1001,0),MATCH(COLUMNS($P$1006:S1006),$P$1006:$S$1006,0)), HYPERLINK("#",""), HYPERLINK(CONCATENATE("#metadata!", ADDRESS(INDEX($K$2:$K$1001,MATCH(ROWS($I$2:I792),$I$2:$I$1001,0),0), INDEX($P$1004:$S$1004,1,MATCH(COLUMNS($P$1006:S1006),$P$1006:$S$1006,0)))),"Fix")))</f>
        <v>0</v>
      </c>
      <c r="I792">
        <v>0</v>
      </c>
      <c r="J792">
        <v>0</v>
      </c>
      <c r="K792">
        <v>0</v>
      </c>
      <c r="L792">
        <f>IF(M792,TRUE,AND(P792:S792))</f>
        <v>0</v>
      </c>
      <c r="M792">
        <f>COUNTBLANK(metadata!B792:E792)=COLUMNS(metadata!B792:E792)</f>
        <v>0</v>
      </c>
      <c r="N792">
        <v>0</v>
      </c>
      <c r="P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Q792">
        <f>AND(IF(metadata!C792="",FALSE,TRUE),exact(metadata!C792,"other"))</f>
        <v>0</v>
      </c>
      <c r="R792">
        <f>AND(IF(metadata!D792="",FALSE,TRUE),exact(metadata!D792,"metagenome"))</f>
        <v>0</v>
      </c>
      <c r="S792">
        <f>AND(IF(metadata!E792="",FALSE,TRUE),exact(metadata!E792,"256318"))</f>
        <v>0</v>
      </c>
    </row>
    <row r="793" spans="1:19">
      <c r="A793" s="4">
        <f>IF(B793=" "," ",HYPERLINK(CONCATENATE("#metadata!",ADDRESS(INDEX($K$2:$K$1001,MATCH(ROWS($I$2:I793),$I$2:$I$1001,0),0),1)),INDEX($N$2:$N$1001,MATCH(ROWS($I$2:I793),$I$2:$I$1001,0),0)))</f>
        <v>0</v>
      </c>
      <c r="B793" s="3">
        <f>IF(OR(INDEX($J$2:$J$1001,MATCH(ROWS($I$2:I793),$I$2:$I$1001,0),1)&gt;=100000,INDEX($P$1005:$S$1005,1,MATCH(COLUMNS($P$1006:P1006),$P$1006:$S$1006,0))&gt;=100000), " ",IF(INDEX($P$2:$S$1001,MATCH(ROWS($I$2:I793),$I$2:$I$1001,0),MATCH(COLUMNS($P$1006:P1006),$P$1006:$S$1006,0)), HYPERLINK("#",""), HYPERLINK(CONCATENATE("#metadata!", ADDRESS(INDEX($K$2:$K$1001,MATCH(ROWS($I$2:I793),$I$2:$I$1001,0),0), INDEX($P$1004:$S$1004,1,MATCH(COLUMNS($P$1006:P1006),$P$1006:$S$1006,0)))),"Fix")))</f>
        <v>0</v>
      </c>
      <c r="C793" s="3">
        <f>IF(OR(INDEX($J$2:$J$1001,MATCH(ROWS($I$2:I793),$I$2:$I$1001,0),1)&gt;=100000,INDEX($P$1005:$S$1005,1,MATCH(COLUMNS($P$1006:Q1006),$P$1006:$S$1006,0))&gt;=100000), " ",IF(INDEX($P$2:$S$1001,MATCH(ROWS($I$2:I793),$I$2:$I$1001,0),MATCH(COLUMNS($P$1006:Q1006),$P$1006:$S$1006,0)), HYPERLINK("#",""), HYPERLINK(CONCATENATE("#metadata!", ADDRESS(INDEX($K$2:$K$1001,MATCH(ROWS($I$2:I793),$I$2:$I$1001,0),0), INDEX($P$1004:$S$1004,1,MATCH(COLUMNS($P$1006:Q1006),$P$1006:$S$1006,0)))),"Fix")))</f>
        <v>0</v>
      </c>
      <c r="D793" s="3">
        <f>IF(OR(INDEX($J$2:$J$1001,MATCH(ROWS($I$2:I793),$I$2:$I$1001,0),1)&gt;=100000,INDEX($P$1005:$S$1005,1,MATCH(COLUMNS($P$1006:R1006),$P$1006:$S$1006,0))&gt;=100000), " ",IF(INDEX($P$2:$S$1001,MATCH(ROWS($I$2:I793),$I$2:$I$1001,0),MATCH(COLUMNS($P$1006:R1006),$P$1006:$S$1006,0)), HYPERLINK("#",""), HYPERLINK(CONCATENATE("#metadata!", ADDRESS(INDEX($K$2:$K$1001,MATCH(ROWS($I$2:I793),$I$2:$I$1001,0),0), INDEX($P$1004:$S$1004,1,MATCH(COLUMNS($P$1006:R1006),$P$1006:$S$1006,0)))),"Fix")))</f>
        <v>0</v>
      </c>
      <c r="E793" s="3">
        <f>IF(OR(INDEX($J$2:$J$1001,MATCH(ROWS($I$2:I793),$I$2:$I$1001,0),1)&gt;=100000,INDEX($P$1005:$S$1005,1,MATCH(COLUMNS($P$1006:S1006),$P$1006:$S$1006,0))&gt;=100000), " ",IF(INDEX($P$2:$S$1001,MATCH(ROWS($I$2:I793),$I$2:$I$1001,0),MATCH(COLUMNS($P$1006:S1006),$P$1006:$S$1006,0)), HYPERLINK("#",""), HYPERLINK(CONCATENATE("#metadata!", ADDRESS(INDEX($K$2:$K$1001,MATCH(ROWS($I$2:I793),$I$2:$I$1001,0),0), INDEX($P$1004:$S$1004,1,MATCH(COLUMNS($P$1006:S1006),$P$1006:$S$1006,0)))),"Fix")))</f>
        <v>0</v>
      </c>
      <c r="I793">
        <v>0</v>
      </c>
      <c r="J793">
        <v>0</v>
      </c>
      <c r="K793">
        <v>0</v>
      </c>
      <c r="L793">
        <f>IF(M793,TRUE,AND(P793:S793))</f>
        <v>0</v>
      </c>
      <c r="M793">
        <f>COUNTBLANK(metadata!B793:E793)=COLUMNS(metadata!B793:E793)</f>
        <v>0</v>
      </c>
      <c r="N793">
        <v>0</v>
      </c>
      <c r="P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Q793">
        <f>AND(IF(metadata!C793="",FALSE,TRUE),exact(metadata!C793,"other"))</f>
        <v>0</v>
      </c>
      <c r="R793">
        <f>AND(IF(metadata!D793="",FALSE,TRUE),exact(metadata!D793,"metagenome"))</f>
        <v>0</v>
      </c>
      <c r="S793">
        <f>AND(IF(metadata!E793="",FALSE,TRUE),exact(metadata!E793,"256318"))</f>
        <v>0</v>
      </c>
    </row>
    <row r="794" spans="1:19">
      <c r="A794" s="4">
        <f>IF(B794=" "," ",HYPERLINK(CONCATENATE("#metadata!",ADDRESS(INDEX($K$2:$K$1001,MATCH(ROWS($I$2:I794),$I$2:$I$1001,0),0),1)),INDEX($N$2:$N$1001,MATCH(ROWS($I$2:I794),$I$2:$I$1001,0),0)))</f>
        <v>0</v>
      </c>
      <c r="B794" s="3">
        <f>IF(OR(INDEX($J$2:$J$1001,MATCH(ROWS($I$2:I794),$I$2:$I$1001,0),1)&gt;=100000,INDEX($P$1005:$S$1005,1,MATCH(COLUMNS($P$1006:P1006),$P$1006:$S$1006,0))&gt;=100000), " ",IF(INDEX($P$2:$S$1001,MATCH(ROWS($I$2:I794),$I$2:$I$1001,0),MATCH(COLUMNS($P$1006:P1006),$P$1006:$S$1006,0)), HYPERLINK("#",""), HYPERLINK(CONCATENATE("#metadata!", ADDRESS(INDEX($K$2:$K$1001,MATCH(ROWS($I$2:I794),$I$2:$I$1001,0),0), INDEX($P$1004:$S$1004,1,MATCH(COLUMNS($P$1006:P1006),$P$1006:$S$1006,0)))),"Fix")))</f>
        <v>0</v>
      </c>
      <c r="C794" s="3">
        <f>IF(OR(INDEX($J$2:$J$1001,MATCH(ROWS($I$2:I794),$I$2:$I$1001,0),1)&gt;=100000,INDEX($P$1005:$S$1005,1,MATCH(COLUMNS($P$1006:Q1006),$P$1006:$S$1006,0))&gt;=100000), " ",IF(INDEX($P$2:$S$1001,MATCH(ROWS($I$2:I794),$I$2:$I$1001,0),MATCH(COLUMNS($P$1006:Q1006),$P$1006:$S$1006,0)), HYPERLINK("#",""), HYPERLINK(CONCATENATE("#metadata!", ADDRESS(INDEX($K$2:$K$1001,MATCH(ROWS($I$2:I794),$I$2:$I$1001,0),0), INDEX($P$1004:$S$1004,1,MATCH(COLUMNS($P$1006:Q1006),$P$1006:$S$1006,0)))),"Fix")))</f>
        <v>0</v>
      </c>
      <c r="D794" s="3">
        <f>IF(OR(INDEX($J$2:$J$1001,MATCH(ROWS($I$2:I794),$I$2:$I$1001,0),1)&gt;=100000,INDEX($P$1005:$S$1005,1,MATCH(COLUMNS($P$1006:R1006),$P$1006:$S$1006,0))&gt;=100000), " ",IF(INDEX($P$2:$S$1001,MATCH(ROWS($I$2:I794),$I$2:$I$1001,0),MATCH(COLUMNS($P$1006:R1006),$P$1006:$S$1006,0)), HYPERLINK("#",""), HYPERLINK(CONCATENATE("#metadata!", ADDRESS(INDEX($K$2:$K$1001,MATCH(ROWS($I$2:I794),$I$2:$I$1001,0),0), INDEX($P$1004:$S$1004,1,MATCH(COLUMNS($P$1006:R1006),$P$1006:$S$1006,0)))),"Fix")))</f>
        <v>0</v>
      </c>
      <c r="E794" s="3">
        <f>IF(OR(INDEX($J$2:$J$1001,MATCH(ROWS($I$2:I794),$I$2:$I$1001,0),1)&gt;=100000,INDEX($P$1005:$S$1005,1,MATCH(COLUMNS($P$1006:S1006),$P$1006:$S$1006,0))&gt;=100000), " ",IF(INDEX($P$2:$S$1001,MATCH(ROWS($I$2:I794),$I$2:$I$1001,0),MATCH(COLUMNS($P$1006:S1006),$P$1006:$S$1006,0)), HYPERLINK("#",""), HYPERLINK(CONCATENATE("#metadata!", ADDRESS(INDEX($K$2:$K$1001,MATCH(ROWS($I$2:I794),$I$2:$I$1001,0),0), INDEX($P$1004:$S$1004,1,MATCH(COLUMNS($P$1006:S1006),$P$1006:$S$1006,0)))),"Fix")))</f>
        <v>0</v>
      </c>
      <c r="I794">
        <v>0</v>
      </c>
      <c r="J794">
        <v>0</v>
      </c>
      <c r="K794">
        <v>0</v>
      </c>
      <c r="L794">
        <f>IF(M794,TRUE,AND(P794:S794))</f>
        <v>0</v>
      </c>
      <c r="M794">
        <f>COUNTBLANK(metadata!B794:E794)=COLUMNS(metadata!B794:E794)</f>
        <v>0</v>
      </c>
      <c r="N794">
        <v>0</v>
      </c>
      <c r="P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Q794">
        <f>AND(IF(metadata!C794="",FALSE,TRUE),exact(metadata!C794,"other"))</f>
        <v>0</v>
      </c>
      <c r="R794">
        <f>AND(IF(metadata!D794="",FALSE,TRUE),exact(metadata!D794,"metagenome"))</f>
        <v>0</v>
      </c>
      <c r="S794">
        <f>AND(IF(metadata!E794="",FALSE,TRUE),exact(metadata!E794,"256318"))</f>
        <v>0</v>
      </c>
    </row>
    <row r="795" spans="1:19">
      <c r="A795" s="4">
        <f>IF(B795=" "," ",HYPERLINK(CONCATENATE("#metadata!",ADDRESS(INDEX($K$2:$K$1001,MATCH(ROWS($I$2:I795),$I$2:$I$1001,0),0),1)),INDEX($N$2:$N$1001,MATCH(ROWS($I$2:I795),$I$2:$I$1001,0),0)))</f>
        <v>0</v>
      </c>
      <c r="B795" s="3">
        <f>IF(OR(INDEX($J$2:$J$1001,MATCH(ROWS($I$2:I795),$I$2:$I$1001,0),1)&gt;=100000,INDEX($P$1005:$S$1005,1,MATCH(COLUMNS($P$1006:P1006),$P$1006:$S$1006,0))&gt;=100000), " ",IF(INDEX($P$2:$S$1001,MATCH(ROWS($I$2:I795),$I$2:$I$1001,0),MATCH(COLUMNS($P$1006:P1006),$P$1006:$S$1006,0)), HYPERLINK("#",""), HYPERLINK(CONCATENATE("#metadata!", ADDRESS(INDEX($K$2:$K$1001,MATCH(ROWS($I$2:I795),$I$2:$I$1001,0),0), INDEX($P$1004:$S$1004,1,MATCH(COLUMNS($P$1006:P1006),$P$1006:$S$1006,0)))),"Fix")))</f>
        <v>0</v>
      </c>
      <c r="C795" s="3">
        <f>IF(OR(INDEX($J$2:$J$1001,MATCH(ROWS($I$2:I795),$I$2:$I$1001,0),1)&gt;=100000,INDEX($P$1005:$S$1005,1,MATCH(COLUMNS($P$1006:Q1006),$P$1006:$S$1006,0))&gt;=100000), " ",IF(INDEX($P$2:$S$1001,MATCH(ROWS($I$2:I795),$I$2:$I$1001,0),MATCH(COLUMNS($P$1006:Q1006),$P$1006:$S$1006,0)), HYPERLINK("#",""), HYPERLINK(CONCATENATE("#metadata!", ADDRESS(INDEX($K$2:$K$1001,MATCH(ROWS($I$2:I795),$I$2:$I$1001,0),0), INDEX($P$1004:$S$1004,1,MATCH(COLUMNS($P$1006:Q1006),$P$1006:$S$1006,0)))),"Fix")))</f>
        <v>0</v>
      </c>
      <c r="D795" s="3">
        <f>IF(OR(INDEX($J$2:$J$1001,MATCH(ROWS($I$2:I795),$I$2:$I$1001,0),1)&gt;=100000,INDEX($P$1005:$S$1005,1,MATCH(COLUMNS($P$1006:R1006),$P$1006:$S$1006,0))&gt;=100000), " ",IF(INDEX($P$2:$S$1001,MATCH(ROWS($I$2:I795),$I$2:$I$1001,0),MATCH(COLUMNS($P$1006:R1006),$P$1006:$S$1006,0)), HYPERLINK("#",""), HYPERLINK(CONCATENATE("#metadata!", ADDRESS(INDEX($K$2:$K$1001,MATCH(ROWS($I$2:I795),$I$2:$I$1001,0),0), INDEX($P$1004:$S$1004,1,MATCH(COLUMNS($P$1006:R1006),$P$1006:$S$1006,0)))),"Fix")))</f>
        <v>0</v>
      </c>
      <c r="E795" s="3">
        <f>IF(OR(INDEX($J$2:$J$1001,MATCH(ROWS($I$2:I795),$I$2:$I$1001,0),1)&gt;=100000,INDEX($P$1005:$S$1005,1,MATCH(COLUMNS($P$1006:S1006),$P$1006:$S$1006,0))&gt;=100000), " ",IF(INDEX($P$2:$S$1001,MATCH(ROWS($I$2:I795),$I$2:$I$1001,0),MATCH(COLUMNS($P$1006:S1006),$P$1006:$S$1006,0)), HYPERLINK("#",""), HYPERLINK(CONCATENATE("#metadata!", ADDRESS(INDEX($K$2:$K$1001,MATCH(ROWS($I$2:I795),$I$2:$I$1001,0),0), INDEX($P$1004:$S$1004,1,MATCH(COLUMNS($P$1006:S1006),$P$1006:$S$1006,0)))),"Fix")))</f>
        <v>0</v>
      </c>
      <c r="I795">
        <v>0</v>
      </c>
      <c r="J795">
        <v>0</v>
      </c>
      <c r="K795">
        <v>0</v>
      </c>
      <c r="L795">
        <f>IF(M795,TRUE,AND(P795:S795))</f>
        <v>0</v>
      </c>
      <c r="M795">
        <f>COUNTBLANK(metadata!B795:E795)=COLUMNS(metadata!B795:E795)</f>
        <v>0</v>
      </c>
      <c r="N795">
        <v>0</v>
      </c>
      <c r="P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Q795">
        <f>AND(IF(metadata!C795="",FALSE,TRUE),exact(metadata!C795,"other"))</f>
        <v>0</v>
      </c>
      <c r="R795">
        <f>AND(IF(metadata!D795="",FALSE,TRUE),exact(metadata!D795,"metagenome"))</f>
        <v>0</v>
      </c>
      <c r="S795">
        <f>AND(IF(metadata!E795="",FALSE,TRUE),exact(metadata!E795,"256318"))</f>
        <v>0</v>
      </c>
    </row>
    <row r="796" spans="1:19">
      <c r="A796" s="4">
        <f>IF(B796=" "," ",HYPERLINK(CONCATENATE("#metadata!",ADDRESS(INDEX($K$2:$K$1001,MATCH(ROWS($I$2:I796),$I$2:$I$1001,0),0),1)),INDEX($N$2:$N$1001,MATCH(ROWS($I$2:I796),$I$2:$I$1001,0),0)))</f>
        <v>0</v>
      </c>
      <c r="B796" s="3">
        <f>IF(OR(INDEX($J$2:$J$1001,MATCH(ROWS($I$2:I796),$I$2:$I$1001,0),1)&gt;=100000,INDEX($P$1005:$S$1005,1,MATCH(COLUMNS($P$1006:P1006),$P$1006:$S$1006,0))&gt;=100000), " ",IF(INDEX($P$2:$S$1001,MATCH(ROWS($I$2:I796),$I$2:$I$1001,0),MATCH(COLUMNS($P$1006:P1006),$P$1006:$S$1006,0)), HYPERLINK("#",""), HYPERLINK(CONCATENATE("#metadata!", ADDRESS(INDEX($K$2:$K$1001,MATCH(ROWS($I$2:I796),$I$2:$I$1001,0),0), INDEX($P$1004:$S$1004,1,MATCH(COLUMNS($P$1006:P1006),$P$1006:$S$1006,0)))),"Fix")))</f>
        <v>0</v>
      </c>
      <c r="C796" s="3">
        <f>IF(OR(INDEX($J$2:$J$1001,MATCH(ROWS($I$2:I796),$I$2:$I$1001,0),1)&gt;=100000,INDEX($P$1005:$S$1005,1,MATCH(COLUMNS($P$1006:Q1006),$P$1006:$S$1006,0))&gt;=100000), " ",IF(INDEX($P$2:$S$1001,MATCH(ROWS($I$2:I796),$I$2:$I$1001,0),MATCH(COLUMNS($P$1006:Q1006),$P$1006:$S$1006,0)), HYPERLINK("#",""), HYPERLINK(CONCATENATE("#metadata!", ADDRESS(INDEX($K$2:$K$1001,MATCH(ROWS($I$2:I796),$I$2:$I$1001,0),0), INDEX($P$1004:$S$1004,1,MATCH(COLUMNS($P$1006:Q1006),$P$1006:$S$1006,0)))),"Fix")))</f>
        <v>0</v>
      </c>
      <c r="D796" s="3">
        <f>IF(OR(INDEX($J$2:$J$1001,MATCH(ROWS($I$2:I796),$I$2:$I$1001,0),1)&gt;=100000,INDEX($P$1005:$S$1005,1,MATCH(COLUMNS($P$1006:R1006),$P$1006:$S$1006,0))&gt;=100000), " ",IF(INDEX($P$2:$S$1001,MATCH(ROWS($I$2:I796),$I$2:$I$1001,0),MATCH(COLUMNS($P$1006:R1006),$P$1006:$S$1006,0)), HYPERLINK("#",""), HYPERLINK(CONCATENATE("#metadata!", ADDRESS(INDEX($K$2:$K$1001,MATCH(ROWS($I$2:I796),$I$2:$I$1001,0),0), INDEX($P$1004:$S$1004,1,MATCH(COLUMNS($P$1006:R1006),$P$1006:$S$1006,0)))),"Fix")))</f>
        <v>0</v>
      </c>
      <c r="E796" s="3">
        <f>IF(OR(INDEX($J$2:$J$1001,MATCH(ROWS($I$2:I796),$I$2:$I$1001,0),1)&gt;=100000,INDEX($P$1005:$S$1005,1,MATCH(COLUMNS($P$1006:S1006),$P$1006:$S$1006,0))&gt;=100000), " ",IF(INDEX($P$2:$S$1001,MATCH(ROWS($I$2:I796),$I$2:$I$1001,0),MATCH(COLUMNS($P$1006:S1006),$P$1006:$S$1006,0)), HYPERLINK("#",""), HYPERLINK(CONCATENATE("#metadata!", ADDRESS(INDEX($K$2:$K$1001,MATCH(ROWS($I$2:I796),$I$2:$I$1001,0),0), INDEX($P$1004:$S$1004,1,MATCH(COLUMNS($P$1006:S1006),$P$1006:$S$1006,0)))),"Fix")))</f>
        <v>0</v>
      </c>
      <c r="I796">
        <v>0</v>
      </c>
      <c r="J796">
        <v>0</v>
      </c>
      <c r="K796">
        <v>0</v>
      </c>
      <c r="L796">
        <f>IF(M796,TRUE,AND(P796:S796))</f>
        <v>0</v>
      </c>
      <c r="M796">
        <f>COUNTBLANK(metadata!B796:E796)=COLUMNS(metadata!B796:E796)</f>
        <v>0</v>
      </c>
      <c r="N796">
        <v>0</v>
      </c>
      <c r="P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Q796">
        <f>AND(IF(metadata!C796="",FALSE,TRUE),exact(metadata!C796,"other"))</f>
        <v>0</v>
      </c>
      <c r="R796">
        <f>AND(IF(metadata!D796="",FALSE,TRUE),exact(metadata!D796,"metagenome"))</f>
        <v>0</v>
      </c>
      <c r="S796">
        <f>AND(IF(metadata!E796="",FALSE,TRUE),exact(metadata!E796,"256318"))</f>
        <v>0</v>
      </c>
    </row>
    <row r="797" spans="1:19">
      <c r="A797" s="4">
        <f>IF(B797=" "," ",HYPERLINK(CONCATENATE("#metadata!",ADDRESS(INDEX($K$2:$K$1001,MATCH(ROWS($I$2:I797),$I$2:$I$1001,0),0),1)),INDEX($N$2:$N$1001,MATCH(ROWS($I$2:I797),$I$2:$I$1001,0),0)))</f>
        <v>0</v>
      </c>
      <c r="B797" s="3">
        <f>IF(OR(INDEX($J$2:$J$1001,MATCH(ROWS($I$2:I797),$I$2:$I$1001,0),1)&gt;=100000,INDEX($P$1005:$S$1005,1,MATCH(COLUMNS($P$1006:P1006),$P$1006:$S$1006,0))&gt;=100000), " ",IF(INDEX($P$2:$S$1001,MATCH(ROWS($I$2:I797),$I$2:$I$1001,0),MATCH(COLUMNS($P$1006:P1006),$P$1006:$S$1006,0)), HYPERLINK("#",""), HYPERLINK(CONCATENATE("#metadata!", ADDRESS(INDEX($K$2:$K$1001,MATCH(ROWS($I$2:I797),$I$2:$I$1001,0),0), INDEX($P$1004:$S$1004,1,MATCH(COLUMNS($P$1006:P1006),$P$1006:$S$1006,0)))),"Fix")))</f>
        <v>0</v>
      </c>
      <c r="C797" s="3">
        <f>IF(OR(INDEX($J$2:$J$1001,MATCH(ROWS($I$2:I797),$I$2:$I$1001,0),1)&gt;=100000,INDEX($P$1005:$S$1005,1,MATCH(COLUMNS($P$1006:Q1006),$P$1006:$S$1006,0))&gt;=100000), " ",IF(INDEX($P$2:$S$1001,MATCH(ROWS($I$2:I797),$I$2:$I$1001,0),MATCH(COLUMNS($P$1006:Q1006),$P$1006:$S$1006,0)), HYPERLINK("#",""), HYPERLINK(CONCATENATE("#metadata!", ADDRESS(INDEX($K$2:$K$1001,MATCH(ROWS($I$2:I797),$I$2:$I$1001,0),0), INDEX($P$1004:$S$1004,1,MATCH(COLUMNS($P$1006:Q1006),$P$1006:$S$1006,0)))),"Fix")))</f>
        <v>0</v>
      </c>
      <c r="D797" s="3">
        <f>IF(OR(INDEX($J$2:$J$1001,MATCH(ROWS($I$2:I797),$I$2:$I$1001,0),1)&gt;=100000,INDEX($P$1005:$S$1005,1,MATCH(COLUMNS($P$1006:R1006),$P$1006:$S$1006,0))&gt;=100000), " ",IF(INDEX($P$2:$S$1001,MATCH(ROWS($I$2:I797),$I$2:$I$1001,0),MATCH(COLUMNS($P$1006:R1006),$P$1006:$S$1006,0)), HYPERLINK("#",""), HYPERLINK(CONCATENATE("#metadata!", ADDRESS(INDEX($K$2:$K$1001,MATCH(ROWS($I$2:I797),$I$2:$I$1001,0),0), INDEX($P$1004:$S$1004,1,MATCH(COLUMNS($P$1006:R1006),$P$1006:$S$1006,0)))),"Fix")))</f>
        <v>0</v>
      </c>
      <c r="E797" s="3">
        <f>IF(OR(INDEX($J$2:$J$1001,MATCH(ROWS($I$2:I797),$I$2:$I$1001,0),1)&gt;=100000,INDEX($P$1005:$S$1005,1,MATCH(COLUMNS($P$1006:S1006),$P$1006:$S$1006,0))&gt;=100000), " ",IF(INDEX($P$2:$S$1001,MATCH(ROWS($I$2:I797),$I$2:$I$1001,0),MATCH(COLUMNS($P$1006:S1006),$P$1006:$S$1006,0)), HYPERLINK("#",""), HYPERLINK(CONCATENATE("#metadata!", ADDRESS(INDEX($K$2:$K$1001,MATCH(ROWS($I$2:I797),$I$2:$I$1001,0),0), INDEX($P$1004:$S$1004,1,MATCH(COLUMNS($P$1006:S1006),$P$1006:$S$1006,0)))),"Fix")))</f>
        <v>0</v>
      </c>
      <c r="I797">
        <v>0</v>
      </c>
      <c r="J797">
        <v>0</v>
      </c>
      <c r="K797">
        <v>0</v>
      </c>
      <c r="L797">
        <f>IF(M797,TRUE,AND(P797:S797))</f>
        <v>0</v>
      </c>
      <c r="M797">
        <f>COUNTBLANK(metadata!B797:E797)=COLUMNS(metadata!B797:E797)</f>
        <v>0</v>
      </c>
      <c r="N797">
        <v>0</v>
      </c>
      <c r="P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Q797">
        <f>AND(IF(metadata!C797="",FALSE,TRUE),exact(metadata!C797,"other"))</f>
        <v>0</v>
      </c>
      <c r="R797">
        <f>AND(IF(metadata!D797="",FALSE,TRUE),exact(metadata!D797,"metagenome"))</f>
        <v>0</v>
      </c>
      <c r="S797">
        <f>AND(IF(metadata!E797="",FALSE,TRUE),exact(metadata!E797,"256318"))</f>
        <v>0</v>
      </c>
    </row>
    <row r="798" spans="1:19">
      <c r="A798" s="4">
        <f>IF(B798=" "," ",HYPERLINK(CONCATENATE("#metadata!",ADDRESS(INDEX($K$2:$K$1001,MATCH(ROWS($I$2:I798),$I$2:$I$1001,0),0),1)),INDEX($N$2:$N$1001,MATCH(ROWS($I$2:I798),$I$2:$I$1001,0),0)))</f>
        <v>0</v>
      </c>
      <c r="B798" s="3">
        <f>IF(OR(INDEX($J$2:$J$1001,MATCH(ROWS($I$2:I798),$I$2:$I$1001,0),1)&gt;=100000,INDEX($P$1005:$S$1005,1,MATCH(COLUMNS($P$1006:P1006),$P$1006:$S$1006,0))&gt;=100000), " ",IF(INDEX($P$2:$S$1001,MATCH(ROWS($I$2:I798),$I$2:$I$1001,0),MATCH(COLUMNS($P$1006:P1006),$P$1006:$S$1006,0)), HYPERLINK("#",""), HYPERLINK(CONCATENATE("#metadata!", ADDRESS(INDEX($K$2:$K$1001,MATCH(ROWS($I$2:I798),$I$2:$I$1001,0),0), INDEX($P$1004:$S$1004,1,MATCH(COLUMNS($P$1006:P1006),$P$1006:$S$1006,0)))),"Fix")))</f>
        <v>0</v>
      </c>
      <c r="C798" s="3">
        <f>IF(OR(INDEX($J$2:$J$1001,MATCH(ROWS($I$2:I798),$I$2:$I$1001,0),1)&gt;=100000,INDEX($P$1005:$S$1005,1,MATCH(COLUMNS($P$1006:Q1006),$P$1006:$S$1006,0))&gt;=100000), " ",IF(INDEX($P$2:$S$1001,MATCH(ROWS($I$2:I798),$I$2:$I$1001,0),MATCH(COLUMNS($P$1006:Q1006),$P$1006:$S$1006,0)), HYPERLINK("#",""), HYPERLINK(CONCATENATE("#metadata!", ADDRESS(INDEX($K$2:$K$1001,MATCH(ROWS($I$2:I798),$I$2:$I$1001,0),0), INDEX($P$1004:$S$1004,1,MATCH(COLUMNS($P$1006:Q1006),$P$1006:$S$1006,0)))),"Fix")))</f>
        <v>0</v>
      </c>
      <c r="D798" s="3">
        <f>IF(OR(INDEX($J$2:$J$1001,MATCH(ROWS($I$2:I798),$I$2:$I$1001,0),1)&gt;=100000,INDEX($P$1005:$S$1005,1,MATCH(COLUMNS($P$1006:R1006),$P$1006:$S$1006,0))&gt;=100000), " ",IF(INDEX($P$2:$S$1001,MATCH(ROWS($I$2:I798),$I$2:$I$1001,0),MATCH(COLUMNS($P$1006:R1006),$P$1006:$S$1006,0)), HYPERLINK("#",""), HYPERLINK(CONCATENATE("#metadata!", ADDRESS(INDEX($K$2:$K$1001,MATCH(ROWS($I$2:I798),$I$2:$I$1001,0),0), INDEX($P$1004:$S$1004,1,MATCH(COLUMNS($P$1006:R1006),$P$1006:$S$1006,0)))),"Fix")))</f>
        <v>0</v>
      </c>
      <c r="E798" s="3">
        <f>IF(OR(INDEX($J$2:$J$1001,MATCH(ROWS($I$2:I798),$I$2:$I$1001,0),1)&gt;=100000,INDEX($P$1005:$S$1005,1,MATCH(COLUMNS($P$1006:S1006),$P$1006:$S$1006,0))&gt;=100000), " ",IF(INDEX($P$2:$S$1001,MATCH(ROWS($I$2:I798),$I$2:$I$1001,0),MATCH(COLUMNS($P$1006:S1006),$P$1006:$S$1006,0)), HYPERLINK("#",""), HYPERLINK(CONCATENATE("#metadata!", ADDRESS(INDEX($K$2:$K$1001,MATCH(ROWS($I$2:I798),$I$2:$I$1001,0),0), INDEX($P$1004:$S$1004,1,MATCH(COLUMNS($P$1006:S1006),$P$1006:$S$1006,0)))),"Fix")))</f>
        <v>0</v>
      </c>
      <c r="I798">
        <v>0</v>
      </c>
      <c r="J798">
        <v>0</v>
      </c>
      <c r="K798">
        <v>0</v>
      </c>
      <c r="L798">
        <f>IF(M798,TRUE,AND(P798:S798))</f>
        <v>0</v>
      </c>
      <c r="M798">
        <f>COUNTBLANK(metadata!B798:E798)=COLUMNS(metadata!B798:E798)</f>
        <v>0</v>
      </c>
      <c r="N798">
        <v>0</v>
      </c>
      <c r="P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Q798">
        <f>AND(IF(metadata!C798="",FALSE,TRUE),exact(metadata!C798,"other"))</f>
        <v>0</v>
      </c>
      <c r="R798">
        <f>AND(IF(metadata!D798="",FALSE,TRUE),exact(metadata!D798,"metagenome"))</f>
        <v>0</v>
      </c>
      <c r="S798">
        <f>AND(IF(metadata!E798="",FALSE,TRUE),exact(metadata!E798,"256318"))</f>
        <v>0</v>
      </c>
    </row>
    <row r="799" spans="1:19">
      <c r="A799" s="4">
        <f>IF(B799=" "," ",HYPERLINK(CONCATENATE("#metadata!",ADDRESS(INDEX($K$2:$K$1001,MATCH(ROWS($I$2:I799),$I$2:$I$1001,0),0),1)),INDEX($N$2:$N$1001,MATCH(ROWS($I$2:I799),$I$2:$I$1001,0),0)))</f>
        <v>0</v>
      </c>
      <c r="B799" s="3">
        <f>IF(OR(INDEX($J$2:$J$1001,MATCH(ROWS($I$2:I799),$I$2:$I$1001,0),1)&gt;=100000,INDEX($P$1005:$S$1005,1,MATCH(COLUMNS($P$1006:P1006),$P$1006:$S$1006,0))&gt;=100000), " ",IF(INDEX($P$2:$S$1001,MATCH(ROWS($I$2:I799),$I$2:$I$1001,0),MATCH(COLUMNS($P$1006:P1006),$P$1006:$S$1006,0)), HYPERLINK("#",""), HYPERLINK(CONCATENATE("#metadata!", ADDRESS(INDEX($K$2:$K$1001,MATCH(ROWS($I$2:I799),$I$2:$I$1001,0),0), INDEX($P$1004:$S$1004,1,MATCH(COLUMNS($P$1006:P1006),$P$1006:$S$1006,0)))),"Fix")))</f>
        <v>0</v>
      </c>
      <c r="C799" s="3">
        <f>IF(OR(INDEX($J$2:$J$1001,MATCH(ROWS($I$2:I799),$I$2:$I$1001,0),1)&gt;=100000,INDEX($P$1005:$S$1005,1,MATCH(COLUMNS($P$1006:Q1006),$P$1006:$S$1006,0))&gt;=100000), " ",IF(INDEX($P$2:$S$1001,MATCH(ROWS($I$2:I799),$I$2:$I$1001,0),MATCH(COLUMNS($P$1006:Q1006),$P$1006:$S$1006,0)), HYPERLINK("#",""), HYPERLINK(CONCATENATE("#metadata!", ADDRESS(INDEX($K$2:$K$1001,MATCH(ROWS($I$2:I799),$I$2:$I$1001,0),0), INDEX($P$1004:$S$1004,1,MATCH(COLUMNS($P$1006:Q1006),$P$1006:$S$1006,0)))),"Fix")))</f>
        <v>0</v>
      </c>
      <c r="D799" s="3">
        <f>IF(OR(INDEX($J$2:$J$1001,MATCH(ROWS($I$2:I799),$I$2:$I$1001,0),1)&gt;=100000,INDEX($P$1005:$S$1005,1,MATCH(COLUMNS($P$1006:R1006),$P$1006:$S$1006,0))&gt;=100000), " ",IF(INDEX($P$2:$S$1001,MATCH(ROWS($I$2:I799),$I$2:$I$1001,0),MATCH(COLUMNS($P$1006:R1006),$P$1006:$S$1006,0)), HYPERLINK("#",""), HYPERLINK(CONCATENATE("#metadata!", ADDRESS(INDEX($K$2:$K$1001,MATCH(ROWS($I$2:I799),$I$2:$I$1001,0),0), INDEX($P$1004:$S$1004,1,MATCH(COLUMNS($P$1006:R1006),$P$1006:$S$1006,0)))),"Fix")))</f>
        <v>0</v>
      </c>
      <c r="E799" s="3">
        <f>IF(OR(INDEX($J$2:$J$1001,MATCH(ROWS($I$2:I799),$I$2:$I$1001,0),1)&gt;=100000,INDEX($P$1005:$S$1005,1,MATCH(COLUMNS($P$1006:S1006),$P$1006:$S$1006,0))&gt;=100000), " ",IF(INDEX($P$2:$S$1001,MATCH(ROWS($I$2:I799),$I$2:$I$1001,0),MATCH(COLUMNS($P$1006:S1006),$P$1006:$S$1006,0)), HYPERLINK("#",""), HYPERLINK(CONCATENATE("#metadata!", ADDRESS(INDEX($K$2:$K$1001,MATCH(ROWS($I$2:I799),$I$2:$I$1001,0),0), INDEX($P$1004:$S$1004,1,MATCH(COLUMNS($P$1006:S1006),$P$1006:$S$1006,0)))),"Fix")))</f>
        <v>0</v>
      </c>
      <c r="I799">
        <v>0</v>
      </c>
      <c r="J799">
        <v>0</v>
      </c>
      <c r="K799">
        <v>0</v>
      </c>
      <c r="L799">
        <f>IF(M799,TRUE,AND(P799:S799))</f>
        <v>0</v>
      </c>
      <c r="M799">
        <f>COUNTBLANK(metadata!B799:E799)=COLUMNS(metadata!B799:E799)</f>
        <v>0</v>
      </c>
      <c r="N799">
        <v>0</v>
      </c>
      <c r="P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Q799">
        <f>AND(IF(metadata!C799="",FALSE,TRUE),exact(metadata!C799,"other"))</f>
        <v>0</v>
      </c>
      <c r="R799">
        <f>AND(IF(metadata!D799="",FALSE,TRUE),exact(metadata!D799,"metagenome"))</f>
        <v>0</v>
      </c>
      <c r="S799">
        <f>AND(IF(metadata!E799="",FALSE,TRUE),exact(metadata!E799,"256318"))</f>
        <v>0</v>
      </c>
    </row>
    <row r="800" spans="1:19">
      <c r="A800" s="4">
        <f>IF(B800=" "," ",HYPERLINK(CONCATENATE("#metadata!",ADDRESS(INDEX($K$2:$K$1001,MATCH(ROWS($I$2:I800),$I$2:$I$1001,0),0),1)),INDEX($N$2:$N$1001,MATCH(ROWS($I$2:I800),$I$2:$I$1001,0),0)))</f>
        <v>0</v>
      </c>
      <c r="B800" s="3">
        <f>IF(OR(INDEX($J$2:$J$1001,MATCH(ROWS($I$2:I800),$I$2:$I$1001,0),1)&gt;=100000,INDEX($P$1005:$S$1005,1,MATCH(COLUMNS($P$1006:P1006),$P$1006:$S$1006,0))&gt;=100000), " ",IF(INDEX($P$2:$S$1001,MATCH(ROWS($I$2:I800),$I$2:$I$1001,0),MATCH(COLUMNS($P$1006:P1006),$P$1006:$S$1006,0)), HYPERLINK("#",""), HYPERLINK(CONCATENATE("#metadata!", ADDRESS(INDEX($K$2:$K$1001,MATCH(ROWS($I$2:I800),$I$2:$I$1001,0),0), INDEX($P$1004:$S$1004,1,MATCH(COLUMNS($P$1006:P1006),$P$1006:$S$1006,0)))),"Fix")))</f>
        <v>0</v>
      </c>
      <c r="C800" s="3">
        <f>IF(OR(INDEX($J$2:$J$1001,MATCH(ROWS($I$2:I800),$I$2:$I$1001,0),1)&gt;=100000,INDEX($P$1005:$S$1005,1,MATCH(COLUMNS($P$1006:Q1006),$P$1006:$S$1006,0))&gt;=100000), " ",IF(INDEX($P$2:$S$1001,MATCH(ROWS($I$2:I800),$I$2:$I$1001,0),MATCH(COLUMNS($P$1006:Q1006),$P$1006:$S$1006,0)), HYPERLINK("#",""), HYPERLINK(CONCATENATE("#metadata!", ADDRESS(INDEX($K$2:$K$1001,MATCH(ROWS($I$2:I800),$I$2:$I$1001,0),0), INDEX($P$1004:$S$1004,1,MATCH(COLUMNS($P$1006:Q1006),$P$1006:$S$1006,0)))),"Fix")))</f>
        <v>0</v>
      </c>
      <c r="D800" s="3">
        <f>IF(OR(INDEX($J$2:$J$1001,MATCH(ROWS($I$2:I800),$I$2:$I$1001,0),1)&gt;=100000,INDEX($P$1005:$S$1005,1,MATCH(COLUMNS($P$1006:R1006),$P$1006:$S$1006,0))&gt;=100000), " ",IF(INDEX($P$2:$S$1001,MATCH(ROWS($I$2:I800),$I$2:$I$1001,0),MATCH(COLUMNS($P$1006:R1006),$P$1006:$S$1006,0)), HYPERLINK("#",""), HYPERLINK(CONCATENATE("#metadata!", ADDRESS(INDEX($K$2:$K$1001,MATCH(ROWS($I$2:I800),$I$2:$I$1001,0),0), INDEX($P$1004:$S$1004,1,MATCH(COLUMNS($P$1006:R1006),$P$1006:$S$1006,0)))),"Fix")))</f>
        <v>0</v>
      </c>
      <c r="E800" s="3">
        <f>IF(OR(INDEX($J$2:$J$1001,MATCH(ROWS($I$2:I800),$I$2:$I$1001,0),1)&gt;=100000,INDEX($P$1005:$S$1005,1,MATCH(COLUMNS($P$1006:S1006),$P$1006:$S$1006,0))&gt;=100000), " ",IF(INDEX($P$2:$S$1001,MATCH(ROWS($I$2:I800),$I$2:$I$1001,0),MATCH(COLUMNS($P$1006:S1006),$P$1006:$S$1006,0)), HYPERLINK("#",""), HYPERLINK(CONCATENATE("#metadata!", ADDRESS(INDEX($K$2:$K$1001,MATCH(ROWS($I$2:I800),$I$2:$I$1001,0),0), INDEX($P$1004:$S$1004,1,MATCH(COLUMNS($P$1006:S1006),$P$1006:$S$1006,0)))),"Fix")))</f>
        <v>0</v>
      </c>
      <c r="I800">
        <v>0</v>
      </c>
      <c r="J800">
        <v>0</v>
      </c>
      <c r="K800">
        <v>0</v>
      </c>
      <c r="L800">
        <f>IF(M800,TRUE,AND(P800:S800))</f>
        <v>0</v>
      </c>
      <c r="M800">
        <f>COUNTBLANK(metadata!B800:E800)=COLUMNS(metadata!B800:E800)</f>
        <v>0</v>
      </c>
      <c r="N800">
        <v>0</v>
      </c>
      <c r="P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Q800">
        <f>AND(IF(metadata!C800="",FALSE,TRUE),exact(metadata!C800,"other"))</f>
        <v>0</v>
      </c>
      <c r="R800">
        <f>AND(IF(metadata!D800="",FALSE,TRUE),exact(metadata!D800,"metagenome"))</f>
        <v>0</v>
      </c>
      <c r="S800">
        <f>AND(IF(metadata!E800="",FALSE,TRUE),exact(metadata!E800,"256318"))</f>
        <v>0</v>
      </c>
    </row>
    <row r="801" spans="1:19">
      <c r="A801" s="4">
        <f>IF(B801=" "," ",HYPERLINK(CONCATENATE("#metadata!",ADDRESS(INDEX($K$2:$K$1001,MATCH(ROWS($I$2:I801),$I$2:$I$1001,0),0),1)),INDEX($N$2:$N$1001,MATCH(ROWS($I$2:I801),$I$2:$I$1001,0),0)))</f>
        <v>0</v>
      </c>
      <c r="B801" s="3">
        <f>IF(OR(INDEX($J$2:$J$1001,MATCH(ROWS($I$2:I801),$I$2:$I$1001,0),1)&gt;=100000,INDEX($P$1005:$S$1005,1,MATCH(COLUMNS($P$1006:P1006),$P$1006:$S$1006,0))&gt;=100000), " ",IF(INDEX($P$2:$S$1001,MATCH(ROWS($I$2:I801),$I$2:$I$1001,0),MATCH(COLUMNS($P$1006:P1006),$P$1006:$S$1006,0)), HYPERLINK("#",""), HYPERLINK(CONCATENATE("#metadata!", ADDRESS(INDEX($K$2:$K$1001,MATCH(ROWS($I$2:I801),$I$2:$I$1001,0),0), INDEX($P$1004:$S$1004,1,MATCH(COLUMNS($P$1006:P1006),$P$1006:$S$1006,0)))),"Fix")))</f>
        <v>0</v>
      </c>
      <c r="C801" s="3">
        <f>IF(OR(INDEX($J$2:$J$1001,MATCH(ROWS($I$2:I801),$I$2:$I$1001,0),1)&gt;=100000,INDEX($P$1005:$S$1005,1,MATCH(COLUMNS($P$1006:Q1006),$P$1006:$S$1006,0))&gt;=100000), " ",IF(INDEX($P$2:$S$1001,MATCH(ROWS($I$2:I801),$I$2:$I$1001,0),MATCH(COLUMNS($P$1006:Q1006),$P$1006:$S$1006,0)), HYPERLINK("#",""), HYPERLINK(CONCATENATE("#metadata!", ADDRESS(INDEX($K$2:$K$1001,MATCH(ROWS($I$2:I801),$I$2:$I$1001,0),0), INDEX($P$1004:$S$1004,1,MATCH(COLUMNS($P$1006:Q1006),$P$1006:$S$1006,0)))),"Fix")))</f>
        <v>0</v>
      </c>
      <c r="D801" s="3">
        <f>IF(OR(INDEX($J$2:$J$1001,MATCH(ROWS($I$2:I801),$I$2:$I$1001,0),1)&gt;=100000,INDEX($P$1005:$S$1005,1,MATCH(COLUMNS($P$1006:R1006),$P$1006:$S$1006,0))&gt;=100000), " ",IF(INDEX($P$2:$S$1001,MATCH(ROWS($I$2:I801),$I$2:$I$1001,0),MATCH(COLUMNS($P$1006:R1006),$P$1006:$S$1006,0)), HYPERLINK("#",""), HYPERLINK(CONCATENATE("#metadata!", ADDRESS(INDEX($K$2:$K$1001,MATCH(ROWS($I$2:I801),$I$2:$I$1001,0),0), INDEX($P$1004:$S$1004,1,MATCH(COLUMNS($P$1006:R1006),$P$1006:$S$1006,0)))),"Fix")))</f>
        <v>0</v>
      </c>
      <c r="E801" s="3">
        <f>IF(OR(INDEX($J$2:$J$1001,MATCH(ROWS($I$2:I801),$I$2:$I$1001,0),1)&gt;=100000,INDEX($P$1005:$S$1005,1,MATCH(COLUMNS($P$1006:S1006),$P$1006:$S$1006,0))&gt;=100000), " ",IF(INDEX($P$2:$S$1001,MATCH(ROWS($I$2:I801),$I$2:$I$1001,0),MATCH(COLUMNS($P$1006:S1006),$P$1006:$S$1006,0)), HYPERLINK("#",""), HYPERLINK(CONCATENATE("#metadata!", ADDRESS(INDEX($K$2:$K$1001,MATCH(ROWS($I$2:I801),$I$2:$I$1001,0),0), INDEX($P$1004:$S$1004,1,MATCH(COLUMNS($P$1006:S1006),$P$1006:$S$1006,0)))),"Fix")))</f>
        <v>0</v>
      </c>
      <c r="I801">
        <v>0</v>
      </c>
      <c r="J801">
        <v>0</v>
      </c>
      <c r="K801">
        <v>0</v>
      </c>
      <c r="L801">
        <f>IF(M801,TRUE,AND(P801:S801))</f>
        <v>0</v>
      </c>
      <c r="M801">
        <f>COUNTBLANK(metadata!B801:E801)=COLUMNS(metadata!B801:E801)</f>
        <v>0</v>
      </c>
      <c r="N801">
        <v>0</v>
      </c>
      <c r="P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Q801">
        <f>AND(IF(metadata!C801="",FALSE,TRUE),exact(metadata!C801,"other"))</f>
        <v>0</v>
      </c>
      <c r="R801">
        <f>AND(IF(metadata!D801="",FALSE,TRUE),exact(metadata!D801,"metagenome"))</f>
        <v>0</v>
      </c>
      <c r="S801">
        <f>AND(IF(metadata!E801="",FALSE,TRUE),exact(metadata!E801,"256318"))</f>
        <v>0</v>
      </c>
    </row>
    <row r="802" spans="1:19">
      <c r="A802" s="4">
        <f>IF(B802=" "," ",HYPERLINK(CONCATENATE("#metadata!",ADDRESS(INDEX($K$2:$K$1001,MATCH(ROWS($I$2:I802),$I$2:$I$1001,0),0),1)),INDEX($N$2:$N$1001,MATCH(ROWS($I$2:I802),$I$2:$I$1001,0),0)))</f>
        <v>0</v>
      </c>
      <c r="B802" s="3">
        <f>IF(OR(INDEX($J$2:$J$1001,MATCH(ROWS($I$2:I802),$I$2:$I$1001,0),1)&gt;=100000,INDEX($P$1005:$S$1005,1,MATCH(COLUMNS($P$1006:P1006),$P$1006:$S$1006,0))&gt;=100000), " ",IF(INDEX($P$2:$S$1001,MATCH(ROWS($I$2:I802),$I$2:$I$1001,0),MATCH(COLUMNS($P$1006:P1006),$P$1006:$S$1006,0)), HYPERLINK("#",""), HYPERLINK(CONCATENATE("#metadata!", ADDRESS(INDEX($K$2:$K$1001,MATCH(ROWS($I$2:I802),$I$2:$I$1001,0),0), INDEX($P$1004:$S$1004,1,MATCH(COLUMNS($P$1006:P1006),$P$1006:$S$1006,0)))),"Fix")))</f>
        <v>0</v>
      </c>
      <c r="C802" s="3">
        <f>IF(OR(INDEX($J$2:$J$1001,MATCH(ROWS($I$2:I802),$I$2:$I$1001,0),1)&gt;=100000,INDEX($P$1005:$S$1005,1,MATCH(COLUMNS($P$1006:Q1006),$P$1006:$S$1006,0))&gt;=100000), " ",IF(INDEX($P$2:$S$1001,MATCH(ROWS($I$2:I802),$I$2:$I$1001,0),MATCH(COLUMNS($P$1006:Q1006),$P$1006:$S$1006,0)), HYPERLINK("#",""), HYPERLINK(CONCATENATE("#metadata!", ADDRESS(INDEX($K$2:$K$1001,MATCH(ROWS($I$2:I802),$I$2:$I$1001,0),0), INDEX($P$1004:$S$1004,1,MATCH(COLUMNS($P$1006:Q1006),$P$1006:$S$1006,0)))),"Fix")))</f>
        <v>0</v>
      </c>
      <c r="D802" s="3">
        <f>IF(OR(INDEX($J$2:$J$1001,MATCH(ROWS($I$2:I802),$I$2:$I$1001,0),1)&gt;=100000,INDEX($P$1005:$S$1005,1,MATCH(COLUMNS($P$1006:R1006),$P$1006:$S$1006,0))&gt;=100000), " ",IF(INDEX($P$2:$S$1001,MATCH(ROWS($I$2:I802),$I$2:$I$1001,0),MATCH(COLUMNS($P$1006:R1006),$P$1006:$S$1006,0)), HYPERLINK("#",""), HYPERLINK(CONCATENATE("#metadata!", ADDRESS(INDEX($K$2:$K$1001,MATCH(ROWS($I$2:I802),$I$2:$I$1001,0),0), INDEX($P$1004:$S$1004,1,MATCH(COLUMNS($P$1006:R1006),$P$1006:$S$1006,0)))),"Fix")))</f>
        <v>0</v>
      </c>
      <c r="E802" s="3">
        <f>IF(OR(INDEX($J$2:$J$1001,MATCH(ROWS($I$2:I802),$I$2:$I$1001,0),1)&gt;=100000,INDEX($P$1005:$S$1005,1,MATCH(COLUMNS($P$1006:S1006),$P$1006:$S$1006,0))&gt;=100000), " ",IF(INDEX($P$2:$S$1001,MATCH(ROWS($I$2:I802),$I$2:$I$1001,0),MATCH(COLUMNS($P$1006:S1006),$P$1006:$S$1006,0)), HYPERLINK("#",""), HYPERLINK(CONCATENATE("#metadata!", ADDRESS(INDEX($K$2:$K$1001,MATCH(ROWS($I$2:I802),$I$2:$I$1001,0),0), INDEX($P$1004:$S$1004,1,MATCH(COLUMNS($P$1006:S1006),$P$1006:$S$1006,0)))),"Fix")))</f>
        <v>0</v>
      </c>
      <c r="I802">
        <v>0</v>
      </c>
      <c r="J802">
        <v>0</v>
      </c>
      <c r="K802">
        <v>0</v>
      </c>
      <c r="L802">
        <f>IF(M802,TRUE,AND(P802:S802))</f>
        <v>0</v>
      </c>
      <c r="M802">
        <f>COUNTBLANK(metadata!B802:E802)=COLUMNS(metadata!B802:E802)</f>
        <v>0</v>
      </c>
      <c r="N802">
        <v>0</v>
      </c>
      <c r="P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Q802">
        <f>AND(IF(metadata!C802="",FALSE,TRUE),exact(metadata!C802,"other"))</f>
        <v>0</v>
      </c>
      <c r="R802">
        <f>AND(IF(metadata!D802="",FALSE,TRUE),exact(metadata!D802,"metagenome"))</f>
        <v>0</v>
      </c>
      <c r="S802">
        <f>AND(IF(metadata!E802="",FALSE,TRUE),exact(metadata!E802,"256318"))</f>
        <v>0</v>
      </c>
    </row>
    <row r="803" spans="1:19">
      <c r="A803" s="4">
        <f>IF(B803=" "," ",HYPERLINK(CONCATENATE("#metadata!",ADDRESS(INDEX($K$2:$K$1001,MATCH(ROWS($I$2:I803),$I$2:$I$1001,0),0),1)),INDEX($N$2:$N$1001,MATCH(ROWS($I$2:I803),$I$2:$I$1001,0),0)))</f>
        <v>0</v>
      </c>
      <c r="B803" s="3">
        <f>IF(OR(INDEX($J$2:$J$1001,MATCH(ROWS($I$2:I803),$I$2:$I$1001,0),1)&gt;=100000,INDEX($P$1005:$S$1005,1,MATCH(COLUMNS($P$1006:P1006),$P$1006:$S$1006,0))&gt;=100000), " ",IF(INDEX($P$2:$S$1001,MATCH(ROWS($I$2:I803),$I$2:$I$1001,0),MATCH(COLUMNS($P$1006:P1006),$P$1006:$S$1006,0)), HYPERLINK("#",""), HYPERLINK(CONCATENATE("#metadata!", ADDRESS(INDEX($K$2:$K$1001,MATCH(ROWS($I$2:I803),$I$2:$I$1001,0),0), INDEX($P$1004:$S$1004,1,MATCH(COLUMNS($P$1006:P1006),$P$1006:$S$1006,0)))),"Fix")))</f>
        <v>0</v>
      </c>
      <c r="C803" s="3">
        <f>IF(OR(INDEX($J$2:$J$1001,MATCH(ROWS($I$2:I803),$I$2:$I$1001,0),1)&gt;=100000,INDEX($P$1005:$S$1005,1,MATCH(COLUMNS($P$1006:Q1006),$P$1006:$S$1006,0))&gt;=100000), " ",IF(INDEX($P$2:$S$1001,MATCH(ROWS($I$2:I803),$I$2:$I$1001,0),MATCH(COLUMNS($P$1006:Q1006),$P$1006:$S$1006,0)), HYPERLINK("#",""), HYPERLINK(CONCATENATE("#metadata!", ADDRESS(INDEX($K$2:$K$1001,MATCH(ROWS($I$2:I803),$I$2:$I$1001,0),0), INDEX($P$1004:$S$1004,1,MATCH(COLUMNS($P$1006:Q1006),$P$1006:$S$1006,0)))),"Fix")))</f>
        <v>0</v>
      </c>
      <c r="D803" s="3">
        <f>IF(OR(INDEX($J$2:$J$1001,MATCH(ROWS($I$2:I803),$I$2:$I$1001,0),1)&gt;=100000,INDEX($P$1005:$S$1005,1,MATCH(COLUMNS($P$1006:R1006),$P$1006:$S$1006,0))&gt;=100000), " ",IF(INDEX($P$2:$S$1001,MATCH(ROWS($I$2:I803),$I$2:$I$1001,0),MATCH(COLUMNS($P$1006:R1006),$P$1006:$S$1006,0)), HYPERLINK("#",""), HYPERLINK(CONCATENATE("#metadata!", ADDRESS(INDEX($K$2:$K$1001,MATCH(ROWS($I$2:I803),$I$2:$I$1001,0),0), INDEX($P$1004:$S$1004,1,MATCH(COLUMNS($P$1006:R1006),$P$1006:$S$1006,0)))),"Fix")))</f>
        <v>0</v>
      </c>
      <c r="E803" s="3">
        <f>IF(OR(INDEX($J$2:$J$1001,MATCH(ROWS($I$2:I803),$I$2:$I$1001,0),1)&gt;=100000,INDEX($P$1005:$S$1005,1,MATCH(COLUMNS($P$1006:S1006),$P$1006:$S$1006,0))&gt;=100000), " ",IF(INDEX($P$2:$S$1001,MATCH(ROWS($I$2:I803),$I$2:$I$1001,0),MATCH(COLUMNS($P$1006:S1006),$P$1006:$S$1006,0)), HYPERLINK("#",""), HYPERLINK(CONCATENATE("#metadata!", ADDRESS(INDEX($K$2:$K$1001,MATCH(ROWS($I$2:I803),$I$2:$I$1001,0),0), INDEX($P$1004:$S$1004,1,MATCH(COLUMNS($P$1006:S1006),$P$1006:$S$1006,0)))),"Fix")))</f>
        <v>0</v>
      </c>
      <c r="I803">
        <v>0</v>
      </c>
      <c r="J803">
        <v>0</v>
      </c>
      <c r="K803">
        <v>0</v>
      </c>
      <c r="L803">
        <f>IF(M803,TRUE,AND(P803:S803))</f>
        <v>0</v>
      </c>
      <c r="M803">
        <f>COUNTBLANK(metadata!B803:E803)=COLUMNS(metadata!B803:E803)</f>
        <v>0</v>
      </c>
      <c r="N803">
        <v>0</v>
      </c>
      <c r="P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Q803">
        <f>AND(IF(metadata!C803="",FALSE,TRUE),exact(metadata!C803,"other"))</f>
        <v>0</v>
      </c>
      <c r="R803">
        <f>AND(IF(metadata!D803="",FALSE,TRUE),exact(metadata!D803,"metagenome"))</f>
        <v>0</v>
      </c>
      <c r="S803">
        <f>AND(IF(metadata!E803="",FALSE,TRUE),exact(metadata!E803,"256318"))</f>
        <v>0</v>
      </c>
    </row>
    <row r="804" spans="1:19">
      <c r="A804" s="4">
        <f>IF(B804=" "," ",HYPERLINK(CONCATENATE("#metadata!",ADDRESS(INDEX($K$2:$K$1001,MATCH(ROWS($I$2:I804),$I$2:$I$1001,0),0),1)),INDEX($N$2:$N$1001,MATCH(ROWS($I$2:I804),$I$2:$I$1001,0),0)))</f>
        <v>0</v>
      </c>
      <c r="B804" s="3">
        <f>IF(OR(INDEX($J$2:$J$1001,MATCH(ROWS($I$2:I804),$I$2:$I$1001,0),1)&gt;=100000,INDEX($P$1005:$S$1005,1,MATCH(COLUMNS($P$1006:P1006),$P$1006:$S$1006,0))&gt;=100000), " ",IF(INDEX($P$2:$S$1001,MATCH(ROWS($I$2:I804),$I$2:$I$1001,0),MATCH(COLUMNS($P$1006:P1006),$P$1006:$S$1006,0)), HYPERLINK("#",""), HYPERLINK(CONCATENATE("#metadata!", ADDRESS(INDEX($K$2:$K$1001,MATCH(ROWS($I$2:I804),$I$2:$I$1001,0),0), INDEX($P$1004:$S$1004,1,MATCH(COLUMNS($P$1006:P1006),$P$1006:$S$1006,0)))),"Fix")))</f>
        <v>0</v>
      </c>
      <c r="C804" s="3">
        <f>IF(OR(INDEX($J$2:$J$1001,MATCH(ROWS($I$2:I804),$I$2:$I$1001,0),1)&gt;=100000,INDEX($P$1005:$S$1005,1,MATCH(COLUMNS($P$1006:Q1006),$P$1006:$S$1006,0))&gt;=100000), " ",IF(INDEX($P$2:$S$1001,MATCH(ROWS($I$2:I804),$I$2:$I$1001,0),MATCH(COLUMNS($P$1006:Q1006),$P$1006:$S$1006,0)), HYPERLINK("#",""), HYPERLINK(CONCATENATE("#metadata!", ADDRESS(INDEX($K$2:$K$1001,MATCH(ROWS($I$2:I804),$I$2:$I$1001,0),0), INDEX($P$1004:$S$1004,1,MATCH(COLUMNS($P$1006:Q1006),$P$1006:$S$1006,0)))),"Fix")))</f>
        <v>0</v>
      </c>
      <c r="D804" s="3">
        <f>IF(OR(INDEX($J$2:$J$1001,MATCH(ROWS($I$2:I804),$I$2:$I$1001,0),1)&gt;=100000,INDEX($P$1005:$S$1005,1,MATCH(COLUMNS($P$1006:R1006),$P$1006:$S$1006,0))&gt;=100000), " ",IF(INDEX($P$2:$S$1001,MATCH(ROWS($I$2:I804),$I$2:$I$1001,0),MATCH(COLUMNS($P$1006:R1006),$P$1006:$S$1006,0)), HYPERLINK("#",""), HYPERLINK(CONCATENATE("#metadata!", ADDRESS(INDEX($K$2:$K$1001,MATCH(ROWS($I$2:I804),$I$2:$I$1001,0),0), INDEX($P$1004:$S$1004,1,MATCH(COLUMNS($P$1006:R1006),$P$1006:$S$1006,0)))),"Fix")))</f>
        <v>0</v>
      </c>
      <c r="E804" s="3">
        <f>IF(OR(INDEX($J$2:$J$1001,MATCH(ROWS($I$2:I804),$I$2:$I$1001,0),1)&gt;=100000,INDEX($P$1005:$S$1005,1,MATCH(COLUMNS($P$1006:S1006),$P$1006:$S$1006,0))&gt;=100000), " ",IF(INDEX($P$2:$S$1001,MATCH(ROWS($I$2:I804),$I$2:$I$1001,0),MATCH(COLUMNS($P$1006:S1006),$P$1006:$S$1006,0)), HYPERLINK("#",""), HYPERLINK(CONCATENATE("#metadata!", ADDRESS(INDEX($K$2:$K$1001,MATCH(ROWS($I$2:I804),$I$2:$I$1001,0),0), INDEX($P$1004:$S$1004,1,MATCH(COLUMNS($P$1006:S1006),$P$1006:$S$1006,0)))),"Fix")))</f>
        <v>0</v>
      </c>
      <c r="I804">
        <v>0</v>
      </c>
      <c r="J804">
        <v>0</v>
      </c>
      <c r="K804">
        <v>0</v>
      </c>
      <c r="L804">
        <f>IF(M804,TRUE,AND(P804:S804))</f>
        <v>0</v>
      </c>
      <c r="M804">
        <f>COUNTBLANK(metadata!B804:E804)=COLUMNS(metadata!B804:E804)</f>
        <v>0</v>
      </c>
      <c r="N804">
        <v>0</v>
      </c>
      <c r="P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Q804">
        <f>AND(IF(metadata!C804="",FALSE,TRUE),exact(metadata!C804,"other"))</f>
        <v>0</v>
      </c>
      <c r="R804">
        <f>AND(IF(metadata!D804="",FALSE,TRUE),exact(metadata!D804,"metagenome"))</f>
        <v>0</v>
      </c>
      <c r="S804">
        <f>AND(IF(metadata!E804="",FALSE,TRUE),exact(metadata!E804,"256318"))</f>
        <v>0</v>
      </c>
    </row>
    <row r="805" spans="1:19">
      <c r="A805" s="4">
        <f>IF(B805=" "," ",HYPERLINK(CONCATENATE("#metadata!",ADDRESS(INDEX($K$2:$K$1001,MATCH(ROWS($I$2:I805),$I$2:$I$1001,0),0),1)),INDEX($N$2:$N$1001,MATCH(ROWS($I$2:I805),$I$2:$I$1001,0),0)))</f>
        <v>0</v>
      </c>
      <c r="B805" s="3">
        <f>IF(OR(INDEX($J$2:$J$1001,MATCH(ROWS($I$2:I805),$I$2:$I$1001,0),1)&gt;=100000,INDEX($P$1005:$S$1005,1,MATCH(COLUMNS($P$1006:P1006),$P$1006:$S$1006,0))&gt;=100000), " ",IF(INDEX($P$2:$S$1001,MATCH(ROWS($I$2:I805),$I$2:$I$1001,0),MATCH(COLUMNS($P$1006:P1006),$P$1006:$S$1006,0)), HYPERLINK("#",""), HYPERLINK(CONCATENATE("#metadata!", ADDRESS(INDEX($K$2:$K$1001,MATCH(ROWS($I$2:I805),$I$2:$I$1001,0),0), INDEX($P$1004:$S$1004,1,MATCH(COLUMNS($P$1006:P1006),$P$1006:$S$1006,0)))),"Fix")))</f>
        <v>0</v>
      </c>
      <c r="C805" s="3">
        <f>IF(OR(INDEX($J$2:$J$1001,MATCH(ROWS($I$2:I805),$I$2:$I$1001,0),1)&gt;=100000,INDEX($P$1005:$S$1005,1,MATCH(COLUMNS($P$1006:Q1006),$P$1006:$S$1006,0))&gt;=100000), " ",IF(INDEX($P$2:$S$1001,MATCH(ROWS($I$2:I805),$I$2:$I$1001,0),MATCH(COLUMNS($P$1006:Q1006),$P$1006:$S$1006,0)), HYPERLINK("#",""), HYPERLINK(CONCATENATE("#metadata!", ADDRESS(INDEX($K$2:$K$1001,MATCH(ROWS($I$2:I805),$I$2:$I$1001,0),0), INDEX($P$1004:$S$1004,1,MATCH(COLUMNS($P$1006:Q1006),$P$1006:$S$1006,0)))),"Fix")))</f>
        <v>0</v>
      </c>
      <c r="D805" s="3">
        <f>IF(OR(INDEX($J$2:$J$1001,MATCH(ROWS($I$2:I805),$I$2:$I$1001,0),1)&gt;=100000,INDEX($P$1005:$S$1005,1,MATCH(COLUMNS($P$1006:R1006),$P$1006:$S$1006,0))&gt;=100000), " ",IF(INDEX($P$2:$S$1001,MATCH(ROWS($I$2:I805),$I$2:$I$1001,0),MATCH(COLUMNS($P$1006:R1006),$P$1006:$S$1006,0)), HYPERLINK("#",""), HYPERLINK(CONCATENATE("#metadata!", ADDRESS(INDEX($K$2:$K$1001,MATCH(ROWS($I$2:I805),$I$2:$I$1001,0),0), INDEX($P$1004:$S$1004,1,MATCH(COLUMNS($P$1006:R1006),$P$1006:$S$1006,0)))),"Fix")))</f>
        <v>0</v>
      </c>
      <c r="E805" s="3">
        <f>IF(OR(INDEX($J$2:$J$1001,MATCH(ROWS($I$2:I805),$I$2:$I$1001,0),1)&gt;=100000,INDEX($P$1005:$S$1005,1,MATCH(COLUMNS($P$1006:S1006),$P$1006:$S$1006,0))&gt;=100000), " ",IF(INDEX($P$2:$S$1001,MATCH(ROWS($I$2:I805),$I$2:$I$1001,0),MATCH(COLUMNS($P$1006:S1006),$P$1006:$S$1006,0)), HYPERLINK("#",""), HYPERLINK(CONCATENATE("#metadata!", ADDRESS(INDEX($K$2:$K$1001,MATCH(ROWS($I$2:I805),$I$2:$I$1001,0),0), INDEX($P$1004:$S$1004,1,MATCH(COLUMNS($P$1006:S1006),$P$1006:$S$1006,0)))),"Fix")))</f>
        <v>0</v>
      </c>
      <c r="I805">
        <v>0</v>
      </c>
      <c r="J805">
        <v>0</v>
      </c>
      <c r="K805">
        <v>0</v>
      </c>
      <c r="L805">
        <f>IF(M805,TRUE,AND(P805:S805))</f>
        <v>0</v>
      </c>
      <c r="M805">
        <f>COUNTBLANK(metadata!B805:E805)=COLUMNS(metadata!B805:E805)</f>
        <v>0</v>
      </c>
      <c r="N805">
        <v>0</v>
      </c>
      <c r="P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Q805">
        <f>AND(IF(metadata!C805="",FALSE,TRUE),exact(metadata!C805,"other"))</f>
        <v>0</v>
      </c>
      <c r="R805">
        <f>AND(IF(metadata!D805="",FALSE,TRUE),exact(metadata!D805,"metagenome"))</f>
        <v>0</v>
      </c>
      <c r="S805">
        <f>AND(IF(metadata!E805="",FALSE,TRUE),exact(metadata!E805,"256318"))</f>
        <v>0</v>
      </c>
    </row>
    <row r="806" spans="1:19">
      <c r="A806" s="4">
        <f>IF(B806=" "," ",HYPERLINK(CONCATENATE("#metadata!",ADDRESS(INDEX($K$2:$K$1001,MATCH(ROWS($I$2:I806),$I$2:$I$1001,0),0),1)),INDEX($N$2:$N$1001,MATCH(ROWS($I$2:I806),$I$2:$I$1001,0),0)))</f>
        <v>0</v>
      </c>
      <c r="B806" s="3">
        <f>IF(OR(INDEX($J$2:$J$1001,MATCH(ROWS($I$2:I806),$I$2:$I$1001,0),1)&gt;=100000,INDEX($P$1005:$S$1005,1,MATCH(COLUMNS($P$1006:P1006),$P$1006:$S$1006,0))&gt;=100000), " ",IF(INDEX($P$2:$S$1001,MATCH(ROWS($I$2:I806),$I$2:$I$1001,0),MATCH(COLUMNS($P$1006:P1006),$P$1006:$S$1006,0)), HYPERLINK("#",""), HYPERLINK(CONCATENATE("#metadata!", ADDRESS(INDEX($K$2:$K$1001,MATCH(ROWS($I$2:I806),$I$2:$I$1001,0),0), INDEX($P$1004:$S$1004,1,MATCH(COLUMNS($P$1006:P1006),$P$1006:$S$1006,0)))),"Fix")))</f>
        <v>0</v>
      </c>
      <c r="C806" s="3">
        <f>IF(OR(INDEX($J$2:$J$1001,MATCH(ROWS($I$2:I806),$I$2:$I$1001,0),1)&gt;=100000,INDEX($P$1005:$S$1005,1,MATCH(COLUMNS($P$1006:Q1006),$P$1006:$S$1006,0))&gt;=100000), " ",IF(INDEX($P$2:$S$1001,MATCH(ROWS($I$2:I806),$I$2:$I$1001,0),MATCH(COLUMNS($P$1006:Q1006),$P$1006:$S$1006,0)), HYPERLINK("#",""), HYPERLINK(CONCATENATE("#metadata!", ADDRESS(INDEX($K$2:$K$1001,MATCH(ROWS($I$2:I806),$I$2:$I$1001,0),0), INDEX($P$1004:$S$1004,1,MATCH(COLUMNS($P$1006:Q1006),$P$1006:$S$1006,0)))),"Fix")))</f>
        <v>0</v>
      </c>
      <c r="D806" s="3">
        <f>IF(OR(INDEX($J$2:$J$1001,MATCH(ROWS($I$2:I806),$I$2:$I$1001,0),1)&gt;=100000,INDEX($P$1005:$S$1005,1,MATCH(COLUMNS($P$1006:R1006),$P$1006:$S$1006,0))&gt;=100000), " ",IF(INDEX($P$2:$S$1001,MATCH(ROWS($I$2:I806),$I$2:$I$1001,0),MATCH(COLUMNS($P$1006:R1006),$P$1006:$S$1006,0)), HYPERLINK("#",""), HYPERLINK(CONCATENATE("#metadata!", ADDRESS(INDEX($K$2:$K$1001,MATCH(ROWS($I$2:I806),$I$2:$I$1001,0),0), INDEX($P$1004:$S$1004,1,MATCH(COLUMNS($P$1006:R1006),$P$1006:$S$1006,0)))),"Fix")))</f>
        <v>0</v>
      </c>
      <c r="E806" s="3">
        <f>IF(OR(INDEX($J$2:$J$1001,MATCH(ROWS($I$2:I806),$I$2:$I$1001,0),1)&gt;=100000,INDEX($P$1005:$S$1005,1,MATCH(COLUMNS($P$1006:S1006),$P$1006:$S$1006,0))&gt;=100000), " ",IF(INDEX($P$2:$S$1001,MATCH(ROWS($I$2:I806),$I$2:$I$1001,0),MATCH(COLUMNS($P$1006:S1006),$P$1006:$S$1006,0)), HYPERLINK("#",""), HYPERLINK(CONCATENATE("#metadata!", ADDRESS(INDEX($K$2:$K$1001,MATCH(ROWS($I$2:I806),$I$2:$I$1001,0),0), INDEX($P$1004:$S$1004,1,MATCH(COLUMNS($P$1006:S1006),$P$1006:$S$1006,0)))),"Fix")))</f>
        <v>0</v>
      </c>
      <c r="I806">
        <v>0</v>
      </c>
      <c r="J806">
        <v>0</v>
      </c>
      <c r="K806">
        <v>0</v>
      </c>
      <c r="L806">
        <f>IF(M806,TRUE,AND(P806:S806))</f>
        <v>0</v>
      </c>
      <c r="M806">
        <f>COUNTBLANK(metadata!B806:E806)=COLUMNS(metadata!B806:E806)</f>
        <v>0</v>
      </c>
      <c r="N806">
        <v>0</v>
      </c>
      <c r="P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Q806">
        <f>AND(IF(metadata!C806="",FALSE,TRUE),exact(metadata!C806,"other"))</f>
        <v>0</v>
      </c>
      <c r="R806">
        <f>AND(IF(metadata!D806="",FALSE,TRUE),exact(metadata!D806,"metagenome"))</f>
        <v>0</v>
      </c>
      <c r="S806">
        <f>AND(IF(metadata!E806="",FALSE,TRUE),exact(metadata!E806,"256318"))</f>
        <v>0</v>
      </c>
    </row>
    <row r="807" spans="1:19">
      <c r="A807" s="4">
        <f>IF(B807=" "," ",HYPERLINK(CONCATENATE("#metadata!",ADDRESS(INDEX($K$2:$K$1001,MATCH(ROWS($I$2:I807),$I$2:$I$1001,0),0),1)),INDEX($N$2:$N$1001,MATCH(ROWS($I$2:I807),$I$2:$I$1001,0),0)))</f>
        <v>0</v>
      </c>
      <c r="B807" s="3">
        <f>IF(OR(INDEX($J$2:$J$1001,MATCH(ROWS($I$2:I807),$I$2:$I$1001,0),1)&gt;=100000,INDEX($P$1005:$S$1005,1,MATCH(COLUMNS($P$1006:P1006),$P$1006:$S$1006,0))&gt;=100000), " ",IF(INDEX($P$2:$S$1001,MATCH(ROWS($I$2:I807),$I$2:$I$1001,0),MATCH(COLUMNS($P$1006:P1006),$P$1006:$S$1006,0)), HYPERLINK("#",""), HYPERLINK(CONCATENATE("#metadata!", ADDRESS(INDEX($K$2:$K$1001,MATCH(ROWS($I$2:I807),$I$2:$I$1001,0),0), INDEX($P$1004:$S$1004,1,MATCH(COLUMNS($P$1006:P1006),$P$1006:$S$1006,0)))),"Fix")))</f>
        <v>0</v>
      </c>
      <c r="C807" s="3">
        <f>IF(OR(INDEX($J$2:$J$1001,MATCH(ROWS($I$2:I807),$I$2:$I$1001,0),1)&gt;=100000,INDEX($P$1005:$S$1005,1,MATCH(COLUMNS($P$1006:Q1006),$P$1006:$S$1006,0))&gt;=100000), " ",IF(INDEX($P$2:$S$1001,MATCH(ROWS($I$2:I807),$I$2:$I$1001,0),MATCH(COLUMNS($P$1006:Q1006),$P$1006:$S$1006,0)), HYPERLINK("#",""), HYPERLINK(CONCATENATE("#metadata!", ADDRESS(INDEX($K$2:$K$1001,MATCH(ROWS($I$2:I807),$I$2:$I$1001,0),0), INDEX($P$1004:$S$1004,1,MATCH(COLUMNS($P$1006:Q1006),$P$1006:$S$1006,0)))),"Fix")))</f>
        <v>0</v>
      </c>
      <c r="D807" s="3">
        <f>IF(OR(INDEX($J$2:$J$1001,MATCH(ROWS($I$2:I807),$I$2:$I$1001,0),1)&gt;=100000,INDEX($P$1005:$S$1005,1,MATCH(COLUMNS($P$1006:R1006),$P$1006:$S$1006,0))&gt;=100000), " ",IF(INDEX($P$2:$S$1001,MATCH(ROWS($I$2:I807),$I$2:$I$1001,0),MATCH(COLUMNS($P$1006:R1006),$P$1006:$S$1006,0)), HYPERLINK("#",""), HYPERLINK(CONCATENATE("#metadata!", ADDRESS(INDEX($K$2:$K$1001,MATCH(ROWS($I$2:I807),$I$2:$I$1001,0),0), INDEX($P$1004:$S$1004,1,MATCH(COLUMNS($P$1006:R1006),$P$1006:$S$1006,0)))),"Fix")))</f>
        <v>0</v>
      </c>
      <c r="E807" s="3">
        <f>IF(OR(INDEX($J$2:$J$1001,MATCH(ROWS($I$2:I807),$I$2:$I$1001,0),1)&gt;=100000,INDEX($P$1005:$S$1005,1,MATCH(COLUMNS($P$1006:S1006),$P$1006:$S$1006,0))&gt;=100000), " ",IF(INDEX($P$2:$S$1001,MATCH(ROWS($I$2:I807),$I$2:$I$1001,0),MATCH(COLUMNS($P$1006:S1006),$P$1006:$S$1006,0)), HYPERLINK("#",""), HYPERLINK(CONCATENATE("#metadata!", ADDRESS(INDEX($K$2:$K$1001,MATCH(ROWS($I$2:I807),$I$2:$I$1001,0),0), INDEX($P$1004:$S$1004,1,MATCH(COLUMNS($P$1006:S1006),$P$1006:$S$1006,0)))),"Fix")))</f>
        <v>0</v>
      </c>
      <c r="I807">
        <v>0</v>
      </c>
      <c r="J807">
        <v>0</v>
      </c>
      <c r="K807">
        <v>0</v>
      </c>
      <c r="L807">
        <f>IF(M807,TRUE,AND(P807:S807))</f>
        <v>0</v>
      </c>
      <c r="M807">
        <f>COUNTBLANK(metadata!B807:E807)=COLUMNS(metadata!B807:E807)</f>
        <v>0</v>
      </c>
      <c r="N807">
        <v>0</v>
      </c>
      <c r="P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Q807">
        <f>AND(IF(metadata!C807="",FALSE,TRUE),exact(metadata!C807,"other"))</f>
        <v>0</v>
      </c>
      <c r="R807">
        <f>AND(IF(metadata!D807="",FALSE,TRUE),exact(metadata!D807,"metagenome"))</f>
        <v>0</v>
      </c>
      <c r="S807">
        <f>AND(IF(metadata!E807="",FALSE,TRUE),exact(metadata!E807,"256318"))</f>
        <v>0</v>
      </c>
    </row>
    <row r="808" spans="1:19">
      <c r="A808" s="4">
        <f>IF(B808=" "," ",HYPERLINK(CONCATENATE("#metadata!",ADDRESS(INDEX($K$2:$K$1001,MATCH(ROWS($I$2:I808),$I$2:$I$1001,0),0),1)),INDEX($N$2:$N$1001,MATCH(ROWS($I$2:I808),$I$2:$I$1001,0),0)))</f>
        <v>0</v>
      </c>
      <c r="B808" s="3">
        <f>IF(OR(INDEX($J$2:$J$1001,MATCH(ROWS($I$2:I808),$I$2:$I$1001,0),1)&gt;=100000,INDEX($P$1005:$S$1005,1,MATCH(COLUMNS($P$1006:P1006),$P$1006:$S$1006,0))&gt;=100000), " ",IF(INDEX($P$2:$S$1001,MATCH(ROWS($I$2:I808),$I$2:$I$1001,0),MATCH(COLUMNS($P$1006:P1006),$P$1006:$S$1006,0)), HYPERLINK("#",""), HYPERLINK(CONCATENATE("#metadata!", ADDRESS(INDEX($K$2:$K$1001,MATCH(ROWS($I$2:I808),$I$2:$I$1001,0),0), INDEX($P$1004:$S$1004,1,MATCH(COLUMNS($P$1006:P1006),$P$1006:$S$1006,0)))),"Fix")))</f>
        <v>0</v>
      </c>
      <c r="C808" s="3">
        <f>IF(OR(INDEX($J$2:$J$1001,MATCH(ROWS($I$2:I808),$I$2:$I$1001,0),1)&gt;=100000,INDEX($P$1005:$S$1005,1,MATCH(COLUMNS($P$1006:Q1006),$P$1006:$S$1006,0))&gt;=100000), " ",IF(INDEX($P$2:$S$1001,MATCH(ROWS($I$2:I808),$I$2:$I$1001,0),MATCH(COLUMNS($P$1006:Q1006),$P$1006:$S$1006,0)), HYPERLINK("#",""), HYPERLINK(CONCATENATE("#metadata!", ADDRESS(INDEX($K$2:$K$1001,MATCH(ROWS($I$2:I808),$I$2:$I$1001,0),0), INDEX($P$1004:$S$1004,1,MATCH(COLUMNS($P$1006:Q1006),$P$1006:$S$1006,0)))),"Fix")))</f>
        <v>0</v>
      </c>
      <c r="D808" s="3">
        <f>IF(OR(INDEX($J$2:$J$1001,MATCH(ROWS($I$2:I808),$I$2:$I$1001,0),1)&gt;=100000,INDEX($P$1005:$S$1005,1,MATCH(COLUMNS($P$1006:R1006),$P$1006:$S$1006,0))&gt;=100000), " ",IF(INDEX($P$2:$S$1001,MATCH(ROWS($I$2:I808),$I$2:$I$1001,0),MATCH(COLUMNS($P$1006:R1006),$P$1006:$S$1006,0)), HYPERLINK("#",""), HYPERLINK(CONCATENATE("#metadata!", ADDRESS(INDEX($K$2:$K$1001,MATCH(ROWS($I$2:I808),$I$2:$I$1001,0),0), INDEX($P$1004:$S$1004,1,MATCH(COLUMNS($P$1006:R1006),$P$1006:$S$1006,0)))),"Fix")))</f>
        <v>0</v>
      </c>
      <c r="E808" s="3">
        <f>IF(OR(INDEX($J$2:$J$1001,MATCH(ROWS($I$2:I808),$I$2:$I$1001,0),1)&gt;=100000,INDEX($P$1005:$S$1005,1,MATCH(COLUMNS($P$1006:S1006),$P$1006:$S$1006,0))&gt;=100000), " ",IF(INDEX($P$2:$S$1001,MATCH(ROWS($I$2:I808),$I$2:$I$1001,0),MATCH(COLUMNS($P$1006:S1006),$P$1006:$S$1006,0)), HYPERLINK("#",""), HYPERLINK(CONCATENATE("#metadata!", ADDRESS(INDEX($K$2:$K$1001,MATCH(ROWS($I$2:I808),$I$2:$I$1001,0),0), INDEX($P$1004:$S$1004,1,MATCH(COLUMNS($P$1006:S1006),$P$1006:$S$1006,0)))),"Fix")))</f>
        <v>0</v>
      </c>
      <c r="I808">
        <v>0</v>
      </c>
      <c r="J808">
        <v>0</v>
      </c>
      <c r="K808">
        <v>0</v>
      </c>
      <c r="L808">
        <f>IF(M808,TRUE,AND(P808:S808))</f>
        <v>0</v>
      </c>
      <c r="M808">
        <f>COUNTBLANK(metadata!B808:E808)=COLUMNS(metadata!B808:E808)</f>
        <v>0</v>
      </c>
      <c r="N808">
        <v>0</v>
      </c>
      <c r="P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Q808">
        <f>AND(IF(metadata!C808="",FALSE,TRUE),exact(metadata!C808,"other"))</f>
        <v>0</v>
      </c>
      <c r="R808">
        <f>AND(IF(metadata!D808="",FALSE,TRUE),exact(metadata!D808,"metagenome"))</f>
        <v>0</v>
      </c>
      <c r="S808">
        <f>AND(IF(metadata!E808="",FALSE,TRUE),exact(metadata!E808,"256318"))</f>
        <v>0</v>
      </c>
    </row>
    <row r="809" spans="1:19">
      <c r="A809" s="4">
        <f>IF(B809=" "," ",HYPERLINK(CONCATENATE("#metadata!",ADDRESS(INDEX($K$2:$K$1001,MATCH(ROWS($I$2:I809),$I$2:$I$1001,0),0),1)),INDEX($N$2:$N$1001,MATCH(ROWS($I$2:I809),$I$2:$I$1001,0),0)))</f>
        <v>0</v>
      </c>
      <c r="B809" s="3">
        <f>IF(OR(INDEX($J$2:$J$1001,MATCH(ROWS($I$2:I809),$I$2:$I$1001,0),1)&gt;=100000,INDEX($P$1005:$S$1005,1,MATCH(COLUMNS($P$1006:P1006),$P$1006:$S$1006,0))&gt;=100000), " ",IF(INDEX($P$2:$S$1001,MATCH(ROWS($I$2:I809),$I$2:$I$1001,0),MATCH(COLUMNS($P$1006:P1006),$P$1006:$S$1006,0)), HYPERLINK("#",""), HYPERLINK(CONCATENATE("#metadata!", ADDRESS(INDEX($K$2:$K$1001,MATCH(ROWS($I$2:I809),$I$2:$I$1001,0),0), INDEX($P$1004:$S$1004,1,MATCH(COLUMNS($P$1006:P1006),$P$1006:$S$1006,0)))),"Fix")))</f>
        <v>0</v>
      </c>
      <c r="C809" s="3">
        <f>IF(OR(INDEX($J$2:$J$1001,MATCH(ROWS($I$2:I809),$I$2:$I$1001,0),1)&gt;=100000,INDEX($P$1005:$S$1005,1,MATCH(COLUMNS($P$1006:Q1006),$P$1006:$S$1006,0))&gt;=100000), " ",IF(INDEX($P$2:$S$1001,MATCH(ROWS($I$2:I809),$I$2:$I$1001,0),MATCH(COLUMNS($P$1006:Q1006),$P$1006:$S$1006,0)), HYPERLINK("#",""), HYPERLINK(CONCATENATE("#metadata!", ADDRESS(INDEX($K$2:$K$1001,MATCH(ROWS($I$2:I809),$I$2:$I$1001,0),0), INDEX($P$1004:$S$1004,1,MATCH(COLUMNS($P$1006:Q1006),$P$1006:$S$1006,0)))),"Fix")))</f>
        <v>0</v>
      </c>
      <c r="D809" s="3">
        <f>IF(OR(INDEX($J$2:$J$1001,MATCH(ROWS($I$2:I809),$I$2:$I$1001,0),1)&gt;=100000,INDEX($P$1005:$S$1005,1,MATCH(COLUMNS($P$1006:R1006),$P$1006:$S$1006,0))&gt;=100000), " ",IF(INDEX($P$2:$S$1001,MATCH(ROWS($I$2:I809),$I$2:$I$1001,0),MATCH(COLUMNS($P$1006:R1006),$P$1006:$S$1006,0)), HYPERLINK("#",""), HYPERLINK(CONCATENATE("#metadata!", ADDRESS(INDEX($K$2:$K$1001,MATCH(ROWS($I$2:I809),$I$2:$I$1001,0),0), INDEX($P$1004:$S$1004,1,MATCH(COLUMNS($P$1006:R1006),$P$1006:$S$1006,0)))),"Fix")))</f>
        <v>0</v>
      </c>
      <c r="E809" s="3">
        <f>IF(OR(INDEX($J$2:$J$1001,MATCH(ROWS($I$2:I809),$I$2:$I$1001,0),1)&gt;=100000,INDEX($P$1005:$S$1005,1,MATCH(COLUMNS($P$1006:S1006),$P$1006:$S$1006,0))&gt;=100000), " ",IF(INDEX($P$2:$S$1001,MATCH(ROWS($I$2:I809),$I$2:$I$1001,0),MATCH(COLUMNS($P$1006:S1006),$P$1006:$S$1006,0)), HYPERLINK("#",""), HYPERLINK(CONCATENATE("#metadata!", ADDRESS(INDEX($K$2:$K$1001,MATCH(ROWS($I$2:I809),$I$2:$I$1001,0),0), INDEX($P$1004:$S$1004,1,MATCH(COLUMNS($P$1006:S1006),$P$1006:$S$1006,0)))),"Fix")))</f>
        <v>0</v>
      </c>
      <c r="I809">
        <v>0</v>
      </c>
      <c r="J809">
        <v>0</v>
      </c>
      <c r="K809">
        <v>0</v>
      </c>
      <c r="L809">
        <f>IF(M809,TRUE,AND(P809:S809))</f>
        <v>0</v>
      </c>
      <c r="M809">
        <f>COUNTBLANK(metadata!B809:E809)=COLUMNS(metadata!B809:E809)</f>
        <v>0</v>
      </c>
      <c r="N809">
        <v>0</v>
      </c>
      <c r="P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Q809">
        <f>AND(IF(metadata!C809="",FALSE,TRUE),exact(metadata!C809,"other"))</f>
        <v>0</v>
      </c>
      <c r="R809">
        <f>AND(IF(metadata!D809="",FALSE,TRUE),exact(metadata!D809,"metagenome"))</f>
        <v>0</v>
      </c>
      <c r="S809">
        <f>AND(IF(metadata!E809="",FALSE,TRUE),exact(metadata!E809,"256318"))</f>
        <v>0</v>
      </c>
    </row>
    <row r="810" spans="1:19">
      <c r="A810" s="4">
        <f>IF(B810=" "," ",HYPERLINK(CONCATENATE("#metadata!",ADDRESS(INDEX($K$2:$K$1001,MATCH(ROWS($I$2:I810),$I$2:$I$1001,0),0),1)),INDEX($N$2:$N$1001,MATCH(ROWS($I$2:I810),$I$2:$I$1001,0),0)))</f>
        <v>0</v>
      </c>
      <c r="B810" s="3">
        <f>IF(OR(INDEX($J$2:$J$1001,MATCH(ROWS($I$2:I810),$I$2:$I$1001,0),1)&gt;=100000,INDEX($P$1005:$S$1005,1,MATCH(COLUMNS($P$1006:P1006),$P$1006:$S$1006,0))&gt;=100000), " ",IF(INDEX($P$2:$S$1001,MATCH(ROWS($I$2:I810),$I$2:$I$1001,0),MATCH(COLUMNS($P$1006:P1006),$P$1006:$S$1006,0)), HYPERLINK("#",""), HYPERLINK(CONCATENATE("#metadata!", ADDRESS(INDEX($K$2:$K$1001,MATCH(ROWS($I$2:I810),$I$2:$I$1001,0),0), INDEX($P$1004:$S$1004,1,MATCH(COLUMNS($P$1006:P1006),$P$1006:$S$1006,0)))),"Fix")))</f>
        <v>0</v>
      </c>
      <c r="C810" s="3">
        <f>IF(OR(INDEX($J$2:$J$1001,MATCH(ROWS($I$2:I810),$I$2:$I$1001,0),1)&gt;=100000,INDEX($P$1005:$S$1005,1,MATCH(COLUMNS($P$1006:Q1006),$P$1006:$S$1006,0))&gt;=100000), " ",IF(INDEX($P$2:$S$1001,MATCH(ROWS($I$2:I810),$I$2:$I$1001,0),MATCH(COLUMNS($P$1006:Q1006),$P$1006:$S$1006,0)), HYPERLINK("#",""), HYPERLINK(CONCATENATE("#metadata!", ADDRESS(INDEX($K$2:$K$1001,MATCH(ROWS($I$2:I810),$I$2:$I$1001,0),0), INDEX($P$1004:$S$1004,1,MATCH(COLUMNS($P$1006:Q1006),$P$1006:$S$1006,0)))),"Fix")))</f>
        <v>0</v>
      </c>
      <c r="D810" s="3">
        <f>IF(OR(INDEX($J$2:$J$1001,MATCH(ROWS($I$2:I810),$I$2:$I$1001,0),1)&gt;=100000,INDEX($P$1005:$S$1005,1,MATCH(COLUMNS($P$1006:R1006),$P$1006:$S$1006,0))&gt;=100000), " ",IF(INDEX($P$2:$S$1001,MATCH(ROWS($I$2:I810),$I$2:$I$1001,0),MATCH(COLUMNS($P$1006:R1006),$P$1006:$S$1006,0)), HYPERLINK("#",""), HYPERLINK(CONCATENATE("#metadata!", ADDRESS(INDEX($K$2:$K$1001,MATCH(ROWS($I$2:I810),$I$2:$I$1001,0),0), INDEX($P$1004:$S$1004,1,MATCH(COLUMNS($P$1006:R1006),$P$1006:$S$1006,0)))),"Fix")))</f>
        <v>0</v>
      </c>
      <c r="E810" s="3">
        <f>IF(OR(INDEX($J$2:$J$1001,MATCH(ROWS($I$2:I810),$I$2:$I$1001,0),1)&gt;=100000,INDEX($P$1005:$S$1005,1,MATCH(COLUMNS($P$1006:S1006),$P$1006:$S$1006,0))&gt;=100000), " ",IF(INDEX($P$2:$S$1001,MATCH(ROWS($I$2:I810),$I$2:$I$1001,0),MATCH(COLUMNS($P$1006:S1006),$P$1006:$S$1006,0)), HYPERLINK("#",""), HYPERLINK(CONCATENATE("#metadata!", ADDRESS(INDEX($K$2:$K$1001,MATCH(ROWS($I$2:I810),$I$2:$I$1001,0),0), INDEX($P$1004:$S$1004,1,MATCH(COLUMNS($P$1006:S1006),$P$1006:$S$1006,0)))),"Fix")))</f>
        <v>0</v>
      </c>
      <c r="I810">
        <v>0</v>
      </c>
      <c r="J810">
        <v>0</v>
      </c>
      <c r="K810">
        <v>0</v>
      </c>
      <c r="L810">
        <f>IF(M810,TRUE,AND(P810:S810))</f>
        <v>0</v>
      </c>
      <c r="M810">
        <f>COUNTBLANK(metadata!B810:E810)=COLUMNS(metadata!B810:E810)</f>
        <v>0</v>
      </c>
      <c r="N810">
        <v>0</v>
      </c>
      <c r="P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Q810">
        <f>AND(IF(metadata!C810="",FALSE,TRUE),exact(metadata!C810,"other"))</f>
        <v>0</v>
      </c>
      <c r="R810">
        <f>AND(IF(metadata!D810="",FALSE,TRUE),exact(metadata!D810,"metagenome"))</f>
        <v>0</v>
      </c>
      <c r="S810">
        <f>AND(IF(metadata!E810="",FALSE,TRUE),exact(metadata!E810,"256318"))</f>
        <v>0</v>
      </c>
    </row>
    <row r="811" spans="1:19">
      <c r="A811" s="4">
        <f>IF(B811=" "," ",HYPERLINK(CONCATENATE("#metadata!",ADDRESS(INDEX($K$2:$K$1001,MATCH(ROWS($I$2:I811),$I$2:$I$1001,0),0),1)),INDEX($N$2:$N$1001,MATCH(ROWS($I$2:I811),$I$2:$I$1001,0),0)))</f>
        <v>0</v>
      </c>
      <c r="B811" s="3">
        <f>IF(OR(INDEX($J$2:$J$1001,MATCH(ROWS($I$2:I811),$I$2:$I$1001,0),1)&gt;=100000,INDEX($P$1005:$S$1005,1,MATCH(COLUMNS($P$1006:P1006),$P$1006:$S$1006,0))&gt;=100000), " ",IF(INDEX($P$2:$S$1001,MATCH(ROWS($I$2:I811),$I$2:$I$1001,0),MATCH(COLUMNS($P$1006:P1006),$P$1006:$S$1006,0)), HYPERLINK("#",""), HYPERLINK(CONCATENATE("#metadata!", ADDRESS(INDEX($K$2:$K$1001,MATCH(ROWS($I$2:I811),$I$2:$I$1001,0),0), INDEX($P$1004:$S$1004,1,MATCH(COLUMNS($P$1006:P1006),$P$1006:$S$1006,0)))),"Fix")))</f>
        <v>0</v>
      </c>
      <c r="C811" s="3">
        <f>IF(OR(INDEX($J$2:$J$1001,MATCH(ROWS($I$2:I811),$I$2:$I$1001,0),1)&gt;=100000,INDEX($P$1005:$S$1005,1,MATCH(COLUMNS($P$1006:Q1006),$P$1006:$S$1006,0))&gt;=100000), " ",IF(INDEX($P$2:$S$1001,MATCH(ROWS($I$2:I811),$I$2:$I$1001,0),MATCH(COLUMNS($P$1006:Q1006),$P$1006:$S$1006,0)), HYPERLINK("#",""), HYPERLINK(CONCATENATE("#metadata!", ADDRESS(INDEX($K$2:$K$1001,MATCH(ROWS($I$2:I811),$I$2:$I$1001,0),0), INDEX($P$1004:$S$1004,1,MATCH(COLUMNS($P$1006:Q1006),$P$1006:$S$1006,0)))),"Fix")))</f>
        <v>0</v>
      </c>
      <c r="D811" s="3">
        <f>IF(OR(INDEX($J$2:$J$1001,MATCH(ROWS($I$2:I811),$I$2:$I$1001,0),1)&gt;=100000,INDEX($P$1005:$S$1005,1,MATCH(COLUMNS($P$1006:R1006),$P$1006:$S$1006,0))&gt;=100000), " ",IF(INDEX($P$2:$S$1001,MATCH(ROWS($I$2:I811),$I$2:$I$1001,0),MATCH(COLUMNS($P$1006:R1006),$P$1006:$S$1006,0)), HYPERLINK("#",""), HYPERLINK(CONCATENATE("#metadata!", ADDRESS(INDEX($K$2:$K$1001,MATCH(ROWS($I$2:I811),$I$2:$I$1001,0),0), INDEX($P$1004:$S$1004,1,MATCH(COLUMNS($P$1006:R1006),$P$1006:$S$1006,0)))),"Fix")))</f>
        <v>0</v>
      </c>
      <c r="E811" s="3">
        <f>IF(OR(INDEX($J$2:$J$1001,MATCH(ROWS($I$2:I811),$I$2:$I$1001,0),1)&gt;=100000,INDEX($P$1005:$S$1005,1,MATCH(COLUMNS($P$1006:S1006),$P$1006:$S$1006,0))&gt;=100000), " ",IF(INDEX($P$2:$S$1001,MATCH(ROWS($I$2:I811),$I$2:$I$1001,0),MATCH(COLUMNS($P$1006:S1006),$P$1006:$S$1006,0)), HYPERLINK("#",""), HYPERLINK(CONCATENATE("#metadata!", ADDRESS(INDEX($K$2:$K$1001,MATCH(ROWS($I$2:I811),$I$2:$I$1001,0),0), INDEX($P$1004:$S$1004,1,MATCH(COLUMNS($P$1006:S1006),$P$1006:$S$1006,0)))),"Fix")))</f>
        <v>0</v>
      </c>
      <c r="I811">
        <v>0</v>
      </c>
      <c r="J811">
        <v>0</v>
      </c>
      <c r="K811">
        <v>0</v>
      </c>
      <c r="L811">
        <f>IF(M811,TRUE,AND(P811:S811))</f>
        <v>0</v>
      </c>
      <c r="M811">
        <f>COUNTBLANK(metadata!B811:E811)=COLUMNS(metadata!B811:E811)</f>
        <v>0</v>
      </c>
      <c r="N811">
        <v>0</v>
      </c>
      <c r="P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Q811">
        <f>AND(IF(metadata!C811="",FALSE,TRUE),exact(metadata!C811,"other"))</f>
        <v>0</v>
      </c>
      <c r="R811">
        <f>AND(IF(metadata!D811="",FALSE,TRUE),exact(metadata!D811,"metagenome"))</f>
        <v>0</v>
      </c>
      <c r="S811">
        <f>AND(IF(metadata!E811="",FALSE,TRUE),exact(metadata!E811,"256318"))</f>
        <v>0</v>
      </c>
    </row>
    <row r="812" spans="1:19">
      <c r="A812" s="4">
        <f>IF(B812=" "," ",HYPERLINK(CONCATENATE("#metadata!",ADDRESS(INDEX($K$2:$K$1001,MATCH(ROWS($I$2:I812),$I$2:$I$1001,0),0),1)),INDEX($N$2:$N$1001,MATCH(ROWS($I$2:I812),$I$2:$I$1001,0),0)))</f>
        <v>0</v>
      </c>
      <c r="B812" s="3">
        <f>IF(OR(INDEX($J$2:$J$1001,MATCH(ROWS($I$2:I812),$I$2:$I$1001,0),1)&gt;=100000,INDEX($P$1005:$S$1005,1,MATCH(COLUMNS($P$1006:P1006),$P$1006:$S$1006,0))&gt;=100000), " ",IF(INDEX($P$2:$S$1001,MATCH(ROWS($I$2:I812),$I$2:$I$1001,0),MATCH(COLUMNS($P$1006:P1006),$P$1006:$S$1006,0)), HYPERLINK("#",""), HYPERLINK(CONCATENATE("#metadata!", ADDRESS(INDEX($K$2:$K$1001,MATCH(ROWS($I$2:I812),$I$2:$I$1001,0),0), INDEX($P$1004:$S$1004,1,MATCH(COLUMNS($P$1006:P1006),$P$1006:$S$1006,0)))),"Fix")))</f>
        <v>0</v>
      </c>
      <c r="C812" s="3">
        <f>IF(OR(INDEX($J$2:$J$1001,MATCH(ROWS($I$2:I812),$I$2:$I$1001,0),1)&gt;=100000,INDEX($P$1005:$S$1005,1,MATCH(COLUMNS($P$1006:Q1006),$P$1006:$S$1006,0))&gt;=100000), " ",IF(INDEX($P$2:$S$1001,MATCH(ROWS($I$2:I812),$I$2:$I$1001,0),MATCH(COLUMNS($P$1006:Q1006),$P$1006:$S$1006,0)), HYPERLINK("#",""), HYPERLINK(CONCATENATE("#metadata!", ADDRESS(INDEX($K$2:$K$1001,MATCH(ROWS($I$2:I812),$I$2:$I$1001,0),0), INDEX($P$1004:$S$1004,1,MATCH(COLUMNS($P$1006:Q1006),$P$1006:$S$1006,0)))),"Fix")))</f>
        <v>0</v>
      </c>
      <c r="D812" s="3">
        <f>IF(OR(INDEX($J$2:$J$1001,MATCH(ROWS($I$2:I812),$I$2:$I$1001,0),1)&gt;=100000,INDEX($P$1005:$S$1005,1,MATCH(COLUMNS($P$1006:R1006),$P$1006:$S$1006,0))&gt;=100000), " ",IF(INDEX($P$2:$S$1001,MATCH(ROWS($I$2:I812),$I$2:$I$1001,0),MATCH(COLUMNS($P$1006:R1006),$P$1006:$S$1006,0)), HYPERLINK("#",""), HYPERLINK(CONCATENATE("#metadata!", ADDRESS(INDEX($K$2:$K$1001,MATCH(ROWS($I$2:I812),$I$2:$I$1001,0),0), INDEX($P$1004:$S$1004,1,MATCH(COLUMNS($P$1006:R1006),$P$1006:$S$1006,0)))),"Fix")))</f>
        <v>0</v>
      </c>
      <c r="E812" s="3">
        <f>IF(OR(INDEX($J$2:$J$1001,MATCH(ROWS($I$2:I812),$I$2:$I$1001,0),1)&gt;=100000,INDEX($P$1005:$S$1005,1,MATCH(COLUMNS($P$1006:S1006),$P$1006:$S$1006,0))&gt;=100000), " ",IF(INDEX($P$2:$S$1001,MATCH(ROWS($I$2:I812),$I$2:$I$1001,0),MATCH(COLUMNS($P$1006:S1006),$P$1006:$S$1006,0)), HYPERLINK("#",""), HYPERLINK(CONCATENATE("#metadata!", ADDRESS(INDEX($K$2:$K$1001,MATCH(ROWS($I$2:I812),$I$2:$I$1001,0),0), INDEX($P$1004:$S$1004,1,MATCH(COLUMNS($P$1006:S1006),$P$1006:$S$1006,0)))),"Fix")))</f>
        <v>0</v>
      </c>
      <c r="I812">
        <v>0</v>
      </c>
      <c r="J812">
        <v>0</v>
      </c>
      <c r="K812">
        <v>0</v>
      </c>
      <c r="L812">
        <f>IF(M812,TRUE,AND(P812:S812))</f>
        <v>0</v>
      </c>
      <c r="M812">
        <f>COUNTBLANK(metadata!B812:E812)=COLUMNS(metadata!B812:E812)</f>
        <v>0</v>
      </c>
      <c r="N812">
        <v>0</v>
      </c>
      <c r="P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Q812">
        <f>AND(IF(metadata!C812="",FALSE,TRUE),exact(metadata!C812,"other"))</f>
        <v>0</v>
      </c>
      <c r="R812">
        <f>AND(IF(metadata!D812="",FALSE,TRUE),exact(metadata!D812,"metagenome"))</f>
        <v>0</v>
      </c>
      <c r="S812">
        <f>AND(IF(metadata!E812="",FALSE,TRUE),exact(metadata!E812,"256318"))</f>
        <v>0</v>
      </c>
    </row>
    <row r="813" spans="1:19">
      <c r="A813" s="4">
        <f>IF(B813=" "," ",HYPERLINK(CONCATENATE("#metadata!",ADDRESS(INDEX($K$2:$K$1001,MATCH(ROWS($I$2:I813),$I$2:$I$1001,0),0),1)),INDEX($N$2:$N$1001,MATCH(ROWS($I$2:I813),$I$2:$I$1001,0),0)))</f>
        <v>0</v>
      </c>
      <c r="B813" s="3">
        <f>IF(OR(INDEX($J$2:$J$1001,MATCH(ROWS($I$2:I813),$I$2:$I$1001,0),1)&gt;=100000,INDEX($P$1005:$S$1005,1,MATCH(COLUMNS($P$1006:P1006),$P$1006:$S$1006,0))&gt;=100000), " ",IF(INDEX($P$2:$S$1001,MATCH(ROWS($I$2:I813),$I$2:$I$1001,0),MATCH(COLUMNS($P$1006:P1006),$P$1006:$S$1006,0)), HYPERLINK("#",""), HYPERLINK(CONCATENATE("#metadata!", ADDRESS(INDEX($K$2:$K$1001,MATCH(ROWS($I$2:I813),$I$2:$I$1001,0),0), INDEX($P$1004:$S$1004,1,MATCH(COLUMNS($P$1006:P1006),$P$1006:$S$1006,0)))),"Fix")))</f>
        <v>0</v>
      </c>
      <c r="C813" s="3">
        <f>IF(OR(INDEX($J$2:$J$1001,MATCH(ROWS($I$2:I813),$I$2:$I$1001,0),1)&gt;=100000,INDEX($P$1005:$S$1005,1,MATCH(COLUMNS($P$1006:Q1006),$P$1006:$S$1006,0))&gt;=100000), " ",IF(INDEX($P$2:$S$1001,MATCH(ROWS($I$2:I813),$I$2:$I$1001,0),MATCH(COLUMNS($P$1006:Q1006),$P$1006:$S$1006,0)), HYPERLINK("#",""), HYPERLINK(CONCATENATE("#metadata!", ADDRESS(INDEX($K$2:$K$1001,MATCH(ROWS($I$2:I813),$I$2:$I$1001,0),0), INDEX($P$1004:$S$1004,1,MATCH(COLUMNS($P$1006:Q1006),$P$1006:$S$1006,0)))),"Fix")))</f>
        <v>0</v>
      </c>
      <c r="D813" s="3">
        <f>IF(OR(INDEX($J$2:$J$1001,MATCH(ROWS($I$2:I813),$I$2:$I$1001,0),1)&gt;=100000,INDEX($P$1005:$S$1005,1,MATCH(COLUMNS($P$1006:R1006),$P$1006:$S$1006,0))&gt;=100000), " ",IF(INDEX($P$2:$S$1001,MATCH(ROWS($I$2:I813),$I$2:$I$1001,0),MATCH(COLUMNS($P$1006:R1006),$P$1006:$S$1006,0)), HYPERLINK("#",""), HYPERLINK(CONCATENATE("#metadata!", ADDRESS(INDEX($K$2:$K$1001,MATCH(ROWS($I$2:I813),$I$2:$I$1001,0),0), INDEX($P$1004:$S$1004,1,MATCH(COLUMNS($P$1006:R1006),$P$1006:$S$1006,0)))),"Fix")))</f>
        <v>0</v>
      </c>
      <c r="E813" s="3">
        <f>IF(OR(INDEX($J$2:$J$1001,MATCH(ROWS($I$2:I813),$I$2:$I$1001,0),1)&gt;=100000,INDEX($P$1005:$S$1005,1,MATCH(COLUMNS($P$1006:S1006),$P$1006:$S$1006,0))&gt;=100000), " ",IF(INDEX($P$2:$S$1001,MATCH(ROWS($I$2:I813),$I$2:$I$1001,0),MATCH(COLUMNS($P$1006:S1006),$P$1006:$S$1006,0)), HYPERLINK("#",""), HYPERLINK(CONCATENATE("#metadata!", ADDRESS(INDEX($K$2:$K$1001,MATCH(ROWS($I$2:I813),$I$2:$I$1001,0),0), INDEX($P$1004:$S$1004,1,MATCH(COLUMNS($P$1006:S1006),$P$1006:$S$1006,0)))),"Fix")))</f>
        <v>0</v>
      </c>
      <c r="I813">
        <v>0</v>
      </c>
      <c r="J813">
        <v>0</v>
      </c>
      <c r="K813">
        <v>0</v>
      </c>
      <c r="L813">
        <f>IF(M813,TRUE,AND(P813:S813))</f>
        <v>0</v>
      </c>
      <c r="M813">
        <f>COUNTBLANK(metadata!B813:E813)=COLUMNS(metadata!B813:E813)</f>
        <v>0</v>
      </c>
      <c r="N813">
        <v>0</v>
      </c>
      <c r="P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Q813">
        <f>AND(IF(metadata!C813="",FALSE,TRUE),exact(metadata!C813,"other"))</f>
        <v>0</v>
      </c>
      <c r="R813">
        <f>AND(IF(metadata!D813="",FALSE,TRUE),exact(metadata!D813,"metagenome"))</f>
        <v>0</v>
      </c>
      <c r="S813">
        <f>AND(IF(metadata!E813="",FALSE,TRUE),exact(metadata!E813,"256318"))</f>
        <v>0</v>
      </c>
    </row>
    <row r="814" spans="1:19">
      <c r="A814" s="4">
        <f>IF(B814=" "," ",HYPERLINK(CONCATENATE("#metadata!",ADDRESS(INDEX($K$2:$K$1001,MATCH(ROWS($I$2:I814),$I$2:$I$1001,0),0),1)),INDEX($N$2:$N$1001,MATCH(ROWS($I$2:I814),$I$2:$I$1001,0),0)))</f>
        <v>0</v>
      </c>
      <c r="B814" s="3">
        <f>IF(OR(INDEX($J$2:$J$1001,MATCH(ROWS($I$2:I814),$I$2:$I$1001,0),1)&gt;=100000,INDEX($P$1005:$S$1005,1,MATCH(COLUMNS($P$1006:P1006),$P$1006:$S$1006,0))&gt;=100000), " ",IF(INDEX($P$2:$S$1001,MATCH(ROWS($I$2:I814),$I$2:$I$1001,0),MATCH(COLUMNS($P$1006:P1006),$P$1006:$S$1006,0)), HYPERLINK("#",""), HYPERLINK(CONCATENATE("#metadata!", ADDRESS(INDEX($K$2:$K$1001,MATCH(ROWS($I$2:I814),$I$2:$I$1001,0),0), INDEX($P$1004:$S$1004,1,MATCH(COLUMNS($P$1006:P1006),$P$1006:$S$1006,0)))),"Fix")))</f>
        <v>0</v>
      </c>
      <c r="C814" s="3">
        <f>IF(OR(INDEX($J$2:$J$1001,MATCH(ROWS($I$2:I814),$I$2:$I$1001,0),1)&gt;=100000,INDEX($P$1005:$S$1005,1,MATCH(COLUMNS($P$1006:Q1006),$P$1006:$S$1006,0))&gt;=100000), " ",IF(INDEX($P$2:$S$1001,MATCH(ROWS($I$2:I814),$I$2:$I$1001,0),MATCH(COLUMNS($P$1006:Q1006),$P$1006:$S$1006,0)), HYPERLINK("#",""), HYPERLINK(CONCATENATE("#metadata!", ADDRESS(INDEX($K$2:$K$1001,MATCH(ROWS($I$2:I814),$I$2:$I$1001,0),0), INDEX($P$1004:$S$1004,1,MATCH(COLUMNS($P$1006:Q1006),$P$1006:$S$1006,0)))),"Fix")))</f>
        <v>0</v>
      </c>
      <c r="D814" s="3">
        <f>IF(OR(INDEX($J$2:$J$1001,MATCH(ROWS($I$2:I814),$I$2:$I$1001,0),1)&gt;=100000,INDEX($P$1005:$S$1005,1,MATCH(COLUMNS($P$1006:R1006),$P$1006:$S$1006,0))&gt;=100000), " ",IF(INDEX($P$2:$S$1001,MATCH(ROWS($I$2:I814),$I$2:$I$1001,0),MATCH(COLUMNS($P$1006:R1006),$P$1006:$S$1006,0)), HYPERLINK("#",""), HYPERLINK(CONCATENATE("#metadata!", ADDRESS(INDEX($K$2:$K$1001,MATCH(ROWS($I$2:I814),$I$2:$I$1001,0),0), INDEX($P$1004:$S$1004,1,MATCH(COLUMNS($P$1006:R1006),$P$1006:$S$1006,0)))),"Fix")))</f>
        <v>0</v>
      </c>
      <c r="E814" s="3">
        <f>IF(OR(INDEX($J$2:$J$1001,MATCH(ROWS($I$2:I814),$I$2:$I$1001,0),1)&gt;=100000,INDEX($P$1005:$S$1005,1,MATCH(COLUMNS($P$1006:S1006),$P$1006:$S$1006,0))&gt;=100000), " ",IF(INDEX($P$2:$S$1001,MATCH(ROWS($I$2:I814),$I$2:$I$1001,0),MATCH(COLUMNS($P$1006:S1006),$P$1006:$S$1006,0)), HYPERLINK("#",""), HYPERLINK(CONCATENATE("#metadata!", ADDRESS(INDEX($K$2:$K$1001,MATCH(ROWS($I$2:I814),$I$2:$I$1001,0),0), INDEX($P$1004:$S$1004,1,MATCH(COLUMNS($P$1006:S1006),$P$1006:$S$1006,0)))),"Fix")))</f>
        <v>0</v>
      </c>
      <c r="I814">
        <v>0</v>
      </c>
      <c r="J814">
        <v>0</v>
      </c>
      <c r="K814">
        <v>0</v>
      </c>
      <c r="L814">
        <f>IF(M814,TRUE,AND(P814:S814))</f>
        <v>0</v>
      </c>
      <c r="M814">
        <f>COUNTBLANK(metadata!B814:E814)=COLUMNS(metadata!B814:E814)</f>
        <v>0</v>
      </c>
      <c r="N814">
        <v>0</v>
      </c>
      <c r="P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Q814">
        <f>AND(IF(metadata!C814="",FALSE,TRUE),exact(metadata!C814,"other"))</f>
        <v>0</v>
      </c>
      <c r="R814">
        <f>AND(IF(metadata!D814="",FALSE,TRUE),exact(metadata!D814,"metagenome"))</f>
        <v>0</v>
      </c>
      <c r="S814">
        <f>AND(IF(metadata!E814="",FALSE,TRUE),exact(metadata!E814,"256318"))</f>
        <v>0</v>
      </c>
    </row>
    <row r="815" spans="1:19">
      <c r="A815" s="4">
        <f>IF(B815=" "," ",HYPERLINK(CONCATENATE("#metadata!",ADDRESS(INDEX($K$2:$K$1001,MATCH(ROWS($I$2:I815),$I$2:$I$1001,0),0),1)),INDEX($N$2:$N$1001,MATCH(ROWS($I$2:I815),$I$2:$I$1001,0),0)))</f>
        <v>0</v>
      </c>
      <c r="B815" s="3">
        <f>IF(OR(INDEX($J$2:$J$1001,MATCH(ROWS($I$2:I815),$I$2:$I$1001,0),1)&gt;=100000,INDEX($P$1005:$S$1005,1,MATCH(COLUMNS($P$1006:P1006),$P$1006:$S$1006,0))&gt;=100000), " ",IF(INDEX($P$2:$S$1001,MATCH(ROWS($I$2:I815),$I$2:$I$1001,0),MATCH(COLUMNS($P$1006:P1006),$P$1006:$S$1006,0)), HYPERLINK("#",""), HYPERLINK(CONCATENATE("#metadata!", ADDRESS(INDEX($K$2:$K$1001,MATCH(ROWS($I$2:I815),$I$2:$I$1001,0),0), INDEX($P$1004:$S$1004,1,MATCH(COLUMNS($P$1006:P1006),$P$1006:$S$1006,0)))),"Fix")))</f>
        <v>0</v>
      </c>
      <c r="C815" s="3">
        <f>IF(OR(INDEX($J$2:$J$1001,MATCH(ROWS($I$2:I815),$I$2:$I$1001,0),1)&gt;=100000,INDEX($P$1005:$S$1005,1,MATCH(COLUMNS($P$1006:Q1006),$P$1006:$S$1006,0))&gt;=100000), " ",IF(INDEX($P$2:$S$1001,MATCH(ROWS($I$2:I815),$I$2:$I$1001,0),MATCH(COLUMNS($P$1006:Q1006),$P$1006:$S$1006,0)), HYPERLINK("#",""), HYPERLINK(CONCATENATE("#metadata!", ADDRESS(INDEX($K$2:$K$1001,MATCH(ROWS($I$2:I815),$I$2:$I$1001,0),0), INDEX($P$1004:$S$1004,1,MATCH(COLUMNS($P$1006:Q1006),$P$1006:$S$1006,0)))),"Fix")))</f>
        <v>0</v>
      </c>
      <c r="D815" s="3">
        <f>IF(OR(INDEX($J$2:$J$1001,MATCH(ROWS($I$2:I815),$I$2:$I$1001,0),1)&gt;=100000,INDEX($P$1005:$S$1005,1,MATCH(COLUMNS($P$1006:R1006),$P$1006:$S$1006,0))&gt;=100000), " ",IF(INDEX($P$2:$S$1001,MATCH(ROWS($I$2:I815),$I$2:$I$1001,0),MATCH(COLUMNS($P$1006:R1006),$P$1006:$S$1006,0)), HYPERLINK("#",""), HYPERLINK(CONCATENATE("#metadata!", ADDRESS(INDEX($K$2:$K$1001,MATCH(ROWS($I$2:I815),$I$2:$I$1001,0),0), INDEX($P$1004:$S$1004,1,MATCH(COLUMNS($P$1006:R1006),$P$1006:$S$1006,0)))),"Fix")))</f>
        <v>0</v>
      </c>
      <c r="E815" s="3">
        <f>IF(OR(INDEX($J$2:$J$1001,MATCH(ROWS($I$2:I815),$I$2:$I$1001,0),1)&gt;=100000,INDEX($P$1005:$S$1005,1,MATCH(COLUMNS($P$1006:S1006),$P$1006:$S$1006,0))&gt;=100000), " ",IF(INDEX($P$2:$S$1001,MATCH(ROWS($I$2:I815),$I$2:$I$1001,0),MATCH(COLUMNS($P$1006:S1006),$P$1006:$S$1006,0)), HYPERLINK("#",""), HYPERLINK(CONCATENATE("#metadata!", ADDRESS(INDEX($K$2:$K$1001,MATCH(ROWS($I$2:I815),$I$2:$I$1001,0),0), INDEX($P$1004:$S$1004,1,MATCH(COLUMNS($P$1006:S1006),$P$1006:$S$1006,0)))),"Fix")))</f>
        <v>0</v>
      </c>
      <c r="I815">
        <v>0</v>
      </c>
      <c r="J815">
        <v>0</v>
      </c>
      <c r="K815">
        <v>0</v>
      </c>
      <c r="L815">
        <f>IF(M815,TRUE,AND(P815:S815))</f>
        <v>0</v>
      </c>
      <c r="M815">
        <f>COUNTBLANK(metadata!B815:E815)=COLUMNS(metadata!B815:E815)</f>
        <v>0</v>
      </c>
      <c r="N815">
        <v>0</v>
      </c>
      <c r="P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Q815">
        <f>AND(IF(metadata!C815="",FALSE,TRUE),exact(metadata!C815,"other"))</f>
        <v>0</v>
      </c>
      <c r="R815">
        <f>AND(IF(metadata!D815="",FALSE,TRUE),exact(metadata!D815,"metagenome"))</f>
        <v>0</v>
      </c>
      <c r="S815">
        <f>AND(IF(metadata!E815="",FALSE,TRUE),exact(metadata!E815,"256318"))</f>
        <v>0</v>
      </c>
    </row>
    <row r="816" spans="1:19">
      <c r="A816" s="4">
        <f>IF(B816=" "," ",HYPERLINK(CONCATENATE("#metadata!",ADDRESS(INDEX($K$2:$K$1001,MATCH(ROWS($I$2:I816),$I$2:$I$1001,0),0),1)),INDEX($N$2:$N$1001,MATCH(ROWS($I$2:I816),$I$2:$I$1001,0),0)))</f>
        <v>0</v>
      </c>
      <c r="B816" s="3">
        <f>IF(OR(INDEX($J$2:$J$1001,MATCH(ROWS($I$2:I816),$I$2:$I$1001,0),1)&gt;=100000,INDEX($P$1005:$S$1005,1,MATCH(COLUMNS($P$1006:P1006),$P$1006:$S$1006,0))&gt;=100000), " ",IF(INDEX($P$2:$S$1001,MATCH(ROWS($I$2:I816),$I$2:$I$1001,0),MATCH(COLUMNS($P$1006:P1006),$P$1006:$S$1006,0)), HYPERLINK("#",""), HYPERLINK(CONCATENATE("#metadata!", ADDRESS(INDEX($K$2:$K$1001,MATCH(ROWS($I$2:I816),$I$2:$I$1001,0),0), INDEX($P$1004:$S$1004,1,MATCH(COLUMNS($P$1006:P1006),$P$1006:$S$1006,0)))),"Fix")))</f>
        <v>0</v>
      </c>
      <c r="C816" s="3">
        <f>IF(OR(INDEX($J$2:$J$1001,MATCH(ROWS($I$2:I816),$I$2:$I$1001,0),1)&gt;=100000,INDEX($P$1005:$S$1005,1,MATCH(COLUMNS($P$1006:Q1006),$P$1006:$S$1006,0))&gt;=100000), " ",IF(INDEX($P$2:$S$1001,MATCH(ROWS($I$2:I816),$I$2:$I$1001,0),MATCH(COLUMNS($P$1006:Q1006),$P$1006:$S$1006,0)), HYPERLINK("#",""), HYPERLINK(CONCATENATE("#metadata!", ADDRESS(INDEX($K$2:$K$1001,MATCH(ROWS($I$2:I816),$I$2:$I$1001,0),0), INDEX($P$1004:$S$1004,1,MATCH(COLUMNS($P$1006:Q1006),$P$1006:$S$1006,0)))),"Fix")))</f>
        <v>0</v>
      </c>
      <c r="D816" s="3">
        <f>IF(OR(INDEX($J$2:$J$1001,MATCH(ROWS($I$2:I816),$I$2:$I$1001,0),1)&gt;=100000,INDEX($P$1005:$S$1005,1,MATCH(COLUMNS($P$1006:R1006),$P$1006:$S$1006,0))&gt;=100000), " ",IF(INDEX($P$2:$S$1001,MATCH(ROWS($I$2:I816),$I$2:$I$1001,0),MATCH(COLUMNS($P$1006:R1006),$P$1006:$S$1006,0)), HYPERLINK("#",""), HYPERLINK(CONCATENATE("#metadata!", ADDRESS(INDEX($K$2:$K$1001,MATCH(ROWS($I$2:I816),$I$2:$I$1001,0),0), INDEX($P$1004:$S$1004,1,MATCH(COLUMNS($P$1006:R1006),$P$1006:$S$1006,0)))),"Fix")))</f>
        <v>0</v>
      </c>
      <c r="E816" s="3">
        <f>IF(OR(INDEX($J$2:$J$1001,MATCH(ROWS($I$2:I816),$I$2:$I$1001,0),1)&gt;=100000,INDEX($P$1005:$S$1005,1,MATCH(COLUMNS($P$1006:S1006),$P$1006:$S$1006,0))&gt;=100000), " ",IF(INDEX($P$2:$S$1001,MATCH(ROWS($I$2:I816),$I$2:$I$1001,0),MATCH(COLUMNS($P$1006:S1006),$P$1006:$S$1006,0)), HYPERLINK("#",""), HYPERLINK(CONCATENATE("#metadata!", ADDRESS(INDEX($K$2:$K$1001,MATCH(ROWS($I$2:I816),$I$2:$I$1001,0),0), INDEX($P$1004:$S$1004,1,MATCH(COLUMNS($P$1006:S1006),$P$1006:$S$1006,0)))),"Fix")))</f>
        <v>0</v>
      </c>
      <c r="I816">
        <v>0</v>
      </c>
      <c r="J816">
        <v>0</v>
      </c>
      <c r="K816">
        <v>0</v>
      </c>
      <c r="L816">
        <f>IF(M816,TRUE,AND(P816:S816))</f>
        <v>0</v>
      </c>
      <c r="M816">
        <f>COUNTBLANK(metadata!B816:E816)=COLUMNS(metadata!B816:E816)</f>
        <v>0</v>
      </c>
      <c r="N816">
        <v>0</v>
      </c>
      <c r="P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Q816">
        <f>AND(IF(metadata!C816="",FALSE,TRUE),exact(metadata!C816,"other"))</f>
        <v>0</v>
      </c>
      <c r="R816">
        <f>AND(IF(metadata!D816="",FALSE,TRUE),exact(metadata!D816,"metagenome"))</f>
        <v>0</v>
      </c>
      <c r="S816">
        <f>AND(IF(metadata!E816="",FALSE,TRUE),exact(metadata!E816,"256318"))</f>
        <v>0</v>
      </c>
    </row>
    <row r="817" spans="1:19">
      <c r="A817" s="4">
        <f>IF(B817=" "," ",HYPERLINK(CONCATENATE("#metadata!",ADDRESS(INDEX($K$2:$K$1001,MATCH(ROWS($I$2:I817),$I$2:$I$1001,0),0),1)),INDEX($N$2:$N$1001,MATCH(ROWS($I$2:I817),$I$2:$I$1001,0),0)))</f>
        <v>0</v>
      </c>
      <c r="B817" s="3">
        <f>IF(OR(INDEX($J$2:$J$1001,MATCH(ROWS($I$2:I817),$I$2:$I$1001,0),1)&gt;=100000,INDEX($P$1005:$S$1005,1,MATCH(COLUMNS($P$1006:P1006),$P$1006:$S$1006,0))&gt;=100000), " ",IF(INDEX($P$2:$S$1001,MATCH(ROWS($I$2:I817),$I$2:$I$1001,0),MATCH(COLUMNS($P$1006:P1006),$P$1006:$S$1006,0)), HYPERLINK("#",""), HYPERLINK(CONCATENATE("#metadata!", ADDRESS(INDEX($K$2:$K$1001,MATCH(ROWS($I$2:I817),$I$2:$I$1001,0),0), INDEX($P$1004:$S$1004,1,MATCH(COLUMNS($P$1006:P1006),$P$1006:$S$1006,0)))),"Fix")))</f>
        <v>0</v>
      </c>
      <c r="C817" s="3">
        <f>IF(OR(INDEX($J$2:$J$1001,MATCH(ROWS($I$2:I817),$I$2:$I$1001,0),1)&gt;=100000,INDEX($P$1005:$S$1005,1,MATCH(COLUMNS($P$1006:Q1006),$P$1006:$S$1006,0))&gt;=100000), " ",IF(INDEX($P$2:$S$1001,MATCH(ROWS($I$2:I817),$I$2:$I$1001,0),MATCH(COLUMNS($P$1006:Q1006),$P$1006:$S$1006,0)), HYPERLINK("#",""), HYPERLINK(CONCATENATE("#metadata!", ADDRESS(INDEX($K$2:$K$1001,MATCH(ROWS($I$2:I817),$I$2:$I$1001,0),0), INDEX($P$1004:$S$1004,1,MATCH(COLUMNS($P$1006:Q1006),$P$1006:$S$1006,0)))),"Fix")))</f>
        <v>0</v>
      </c>
      <c r="D817" s="3">
        <f>IF(OR(INDEX($J$2:$J$1001,MATCH(ROWS($I$2:I817),$I$2:$I$1001,0),1)&gt;=100000,INDEX($P$1005:$S$1005,1,MATCH(COLUMNS($P$1006:R1006),$P$1006:$S$1006,0))&gt;=100000), " ",IF(INDEX($P$2:$S$1001,MATCH(ROWS($I$2:I817),$I$2:$I$1001,0),MATCH(COLUMNS($P$1006:R1006),$P$1006:$S$1006,0)), HYPERLINK("#",""), HYPERLINK(CONCATENATE("#metadata!", ADDRESS(INDEX($K$2:$K$1001,MATCH(ROWS($I$2:I817),$I$2:$I$1001,0),0), INDEX($P$1004:$S$1004,1,MATCH(COLUMNS($P$1006:R1006),$P$1006:$S$1006,0)))),"Fix")))</f>
        <v>0</v>
      </c>
      <c r="E817" s="3">
        <f>IF(OR(INDEX($J$2:$J$1001,MATCH(ROWS($I$2:I817),$I$2:$I$1001,0),1)&gt;=100000,INDEX($P$1005:$S$1005,1,MATCH(COLUMNS($P$1006:S1006),$P$1006:$S$1006,0))&gt;=100000), " ",IF(INDEX($P$2:$S$1001,MATCH(ROWS($I$2:I817),$I$2:$I$1001,0),MATCH(COLUMNS($P$1006:S1006),$P$1006:$S$1006,0)), HYPERLINK("#",""), HYPERLINK(CONCATENATE("#metadata!", ADDRESS(INDEX($K$2:$K$1001,MATCH(ROWS($I$2:I817),$I$2:$I$1001,0),0), INDEX($P$1004:$S$1004,1,MATCH(COLUMNS($P$1006:S1006),$P$1006:$S$1006,0)))),"Fix")))</f>
        <v>0</v>
      </c>
      <c r="I817">
        <v>0</v>
      </c>
      <c r="J817">
        <v>0</v>
      </c>
      <c r="K817">
        <v>0</v>
      </c>
      <c r="L817">
        <f>IF(M817,TRUE,AND(P817:S817))</f>
        <v>0</v>
      </c>
      <c r="M817">
        <f>COUNTBLANK(metadata!B817:E817)=COLUMNS(metadata!B817:E817)</f>
        <v>0</v>
      </c>
      <c r="N817">
        <v>0</v>
      </c>
      <c r="P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Q817">
        <f>AND(IF(metadata!C817="",FALSE,TRUE),exact(metadata!C817,"other"))</f>
        <v>0</v>
      </c>
      <c r="R817">
        <f>AND(IF(metadata!D817="",FALSE,TRUE),exact(metadata!D817,"metagenome"))</f>
        <v>0</v>
      </c>
      <c r="S817">
        <f>AND(IF(metadata!E817="",FALSE,TRUE),exact(metadata!E817,"256318"))</f>
        <v>0</v>
      </c>
    </row>
    <row r="818" spans="1:19">
      <c r="A818" s="4">
        <f>IF(B818=" "," ",HYPERLINK(CONCATENATE("#metadata!",ADDRESS(INDEX($K$2:$K$1001,MATCH(ROWS($I$2:I818),$I$2:$I$1001,0),0),1)),INDEX($N$2:$N$1001,MATCH(ROWS($I$2:I818),$I$2:$I$1001,0),0)))</f>
        <v>0</v>
      </c>
      <c r="B818" s="3">
        <f>IF(OR(INDEX($J$2:$J$1001,MATCH(ROWS($I$2:I818),$I$2:$I$1001,0),1)&gt;=100000,INDEX($P$1005:$S$1005,1,MATCH(COLUMNS($P$1006:P1006),$P$1006:$S$1006,0))&gt;=100000), " ",IF(INDEX($P$2:$S$1001,MATCH(ROWS($I$2:I818),$I$2:$I$1001,0),MATCH(COLUMNS($P$1006:P1006),$P$1006:$S$1006,0)), HYPERLINK("#",""), HYPERLINK(CONCATENATE("#metadata!", ADDRESS(INDEX($K$2:$K$1001,MATCH(ROWS($I$2:I818),$I$2:$I$1001,0),0), INDEX($P$1004:$S$1004,1,MATCH(COLUMNS($P$1006:P1006),$P$1006:$S$1006,0)))),"Fix")))</f>
        <v>0</v>
      </c>
      <c r="C818" s="3">
        <f>IF(OR(INDEX($J$2:$J$1001,MATCH(ROWS($I$2:I818),$I$2:$I$1001,0),1)&gt;=100000,INDEX($P$1005:$S$1005,1,MATCH(COLUMNS($P$1006:Q1006),$P$1006:$S$1006,0))&gt;=100000), " ",IF(INDEX($P$2:$S$1001,MATCH(ROWS($I$2:I818),$I$2:$I$1001,0),MATCH(COLUMNS($P$1006:Q1006),$P$1006:$S$1006,0)), HYPERLINK("#",""), HYPERLINK(CONCATENATE("#metadata!", ADDRESS(INDEX($K$2:$K$1001,MATCH(ROWS($I$2:I818),$I$2:$I$1001,0),0), INDEX($P$1004:$S$1004,1,MATCH(COLUMNS($P$1006:Q1006),$P$1006:$S$1006,0)))),"Fix")))</f>
        <v>0</v>
      </c>
      <c r="D818" s="3">
        <f>IF(OR(INDEX($J$2:$J$1001,MATCH(ROWS($I$2:I818),$I$2:$I$1001,0),1)&gt;=100000,INDEX($P$1005:$S$1005,1,MATCH(COLUMNS($P$1006:R1006),$P$1006:$S$1006,0))&gt;=100000), " ",IF(INDEX($P$2:$S$1001,MATCH(ROWS($I$2:I818),$I$2:$I$1001,0),MATCH(COLUMNS($P$1006:R1006),$P$1006:$S$1006,0)), HYPERLINK("#",""), HYPERLINK(CONCATENATE("#metadata!", ADDRESS(INDEX($K$2:$K$1001,MATCH(ROWS($I$2:I818),$I$2:$I$1001,0),0), INDEX($P$1004:$S$1004,1,MATCH(COLUMNS($P$1006:R1006),$P$1006:$S$1006,0)))),"Fix")))</f>
        <v>0</v>
      </c>
      <c r="E818" s="3">
        <f>IF(OR(INDEX($J$2:$J$1001,MATCH(ROWS($I$2:I818),$I$2:$I$1001,0),1)&gt;=100000,INDEX($P$1005:$S$1005,1,MATCH(COLUMNS($P$1006:S1006),$P$1006:$S$1006,0))&gt;=100000), " ",IF(INDEX($P$2:$S$1001,MATCH(ROWS($I$2:I818),$I$2:$I$1001,0),MATCH(COLUMNS($P$1006:S1006),$P$1006:$S$1006,0)), HYPERLINK("#",""), HYPERLINK(CONCATENATE("#metadata!", ADDRESS(INDEX($K$2:$K$1001,MATCH(ROWS($I$2:I818),$I$2:$I$1001,0),0), INDEX($P$1004:$S$1004,1,MATCH(COLUMNS($P$1006:S1006),$P$1006:$S$1006,0)))),"Fix")))</f>
        <v>0</v>
      </c>
      <c r="I818">
        <v>0</v>
      </c>
      <c r="J818">
        <v>0</v>
      </c>
      <c r="K818">
        <v>0</v>
      </c>
      <c r="L818">
        <f>IF(M818,TRUE,AND(P818:S818))</f>
        <v>0</v>
      </c>
      <c r="M818">
        <f>COUNTBLANK(metadata!B818:E818)=COLUMNS(metadata!B818:E818)</f>
        <v>0</v>
      </c>
      <c r="N818">
        <v>0</v>
      </c>
      <c r="P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Q818">
        <f>AND(IF(metadata!C818="",FALSE,TRUE),exact(metadata!C818,"other"))</f>
        <v>0</v>
      </c>
      <c r="R818">
        <f>AND(IF(metadata!D818="",FALSE,TRUE),exact(metadata!D818,"metagenome"))</f>
        <v>0</v>
      </c>
      <c r="S818">
        <f>AND(IF(metadata!E818="",FALSE,TRUE),exact(metadata!E818,"256318"))</f>
        <v>0</v>
      </c>
    </row>
    <row r="819" spans="1:19">
      <c r="A819" s="4">
        <f>IF(B819=" "," ",HYPERLINK(CONCATENATE("#metadata!",ADDRESS(INDEX($K$2:$K$1001,MATCH(ROWS($I$2:I819),$I$2:$I$1001,0),0),1)),INDEX($N$2:$N$1001,MATCH(ROWS($I$2:I819),$I$2:$I$1001,0),0)))</f>
        <v>0</v>
      </c>
      <c r="B819" s="3">
        <f>IF(OR(INDEX($J$2:$J$1001,MATCH(ROWS($I$2:I819),$I$2:$I$1001,0),1)&gt;=100000,INDEX($P$1005:$S$1005,1,MATCH(COLUMNS($P$1006:P1006),$P$1006:$S$1006,0))&gt;=100000), " ",IF(INDEX($P$2:$S$1001,MATCH(ROWS($I$2:I819),$I$2:$I$1001,0),MATCH(COLUMNS($P$1006:P1006),$P$1006:$S$1006,0)), HYPERLINK("#",""), HYPERLINK(CONCATENATE("#metadata!", ADDRESS(INDEX($K$2:$K$1001,MATCH(ROWS($I$2:I819),$I$2:$I$1001,0),0), INDEX($P$1004:$S$1004,1,MATCH(COLUMNS($P$1006:P1006),$P$1006:$S$1006,0)))),"Fix")))</f>
        <v>0</v>
      </c>
      <c r="C819" s="3">
        <f>IF(OR(INDEX($J$2:$J$1001,MATCH(ROWS($I$2:I819),$I$2:$I$1001,0),1)&gt;=100000,INDEX($P$1005:$S$1005,1,MATCH(COLUMNS($P$1006:Q1006),$P$1006:$S$1006,0))&gt;=100000), " ",IF(INDEX($P$2:$S$1001,MATCH(ROWS($I$2:I819),$I$2:$I$1001,0),MATCH(COLUMNS($P$1006:Q1006),$P$1006:$S$1006,0)), HYPERLINK("#",""), HYPERLINK(CONCATENATE("#metadata!", ADDRESS(INDEX($K$2:$K$1001,MATCH(ROWS($I$2:I819),$I$2:$I$1001,0),0), INDEX($P$1004:$S$1004,1,MATCH(COLUMNS($P$1006:Q1006),$P$1006:$S$1006,0)))),"Fix")))</f>
        <v>0</v>
      </c>
      <c r="D819" s="3">
        <f>IF(OR(INDEX($J$2:$J$1001,MATCH(ROWS($I$2:I819),$I$2:$I$1001,0),1)&gt;=100000,INDEX($P$1005:$S$1005,1,MATCH(COLUMNS($P$1006:R1006),$P$1006:$S$1006,0))&gt;=100000), " ",IF(INDEX($P$2:$S$1001,MATCH(ROWS($I$2:I819),$I$2:$I$1001,0),MATCH(COLUMNS($P$1006:R1006),$P$1006:$S$1006,0)), HYPERLINK("#",""), HYPERLINK(CONCATENATE("#metadata!", ADDRESS(INDEX($K$2:$K$1001,MATCH(ROWS($I$2:I819),$I$2:$I$1001,0),0), INDEX($P$1004:$S$1004,1,MATCH(COLUMNS($P$1006:R1006),$P$1006:$S$1006,0)))),"Fix")))</f>
        <v>0</v>
      </c>
      <c r="E819" s="3">
        <f>IF(OR(INDEX($J$2:$J$1001,MATCH(ROWS($I$2:I819),$I$2:$I$1001,0),1)&gt;=100000,INDEX($P$1005:$S$1005,1,MATCH(COLUMNS($P$1006:S1006),$P$1006:$S$1006,0))&gt;=100000), " ",IF(INDEX($P$2:$S$1001,MATCH(ROWS($I$2:I819),$I$2:$I$1001,0),MATCH(COLUMNS($P$1006:S1006),$P$1006:$S$1006,0)), HYPERLINK("#",""), HYPERLINK(CONCATENATE("#metadata!", ADDRESS(INDEX($K$2:$K$1001,MATCH(ROWS($I$2:I819),$I$2:$I$1001,0),0), INDEX($P$1004:$S$1004,1,MATCH(COLUMNS($P$1006:S1006),$P$1006:$S$1006,0)))),"Fix")))</f>
        <v>0</v>
      </c>
      <c r="I819">
        <v>0</v>
      </c>
      <c r="J819">
        <v>0</v>
      </c>
      <c r="K819">
        <v>0</v>
      </c>
      <c r="L819">
        <f>IF(M819,TRUE,AND(P819:S819))</f>
        <v>0</v>
      </c>
      <c r="M819">
        <f>COUNTBLANK(metadata!B819:E819)=COLUMNS(metadata!B819:E819)</f>
        <v>0</v>
      </c>
      <c r="N819">
        <v>0</v>
      </c>
      <c r="P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Q819">
        <f>AND(IF(metadata!C819="",FALSE,TRUE),exact(metadata!C819,"other"))</f>
        <v>0</v>
      </c>
      <c r="R819">
        <f>AND(IF(metadata!D819="",FALSE,TRUE),exact(metadata!D819,"metagenome"))</f>
        <v>0</v>
      </c>
      <c r="S819">
        <f>AND(IF(metadata!E819="",FALSE,TRUE),exact(metadata!E819,"256318"))</f>
        <v>0</v>
      </c>
    </row>
    <row r="820" spans="1:19">
      <c r="A820" s="4">
        <f>IF(B820=" "," ",HYPERLINK(CONCATENATE("#metadata!",ADDRESS(INDEX($K$2:$K$1001,MATCH(ROWS($I$2:I820),$I$2:$I$1001,0),0),1)),INDEX($N$2:$N$1001,MATCH(ROWS($I$2:I820),$I$2:$I$1001,0),0)))</f>
        <v>0</v>
      </c>
      <c r="B820" s="3">
        <f>IF(OR(INDEX($J$2:$J$1001,MATCH(ROWS($I$2:I820),$I$2:$I$1001,0),1)&gt;=100000,INDEX($P$1005:$S$1005,1,MATCH(COLUMNS($P$1006:P1006),$P$1006:$S$1006,0))&gt;=100000), " ",IF(INDEX($P$2:$S$1001,MATCH(ROWS($I$2:I820),$I$2:$I$1001,0),MATCH(COLUMNS($P$1006:P1006),$P$1006:$S$1006,0)), HYPERLINK("#",""), HYPERLINK(CONCATENATE("#metadata!", ADDRESS(INDEX($K$2:$K$1001,MATCH(ROWS($I$2:I820),$I$2:$I$1001,0),0), INDEX($P$1004:$S$1004,1,MATCH(COLUMNS($P$1006:P1006),$P$1006:$S$1006,0)))),"Fix")))</f>
        <v>0</v>
      </c>
      <c r="C820" s="3">
        <f>IF(OR(INDEX($J$2:$J$1001,MATCH(ROWS($I$2:I820),$I$2:$I$1001,0),1)&gt;=100000,INDEX($P$1005:$S$1005,1,MATCH(COLUMNS($P$1006:Q1006),$P$1006:$S$1006,0))&gt;=100000), " ",IF(INDEX($P$2:$S$1001,MATCH(ROWS($I$2:I820),$I$2:$I$1001,0),MATCH(COLUMNS($P$1006:Q1006),$P$1006:$S$1006,0)), HYPERLINK("#",""), HYPERLINK(CONCATENATE("#metadata!", ADDRESS(INDEX($K$2:$K$1001,MATCH(ROWS($I$2:I820),$I$2:$I$1001,0),0), INDEX($P$1004:$S$1004,1,MATCH(COLUMNS($P$1006:Q1006),$P$1006:$S$1006,0)))),"Fix")))</f>
        <v>0</v>
      </c>
      <c r="D820" s="3">
        <f>IF(OR(INDEX($J$2:$J$1001,MATCH(ROWS($I$2:I820),$I$2:$I$1001,0),1)&gt;=100000,INDEX($P$1005:$S$1005,1,MATCH(COLUMNS($P$1006:R1006),$P$1006:$S$1006,0))&gt;=100000), " ",IF(INDEX($P$2:$S$1001,MATCH(ROWS($I$2:I820),$I$2:$I$1001,0),MATCH(COLUMNS($P$1006:R1006),$P$1006:$S$1006,0)), HYPERLINK("#",""), HYPERLINK(CONCATENATE("#metadata!", ADDRESS(INDEX($K$2:$K$1001,MATCH(ROWS($I$2:I820),$I$2:$I$1001,0),0), INDEX($P$1004:$S$1004,1,MATCH(COLUMNS($P$1006:R1006),$P$1006:$S$1006,0)))),"Fix")))</f>
        <v>0</v>
      </c>
      <c r="E820" s="3">
        <f>IF(OR(INDEX($J$2:$J$1001,MATCH(ROWS($I$2:I820),$I$2:$I$1001,0),1)&gt;=100000,INDEX($P$1005:$S$1005,1,MATCH(COLUMNS($P$1006:S1006),$P$1006:$S$1006,0))&gt;=100000), " ",IF(INDEX($P$2:$S$1001,MATCH(ROWS($I$2:I820),$I$2:$I$1001,0),MATCH(COLUMNS($P$1006:S1006),$P$1006:$S$1006,0)), HYPERLINK("#",""), HYPERLINK(CONCATENATE("#metadata!", ADDRESS(INDEX($K$2:$K$1001,MATCH(ROWS($I$2:I820),$I$2:$I$1001,0),0), INDEX($P$1004:$S$1004,1,MATCH(COLUMNS($P$1006:S1006),$P$1006:$S$1006,0)))),"Fix")))</f>
        <v>0</v>
      </c>
      <c r="I820">
        <v>0</v>
      </c>
      <c r="J820">
        <v>0</v>
      </c>
      <c r="K820">
        <v>0</v>
      </c>
      <c r="L820">
        <f>IF(M820,TRUE,AND(P820:S820))</f>
        <v>0</v>
      </c>
      <c r="M820">
        <f>COUNTBLANK(metadata!B820:E820)=COLUMNS(metadata!B820:E820)</f>
        <v>0</v>
      </c>
      <c r="N820">
        <v>0</v>
      </c>
      <c r="P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Q820">
        <f>AND(IF(metadata!C820="",FALSE,TRUE),exact(metadata!C820,"other"))</f>
        <v>0</v>
      </c>
      <c r="R820">
        <f>AND(IF(metadata!D820="",FALSE,TRUE),exact(metadata!D820,"metagenome"))</f>
        <v>0</v>
      </c>
      <c r="S820">
        <f>AND(IF(metadata!E820="",FALSE,TRUE),exact(metadata!E820,"256318"))</f>
        <v>0</v>
      </c>
    </row>
    <row r="821" spans="1:19">
      <c r="A821" s="4">
        <f>IF(B821=" "," ",HYPERLINK(CONCATENATE("#metadata!",ADDRESS(INDEX($K$2:$K$1001,MATCH(ROWS($I$2:I821),$I$2:$I$1001,0),0),1)),INDEX($N$2:$N$1001,MATCH(ROWS($I$2:I821),$I$2:$I$1001,0),0)))</f>
        <v>0</v>
      </c>
      <c r="B821" s="3">
        <f>IF(OR(INDEX($J$2:$J$1001,MATCH(ROWS($I$2:I821),$I$2:$I$1001,0),1)&gt;=100000,INDEX($P$1005:$S$1005,1,MATCH(COLUMNS($P$1006:P1006),$P$1006:$S$1006,0))&gt;=100000), " ",IF(INDEX($P$2:$S$1001,MATCH(ROWS($I$2:I821),$I$2:$I$1001,0),MATCH(COLUMNS($P$1006:P1006),$P$1006:$S$1006,0)), HYPERLINK("#",""), HYPERLINK(CONCATENATE("#metadata!", ADDRESS(INDEX($K$2:$K$1001,MATCH(ROWS($I$2:I821),$I$2:$I$1001,0),0), INDEX($P$1004:$S$1004,1,MATCH(COLUMNS($P$1006:P1006),$P$1006:$S$1006,0)))),"Fix")))</f>
        <v>0</v>
      </c>
      <c r="C821" s="3">
        <f>IF(OR(INDEX($J$2:$J$1001,MATCH(ROWS($I$2:I821),$I$2:$I$1001,0),1)&gt;=100000,INDEX($P$1005:$S$1005,1,MATCH(COLUMNS($P$1006:Q1006),$P$1006:$S$1006,0))&gt;=100000), " ",IF(INDEX($P$2:$S$1001,MATCH(ROWS($I$2:I821),$I$2:$I$1001,0),MATCH(COLUMNS($P$1006:Q1006),$P$1006:$S$1006,0)), HYPERLINK("#",""), HYPERLINK(CONCATENATE("#metadata!", ADDRESS(INDEX($K$2:$K$1001,MATCH(ROWS($I$2:I821),$I$2:$I$1001,0),0), INDEX($P$1004:$S$1004,1,MATCH(COLUMNS($P$1006:Q1006),$P$1006:$S$1006,0)))),"Fix")))</f>
        <v>0</v>
      </c>
      <c r="D821" s="3">
        <f>IF(OR(INDEX($J$2:$J$1001,MATCH(ROWS($I$2:I821),$I$2:$I$1001,0),1)&gt;=100000,INDEX($P$1005:$S$1005,1,MATCH(COLUMNS($P$1006:R1006),$P$1006:$S$1006,0))&gt;=100000), " ",IF(INDEX($P$2:$S$1001,MATCH(ROWS($I$2:I821),$I$2:$I$1001,0),MATCH(COLUMNS($P$1006:R1006),$P$1006:$S$1006,0)), HYPERLINK("#",""), HYPERLINK(CONCATENATE("#metadata!", ADDRESS(INDEX($K$2:$K$1001,MATCH(ROWS($I$2:I821),$I$2:$I$1001,0),0), INDEX($P$1004:$S$1004,1,MATCH(COLUMNS($P$1006:R1006),$P$1006:$S$1006,0)))),"Fix")))</f>
        <v>0</v>
      </c>
      <c r="E821" s="3">
        <f>IF(OR(INDEX($J$2:$J$1001,MATCH(ROWS($I$2:I821),$I$2:$I$1001,0),1)&gt;=100000,INDEX($P$1005:$S$1005,1,MATCH(COLUMNS($P$1006:S1006),$P$1006:$S$1006,0))&gt;=100000), " ",IF(INDEX($P$2:$S$1001,MATCH(ROWS($I$2:I821),$I$2:$I$1001,0),MATCH(COLUMNS($P$1006:S1006),$P$1006:$S$1006,0)), HYPERLINK("#",""), HYPERLINK(CONCATENATE("#metadata!", ADDRESS(INDEX($K$2:$K$1001,MATCH(ROWS($I$2:I821),$I$2:$I$1001,0),0), INDEX($P$1004:$S$1004,1,MATCH(COLUMNS($P$1006:S1006),$P$1006:$S$1006,0)))),"Fix")))</f>
        <v>0</v>
      </c>
      <c r="I821">
        <v>0</v>
      </c>
      <c r="J821">
        <v>0</v>
      </c>
      <c r="K821">
        <v>0</v>
      </c>
      <c r="L821">
        <f>IF(M821,TRUE,AND(P821:S821))</f>
        <v>0</v>
      </c>
      <c r="M821">
        <f>COUNTBLANK(metadata!B821:E821)=COLUMNS(metadata!B821:E821)</f>
        <v>0</v>
      </c>
      <c r="N821">
        <v>0</v>
      </c>
      <c r="P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Q821">
        <f>AND(IF(metadata!C821="",FALSE,TRUE),exact(metadata!C821,"other"))</f>
        <v>0</v>
      </c>
      <c r="R821">
        <f>AND(IF(metadata!D821="",FALSE,TRUE),exact(metadata!D821,"metagenome"))</f>
        <v>0</v>
      </c>
      <c r="S821">
        <f>AND(IF(metadata!E821="",FALSE,TRUE),exact(metadata!E821,"256318"))</f>
        <v>0</v>
      </c>
    </row>
    <row r="822" spans="1:19">
      <c r="A822" s="4">
        <f>IF(B822=" "," ",HYPERLINK(CONCATENATE("#metadata!",ADDRESS(INDEX($K$2:$K$1001,MATCH(ROWS($I$2:I822),$I$2:$I$1001,0),0),1)),INDEX($N$2:$N$1001,MATCH(ROWS($I$2:I822),$I$2:$I$1001,0),0)))</f>
        <v>0</v>
      </c>
      <c r="B822" s="3">
        <f>IF(OR(INDEX($J$2:$J$1001,MATCH(ROWS($I$2:I822),$I$2:$I$1001,0),1)&gt;=100000,INDEX($P$1005:$S$1005,1,MATCH(COLUMNS($P$1006:P1006),$P$1006:$S$1006,0))&gt;=100000), " ",IF(INDEX($P$2:$S$1001,MATCH(ROWS($I$2:I822),$I$2:$I$1001,0),MATCH(COLUMNS($P$1006:P1006),$P$1006:$S$1006,0)), HYPERLINK("#",""), HYPERLINK(CONCATENATE("#metadata!", ADDRESS(INDEX($K$2:$K$1001,MATCH(ROWS($I$2:I822),$I$2:$I$1001,0),0), INDEX($P$1004:$S$1004,1,MATCH(COLUMNS($P$1006:P1006),$P$1006:$S$1006,0)))),"Fix")))</f>
        <v>0</v>
      </c>
      <c r="C822" s="3">
        <f>IF(OR(INDEX($J$2:$J$1001,MATCH(ROWS($I$2:I822),$I$2:$I$1001,0),1)&gt;=100000,INDEX($P$1005:$S$1005,1,MATCH(COLUMNS($P$1006:Q1006),$P$1006:$S$1006,0))&gt;=100000), " ",IF(INDEX($P$2:$S$1001,MATCH(ROWS($I$2:I822),$I$2:$I$1001,0),MATCH(COLUMNS($P$1006:Q1006),$P$1006:$S$1006,0)), HYPERLINK("#",""), HYPERLINK(CONCATENATE("#metadata!", ADDRESS(INDEX($K$2:$K$1001,MATCH(ROWS($I$2:I822),$I$2:$I$1001,0),0), INDEX($P$1004:$S$1004,1,MATCH(COLUMNS($P$1006:Q1006),$P$1006:$S$1006,0)))),"Fix")))</f>
        <v>0</v>
      </c>
      <c r="D822" s="3">
        <f>IF(OR(INDEX($J$2:$J$1001,MATCH(ROWS($I$2:I822),$I$2:$I$1001,0),1)&gt;=100000,INDEX($P$1005:$S$1005,1,MATCH(COLUMNS($P$1006:R1006),$P$1006:$S$1006,0))&gt;=100000), " ",IF(INDEX($P$2:$S$1001,MATCH(ROWS($I$2:I822),$I$2:$I$1001,0),MATCH(COLUMNS($P$1006:R1006),$P$1006:$S$1006,0)), HYPERLINK("#",""), HYPERLINK(CONCATENATE("#metadata!", ADDRESS(INDEX($K$2:$K$1001,MATCH(ROWS($I$2:I822),$I$2:$I$1001,0),0), INDEX($P$1004:$S$1004,1,MATCH(COLUMNS($P$1006:R1006),$P$1006:$S$1006,0)))),"Fix")))</f>
        <v>0</v>
      </c>
      <c r="E822" s="3">
        <f>IF(OR(INDEX($J$2:$J$1001,MATCH(ROWS($I$2:I822),$I$2:$I$1001,0),1)&gt;=100000,INDEX($P$1005:$S$1005,1,MATCH(COLUMNS($P$1006:S1006),$P$1006:$S$1006,0))&gt;=100000), " ",IF(INDEX($P$2:$S$1001,MATCH(ROWS($I$2:I822),$I$2:$I$1001,0),MATCH(COLUMNS($P$1006:S1006),$P$1006:$S$1006,0)), HYPERLINK("#",""), HYPERLINK(CONCATENATE("#metadata!", ADDRESS(INDEX($K$2:$K$1001,MATCH(ROWS($I$2:I822),$I$2:$I$1001,0),0), INDEX($P$1004:$S$1004,1,MATCH(COLUMNS($P$1006:S1006),$P$1006:$S$1006,0)))),"Fix")))</f>
        <v>0</v>
      </c>
      <c r="I822">
        <v>0</v>
      </c>
      <c r="J822">
        <v>0</v>
      </c>
      <c r="K822">
        <v>0</v>
      </c>
      <c r="L822">
        <f>IF(M822,TRUE,AND(P822:S822))</f>
        <v>0</v>
      </c>
      <c r="M822">
        <f>COUNTBLANK(metadata!B822:E822)=COLUMNS(metadata!B822:E822)</f>
        <v>0</v>
      </c>
      <c r="N822">
        <v>0</v>
      </c>
      <c r="P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Q822">
        <f>AND(IF(metadata!C822="",FALSE,TRUE),exact(metadata!C822,"other"))</f>
        <v>0</v>
      </c>
      <c r="R822">
        <f>AND(IF(metadata!D822="",FALSE,TRUE),exact(metadata!D822,"metagenome"))</f>
        <v>0</v>
      </c>
      <c r="S822">
        <f>AND(IF(metadata!E822="",FALSE,TRUE),exact(metadata!E822,"256318"))</f>
        <v>0</v>
      </c>
    </row>
    <row r="823" spans="1:19">
      <c r="A823" s="4">
        <f>IF(B823=" "," ",HYPERLINK(CONCATENATE("#metadata!",ADDRESS(INDEX($K$2:$K$1001,MATCH(ROWS($I$2:I823),$I$2:$I$1001,0),0),1)),INDEX($N$2:$N$1001,MATCH(ROWS($I$2:I823),$I$2:$I$1001,0),0)))</f>
        <v>0</v>
      </c>
      <c r="B823" s="3">
        <f>IF(OR(INDEX($J$2:$J$1001,MATCH(ROWS($I$2:I823),$I$2:$I$1001,0),1)&gt;=100000,INDEX($P$1005:$S$1005,1,MATCH(COLUMNS($P$1006:P1006),$P$1006:$S$1006,0))&gt;=100000), " ",IF(INDEX($P$2:$S$1001,MATCH(ROWS($I$2:I823),$I$2:$I$1001,0),MATCH(COLUMNS($P$1006:P1006),$P$1006:$S$1006,0)), HYPERLINK("#",""), HYPERLINK(CONCATENATE("#metadata!", ADDRESS(INDEX($K$2:$K$1001,MATCH(ROWS($I$2:I823),$I$2:$I$1001,0),0), INDEX($P$1004:$S$1004,1,MATCH(COLUMNS($P$1006:P1006),$P$1006:$S$1006,0)))),"Fix")))</f>
        <v>0</v>
      </c>
      <c r="C823" s="3">
        <f>IF(OR(INDEX($J$2:$J$1001,MATCH(ROWS($I$2:I823),$I$2:$I$1001,0),1)&gt;=100000,INDEX($P$1005:$S$1005,1,MATCH(COLUMNS($P$1006:Q1006),$P$1006:$S$1006,0))&gt;=100000), " ",IF(INDEX($P$2:$S$1001,MATCH(ROWS($I$2:I823),$I$2:$I$1001,0),MATCH(COLUMNS($P$1006:Q1006),$P$1006:$S$1006,0)), HYPERLINK("#",""), HYPERLINK(CONCATENATE("#metadata!", ADDRESS(INDEX($K$2:$K$1001,MATCH(ROWS($I$2:I823),$I$2:$I$1001,0),0), INDEX($P$1004:$S$1004,1,MATCH(COLUMNS($P$1006:Q1006),$P$1006:$S$1006,0)))),"Fix")))</f>
        <v>0</v>
      </c>
      <c r="D823" s="3">
        <f>IF(OR(INDEX($J$2:$J$1001,MATCH(ROWS($I$2:I823),$I$2:$I$1001,0),1)&gt;=100000,INDEX($P$1005:$S$1005,1,MATCH(COLUMNS($P$1006:R1006),$P$1006:$S$1006,0))&gt;=100000), " ",IF(INDEX($P$2:$S$1001,MATCH(ROWS($I$2:I823),$I$2:$I$1001,0),MATCH(COLUMNS($P$1006:R1006),$P$1006:$S$1006,0)), HYPERLINK("#",""), HYPERLINK(CONCATENATE("#metadata!", ADDRESS(INDEX($K$2:$K$1001,MATCH(ROWS($I$2:I823),$I$2:$I$1001,0),0), INDEX($P$1004:$S$1004,1,MATCH(COLUMNS($P$1006:R1006),$P$1006:$S$1006,0)))),"Fix")))</f>
        <v>0</v>
      </c>
      <c r="E823" s="3">
        <f>IF(OR(INDEX($J$2:$J$1001,MATCH(ROWS($I$2:I823),$I$2:$I$1001,0),1)&gt;=100000,INDEX($P$1005:$S$1005,1,MATCH(COLUMNS($P$1006:S1006),$P$1006:$S$1006,0))&gt;=100000), " ",IF(INDEX($P$2:$S$1001,MATCH(ROWS($I$2:I823),$I$2:$I$1001,0),MATCH(COLUMNS($P$1006:S1006),$P$1006:$S$1006,0)), HYPERLINK("#",""), HYPERLINK(CONCATENATE("#metadata!", ADDRESS(INDEX($K$2:$K$1001,MATCH(ROWS($I$2:I823),$I$2:$I$1001,0),0), INDEX($P$1004:$S$1004,1,MATCH(COLUMNS($P$1006:S1006),$P$1006:$S$1006,0)))),"Fix")))</f>
        <v>0</v>
      </c>
      <c r="I823">
        <v>0</v>
      </c>
      <c r="J823">
        <v>0</v>
      </c>
      <c r="K823">
        <v>0</v>
      </c>
      <c r="L823">
        <f>IF(M823,TRUE,AND(P823:S823))</f>
        <v>0</v>
      </c>
      <c r="M823">
        <f>COUNTBLANK(metadata!B823:E823)=COLUMNS(metadata!B823:E823)</f>
        <v>0</v>
      </c>
      <c r="N823">
        <v>0</v>
      </c>
      <c r="P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Q823">
        <f>AND(IF(metadata!C823="",FALSE,TRUE),exact(metadata!C823,"other"))</f>
        <v>0</v>
      </c>
      <c r="R823">
        <f>AND(IF(metadata!D823="",FALSE,TRUE),exact(metadata!D823,"metagenome"))</f>
        <v>0</v>
      </c>
      <c r="S823">
        <f>AND(IF(metadata!E823="",FALSE,TRUE),exact(metadata!E823,"256318"))</f>
        <v>0</v>
      </c>
    </row>
    <row r="824" spans="1:19">
      <c r="A824" s="4">
        <f>IF(B824=" "," ",HYPERLINK(CONCATENATE("#metadata!",ADDRESS(INDEX($K$2:$K$1001,MATCH(ROWS($I$2:I824),$I$2:$I$1001,0),0),1)),INDEX($N$2:$N$1001,MATCH(ROWS($I$2:I824),$I$2:$I$1001,0),0)))</f>
        <v>0</v>
      </c>
      <c r="B824" s="3">
        <f>IF(OR(INDEX($J$2:$J$1001,MATCH(ROWS($I$2:I824),$I$2:$I$1001,0),1)&gt;=100000,INDEX($P$1005:$S$1005,1,MATCH(COLUMNS($P$1006:P1006),$P$1006:$S$1006,0))&gt;=100000), " ",IF(INDEX($P$2:$S$1001,MATCH(ROWS($I$2:I824),$I$2:$I$1001,0),MATCH(COLUMNS($P$1006:P1006),$P$1006:$S$1006,0)), HYPERLINK("#",""), HYPERLINK(CONCATENATE("#metadata!", ADDRESS(INDEX($K$2:$K$1001,MATCH(ROWS($I$2:I824),$I$2:$I$1001,0),0), INDEX($P$1004:$S$1004,1,MATCH(COLUMNS($P$1006:P1006),$P$1006:$S$1006,0)))),"Fix")))</f>
        <v>0</v>
      </c>
      <c r="C824" s="3">
        <f>IF(OR(INDEX($J$2:$J$1001,MATCH(ROWS($I$2:I824),$I$2:$I$1001,0),1)&gt;=100000,INDEX($P$1005:$S$1005,1,MATCH(COLUMNS($P$1006:Q1006),$P$1006:$S$1006,0))&gt;=100000), " ",IF(INDEX($P$2:$S$1001,MATCH(ROWS($I$2:I824),$I$2:$I$1001,0),MATCH(COLUMNS($P$1006:Q1006),$P$1006:$S$1006,0)), HYPERLINK("#",""), HYPERLINK(CONCATENATE("#metadata!", ADDRESS(INDEX($K$2:$K$1001,MATCH(ROWS($I$2:I824),$I$2:$I$1001,0),0), INDEX($P$1004:$S$1004,1,MATCH(COLUMNS($P$1006:Q1006),$P$1006:$S$1006,0)))),"Fix")))</f>
        <v>0</v>
      </c>
      <c r="D824" s="3">
        <f>IF(OR(INDEX($J$2:$J$1001,MATCH(ROWS($I$2:I824),$I$2:$I$1001,0),1)&gt;=100000,INDEX($P$1005:$S$1005,1,MATCH(COLUMNS($P$1006:R1006),$P$1006:$S$1006,0))&gt;=100000), " ",IF(INDEX($P$2:$S$1001,MATCH(ROWS($I$2:I824),$I$2:$I$1001,0),MATCH(COLUMNS($P$1006:R1006),$P$1006:$S$1006,0)), HYPERLINK("#",""), HYPERLINK(CONCATENATE("#metadata!", ADDRESS(INDEX($K$2:$K$1001,MATCH(ROWS($I$2:I824),$I$2:$I$1001,0),0), INDEX($P$1004:$S$1004,1,MATCH(COLUMNS($P$1006:R1006),$P$1006:$S$1006,0)))),"Fix")))</f>
        <v>0</v>
      </c>
      <c r="E824" s="3">
        <f>IF(OR(INDEX($J$2:$J$1001,MATCH(ROWS($I$2:I824),$I$2:$I$1001,0),1)&gt;=100000,INDEX($P$1005:$S$1005,1,MATCH(COLUMNS($P$1006:S1006),$P$1006:$S$1006,0))&gt;=100000), " ",IF(INDEX($P$2:$S$1001,MATCH(ROWS($I$2:I824),$I$2:$I$1001,0),MATCH(COLUMNS($P$1006:S1006),$P$1006:$S$1006,0)), HYPERLINK("#",""), HYPERLINK(CONCATENATE("#metadata!", ADDRESS(INDEX($K$2:$K$1001,MATCH(ROWS($I$2:I824),$I$2:$I$1001,0),0), INDEX($P$1004:$S$1004,1,MATCH(COLUMNS($P$1006:S1006),$P$1006:$S$1006,0)))),"Fix")))</f>
        <v>0</v>
      </c>
      <c r="I824">
        <v>0</v>
      </c>
      <c r="J824">
        <v>0</v>
      </c>
      <c r="K824">
        <v>0</v>
      </c>
      <c r="L824">
        <f>IF(M824,TRUE,AND(P824:S824))</f>
        <v>0</v>
      </c>
      <c r="M824">
        <f>COUNTBLANK(metadata!B824:E824)=COLUMNS(metadata!B824:E824)</f>
        <v>0</v>
      </c>
      <c r="N824">
        <v>0</v>
      </c>
      <c r="P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Q824">
        <f>AND(IF(metadata!C824="",FALSE,TRUE),exact(metadata!C824,"other"))</f>
        <v>0</v>
      </c>
      <c r="R824">
        <f>AND(IF(metadata!D824="",FALSE,TRUE),exact(metadata!D824,"metagenome"))</f>
        <v>0</v>
      </c>
      <c r="S824">
        <f>AND(IF(metadata!E824="",FALSE,TRUE),exact(metadata!E824,"256318"))</f>
        <v>0</v>
      </c>
    </row>
    <row r="825" spans="1:19">
      <c r="A825" s="4">
        <f>IF(B825=" "," ",HYPERLINK(CONCATENATE("#metadata!",ADDRESS(INDEX($K$2:$K$1001,MATCH(ROWS($I$2:I825),$I$2:$I$1001,0),0),1)),INDEX($N$2:$N$1001,MATCH(ROWS($I$2:I825),$I$2:$I$1001,0),0)))</f>
        <v>0</v>
      </c>
      <c r="B825" s="3">
        <f>IF(OR(INDEX($J$2:$J$1001,MATCH(ROWS($I$2:I825),$I$2:$I$1001,0),1)&gt;=100000,INDEX($P$1005:$S$1005,1,MATCH(COLUMNS($P$1006:P1006),$P$1006:$S$1006,0))&gt;=100000), " ",IF(INDEX($P$2:$S$1001,MATCH(ROWS($I$2:I825),$I$2:$I$1001,0),MATCH(COLUMNS($P$1006:P1006),$P$1006:$S$1006,0)), HYPERLINK("#",""), HYPERLINK(CONCATENATE("#metadata!", ADDRESS(INDEX($K$2:$K$1001,MATCH(ROWS($I$2:I825),$I$2:$I$1001,0),0), INDEX($P$1004:$S$1004,1,MATCH(COLUMNS($P$1006:P1006),$P$1006:$S$1006,0)))),"Fix")))</f>
        <v>0</v>
      </c>
      <c r="C825" s="3">
        <f>IF(OR(INDEX($J$2:$J$1001,MATCH(ROWS($I$2:I825),$I$2:$I$1001,0),1)&gt;=100000,INDEX($P$1005:$S$1005,1,MATCH(COLUMNS($P$1006:Q1006),$P$1006:$S$1006,0))&gt;=100000), " ",IF(INDEX($P$2:$S$1001,MATCH(ROWS($I$2:I825),$I$2:$I$1001,0),MATCH(COLUMNS($P$1006:Q1006),$P$1006:$S$1006,0)), HYPERLINK("#",""), HYPERLINK(CONCATENATE("#metadata!", ADDRESS(INDEX($K$2:$K$1001,MATCH(ROWS($I$2:I825),$I$2:$I$1001,0),0), INDEX($P$1004:$S$1004,1,MATCH(COLUMNS($P$1006:Q1006),$P$1006:$S$1006,0)))),"Fix")))</f>
        <v>0</v>
      </c>
      <c r="D825" s="3">
        <f>IF(OR(INDEX($J$2:$J$1001,MATCH(ROWS($I$2:I825),$I$2:$I$1001,0),1)&gt;=100000,INDEX($P$1005:$S$1005,1,MATCH(COLUMNS($P$1006:R1006),$P$1006:$S$1006,0))&gt;=100000), " ",IF(INDEX($P$2:$S$1001,MATCH(ROWS($I$2:I825),$I$2:$I$1001,0),MATCH(COLUMNS($P$1006:R1006),$P$1006:$S$1006,0)), HYPERLINK("#",""), HYPERLINK(CONCATENATE("#metadata!", ADDRESS(INDEX($K$2:$K$1001,MATCH(ROWS($I$2:I825),$I$2:$I$1001,0),0), INDEX($P$1004:$S$1004,1,MATCH(COLUMNS($P$1006:R1006),$P$1006:$S$1006,0)))),"Fix")))</f>
        <v>0</v>
      </c>
      <c r="E825" s="3">
        <f>IF(OR(INDEX($J$2:$J$1001,MATCH(ROWS($I$2:I825),$I$2:$I$1001,0),1)&gt;=100000,INDEX($P$1005:$S$1005,1,MATCH(COLUMNS($P$1006:S1006),$P$1006:$S$1006,0))&gt;=100000), " ",IF(INDEX($P$2:$S$1001,MATCH(ROWS($I$2:I825),$I$2:$I$1001,0),MATCH(COLUMNS($P$1006:S1006),$P$1006:$S$1006,0)), HYPERLINK("#",""), HYPERLINK(CONCATENATE("#metadata!", ADDRESS(INDEX($K$2:$K$1001,MATCH(ROWS($I$2:I825),$I$2:$I$1001,0),0), INDEX($P$1004:$S$1004,1,MATCH(COLUMNS($P$1006:S1006),$P$1006:$S$1006,0)))),"Fix")))</f>
        <v>0</v>
      </c>
      <c r="I825">
        <v>0</v>
      </c>
      <c r="J825">
        <v>0</v>
      </c>
      <c r="K825">
        <v>0</v>
      </c>
      <c r="L825">
        <f>IF(M825,TRUE,AND(P825:S825))</f>
        <v>0</v>
      </c>
      <c r="M825">
        <f>COUNTBLANK(metadata!B825:E825)=COLUMNS(metadata!B825:E825)</f>
        <v>0</v>
      </c>
      <c r="N825">
        <v>0</v>
      </c>
      <c r="P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Q825">
        <f>AND(IF(metadata!C825="",FALSE,TRUE),exact(metadata!C825,"other"))</f>
        <v>0</v>
      </c>
      <c r="R825">
        <f>AND(IF(metadata!D825="",FALSE,TRUE),exact(metadata!D825,"metagenome"))</f>
        <v>0</v>
      </c>
      <c r="S825">
        <f>AND(IF(metadata!E825="",FALSE,TRUE),exact(metadata!E825,"256318"))</f>
        <v>0</v>
      </c>
    </row>
    <row r="826" spans="1:19">
      <c r="A826" s="4">
        <f>IF(B826=" "," ",HYPERLINK(CONCATENATE("#metadata!",ADDRESS(INDEX($K$2:$K$1001,MATCH(ROWS($I$2:I826),$I$2:$I$1001,0),0),1)),INDEX($N$2:$N$1001,MATCH(ROWS($I$2:I826),$I$2:$I$1001,0),0)))</f>
        <v>0</v>
      </c>
      <c r="B826" s="3">
        <f>IF(OR(INDEX($J$2:$J$1001,MATCH(ROWS($I$2:I826),$I$2:$I$1001,0),1)&gt;=100000,INDEX($P$1005:$S$1005,1,MATCH(COLUMNS($P$1006:P1006),$P$1006:$S$1006,0))&gt;=100000), " ",IF(INDEX($P$2:$S$1001,MATCH(ROWS($I$2:I826),$I$2:$I$1001,0),MATCH(COLUMNS($P$1006:P1006),$P$1006:$S$1006,0)), HYPERLINK("#",""), HYPERLINK(CONCATENATE("#metadata!", ADDRESS(INDEX($K$2:$K$1001,MATCH(ROWS($I$2:I826),$I$2:$I$1001,0),0), INDEX($P$1004:$S$1004,1,MATCH(COLUMNS($P$1006:P1006),$P$1006:$S$1006,0)))),"Fix")))</f>
        <v>0</v>
      </c>
      <c r="C826" s="3">
        <f>IF(OR(INDEX($J$2:$J$1001,MATCH(ROWS($I$2:I826),$I$2:$I$1001,0),1)&gt;=100000,INDEX($P$1005:$S$1005,1,MATCH(COLUMNS($P$1006:Q1006),$P$1006:$S$1006,0))&gt;=100000), " ",IF(INDEX($P$2:$S$1001,MATCH(ROWS($I$2:I826),$I$2:$I$1001,0),MATCH(COLUMNS($P$1006:Q1006),$P$1006:$S$1006,0)), HYPERLINK("#",""), HYPERLINK(CONCATENATE("#metadata!", ADDRESS(INDEX($K$2:$K$1001,MATCH(ROWS($I$2:I826),$I$2:$I$1001,0),0), INDEX($P$1004:$S$1004,1,MATCH(COLUMNS($P$1006:Q1006),$P$1006:$S$1006,0)))),"Fix")))</f>
        <v>0</v>
      </c>
      <c r="D826" s="3">
        <f>IF(OR(INDEX($J$2:$J$1001,MATCH(ROWS($I$2:I826),$I$2:$I$1001,0),1)&gt;=100000,INDEX($P$1005:$S$1005,1,MATCH(COLUMNS($P$1006:R1006),$P$1006:$S$1006,0))&gt;=100000), " ",IF(INDEX($P$2:$S$1001,MATCH(ROWS($I$2:I826),$I$2:$I$1001,0),MATCH(COLUMNS($P$1006:R1006),$P$1006:$S$1006,0)), HYPERLINK("#",""), HYPERLINK(CONCATENATE("#metadata!", ADDRESS(INDEX($K$2:$K$1001,MATCH(ROWS($I$2:I826),$I$2:$I$1001,0),0), INDEX($P$1004:$S$1004,1,MATCH(COLUMNS($P$1006:R1006),$P$1006:$S$1006,0)))),"Fix")))</f>
        <v>0</v>
      </c>
      <c r="E826" s="3">
        <f>IF(OR(INDEX($J$2:$J$1001,MATCH(ROWS($I$2:I826),$I$2:$I$1001,0),1)&gt;=100000,INDEX($P$1005:$S$1005,1,MATCH(COLUMNS($P$1006:S1006),$P$1006:$S$1006,0))&gt;=100000), " ",IF(INDEX($P$2:$S$1001,MATCH(ROWS($I$2:I826),$I$2:$I$1001,0),MATCH(COLUMNS($P$1006:S1006),$P$1006:$S$1006,0)), HYPERLINK("#",""), HYPERLINK(CONCATENATE("#metadata!", ADDRESS(INDEX($K$2:$K$1001,MATCH(ROWS($I$2:I826),$I$2:$I$1001,0),0), INDEX($P$1004:$S$1004,1,MATCH(COLUMNS($P$1006:S1006),$P$1006:$S$1006,0)))),"Fix")))</f>
        <v>0</v>
      </c>
      <c r="I826">
        <v>0</v>
      </c>
      <c r="J826">
        <v>0</v>
      </c>
      <c r="K826">
        <v>0</v>
      </c>
      <c r="L826">
        <f>IF(M826,TRUE,AND(P826:S826))</f>
        <v>0</v>
      </c>
      <c r="M826">
        <f>COUNTBLANK(metadata!B826:E826)=COLUMNS(metadata!B826:E826)</f>
        <v>0</v>
      </c>
      <c r="N826">
        <v>0</v>
      </c>
      <c r="P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Q826">
        <f>AND(IF(metadata!C826="",FALSE,TRUE),exact(metadata!C826,"other"))</f>
        <v>0</v>
      </c>
      <c r="R826">
        <f>AND(IF(metadata!D826="",FALSE,TRUE),exact(metadata!D826,"metagenome"))</f>
        <v>0</v>
      </c>
      <c r="S826">
        <f>AND(IF(metadata!E826="",FALSE,TRUE),exact(metadata!E826,"256318"))</f>
        <v>0</v>
      </c>
    </row>
    <row r="827" spans="1:19">
      <c r="A827" s="4">
        <f>IF(B827=" "," ",HYPERLINK(CONCATENATE("#metadata!",ADDRESS(INDEX($K$2:$K$1001,MATCH(ROWS($I$2:I827),$I$2:$I$1001,0),0),1)),INDEX($N$2:$N$1001,MATCH(ROWS($I$2:I827),$I$2:$I$1001,0),0)))</f>
        <v>0</v>
      </c>
      <c r="B827" s="3">
        <f>IF(OR(INDEX($J$2:$J$1001,MATCH(ROWS($I$2:I827),$I$2:$I$1001,0),1)&gt;=100000,INDEX($P$1005:$S$1005,1,MATCH(COLUMNS($P$1006:P1006),$P$1006:$S$1006,0))&gt;=100000), " ",IF(INDEX($P$2:$S$1001,MATCH(ROWS($I$2:I827),$I$2:$I$1001,0),MATCH(COLUMNS($P$1006:P1006),$P$1006:$S$1006,0)), HYPERLINK("#",""), HYPERLINK(CONCATENATE("#metadata!", ADDRESS(INDEX($K$2:$K$1001,MATCH(ROWS($I$2:I827),$I$2:$I$1001,0),0), INDEX($P$1004:$S$1004,1,MATCH(COLUMNS($P$1006:P1006),$P$1006:$S$1006,0)))),"Fix")))</f>
        <v>0</v>
      </c>
      <c r="C827" s="3">
        <f>IF(OR(INDEX($J$2:$J$1001,MATCH(ROWS($I$2:I827),$I$2:$I$1001,0),1)&gt;=100000,INDEX($P$1005:$S$1005,1,MATCH(COLUMNS($P$1006:Q1006),$P$1006:$S$1006,0))&gt;=100000), " ",IF(INDEX($P$2:$S$1001,MATCH(ROWS($I$2:I827),$I$2:$I$1001,0),MATCH(COLUMNS($P$1006:Q1006),$P$1006:$S$1006,0)), HYPERLINK("#",""), HYPERLINK(CONCATENATE("#metadata!", ADDRESS(INDEX($K$2:$K$1001,MATCH(ROWS($I$2:I827),$I$2:$I$1001,0),0), INDEX($P$1004:$S$1004,1,MATCH(COLUMNS($P$1006:Q1006),$P$1006:$S$1006,0)))),"Fix")))</f>
        <v>0</v>
      </c>
      <c r="D827" s="3">
        <f>IF(OR(INDEX($J$2:$J$1001,MATCH(ROWS($I$2:I827),$I$2:$I$1001,0),1)&gt;=100000,INDEX($P$1005:$S$1005,1,MATCH(COLUMNS($P$1006:R1006),$P$1006:$S$1006,0))&gt;=100000), " ",IF(INDEX($P$2:$S$1001,MATCH(ROWS($I$2:I827),$I$2:$I$1001,0),MATCH(COLUMNS($P$1006:R1006),$P$1006:$S$1006,0)), HYPERLINK("#",""), HYPERLINK(CONCATENATE("#metadata!", ADDRESS(INDEX($K$2:$K$1001,MATCH(ROWS($I$2:I827),$I$2:$I$1001,0),0), INDEX($P$1004:$S$1004,1,MATCH(COLUMNS($P$1006:R1006),$P$1006:$S$1006,0)))),"Fix")))</f>
        <v>0</v>
      </c>
      <c r="E827" s="3">
        <f>IF(OR(INDEX($J$2:$J$1001,MATCH(ROWS($I$2:I827),$I$2:$I$1001,0),1)&gt;=100000,INDEX($P$1005:$S$1005,1,MATCH(COLUMNS($P$1006:S1006),$P$1006:$S$1006,0))&gt;=100000), " ",IF(INDEX($P$2:$S$1001,MATCH(ROWS($I$2:I827),$I$2:$I$1001,0),MATCH(COLUMNS($P$1006:S1006),$P$1006:$S$1006,0)), HYPERLINK("#",""), HYPERLINK(CONCATENATE("#metadata!", ADDRESS(INDEX($K$2:$K$1001,MATCH(ROWS($I$2:I827),$I$2:$I$1001,0),0), INDEX($P$1004:$S$1004,1,MATCH(COLUMNS($P$1006:S1006),$P$1006:$S$1006,0)))),"Fix")))</f>
        <v>0</v>
      </c>
      <c r="I827">
        <v>0</v>
      </c>
      <c r="J827">
        <v>0</v>
      </c>
      <c r="K827">
        <v>0</v>
      </c>
      <c r="L827">
        <f>IF(M827,TRUE,AND(P827:S827))</f>
        <v>0</v>
      </c>
      <c r="M827">
        <f>COUNTBLANK(metadata!B827:E827)=COLUMNS(metadata!B827:E827)</f>
        <v>0</v>
      </c>
      <c r="N827">
        <v>0</v>
      </c>
      <c r="P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Q827">
        <f>AND(IF(metadata!C827="",FALSE,TRUE),exact(metadata!C827,"other"))</f>
        <v>0</v>
      </c>
      <c r="R827">
        <f>AND(IF(metadata!D827="",FALSE,TRUE),exact(metadata!D827,"metagenome"))</f>
        <v>0</v>
      </c>
      <c r="S827">
        <f>AND(IF(metadata!E827="",FALSE,TRUE),exact(metadata!E827,"256318"))</f>
        <v>0</v>
      </c>
    </row>
    <row r="828" spans="1:19">
      <c r="A828" s="4">
        <f>IF(B828=" "," ",HYPERLINK(CONCATENATE("#metadata!",ADDRESS(INDEX($K$2:$K$1001,MATCH(ROWS($I$2:I828),$I$2:$I$1001,0),0),1)),INDEX($N$2:$N$1001,MATCH(ROWS($I$2:I828),$I$2:$I$1001,0),0)))</f>
        <v>0</v>
      </c>
      <c r="B828" s="3">
        <f>IF(OR(INDEX($J$2:$J$1001,MATCH(ROWS($I$2:I828),$I$2:$I$1001,0),1)&gt;=100000,INDEX($P$1005:$S$1005,1,MATCH(COLUMNS($P$1006:P1006),$P$1006:$S$1006,0))&gt;=100000), " ",IF(INDEX($P$2:$S$1001,MATCH(ROWS($I$2:I828),$I$2:$I$1001,0),MATCH(COLUMNS($P$1006:P1006),$P$1006:$S$1006,0)), HYPERLINK("#",""), HYPERLINK(CONCATENATE("#metadata!", ADDRESS(INDEX($K$2:$K$1001,MATCH(ROWS($I$2:I828),$I$2:$I$1001,0),0), INDEX($P$1004:$S$1004,1,MATCH(COLUMNS($P$1006:P1006),$P$1006:$S$1006,0)))),"Fix")))</f>
        <v>0</v>
      </c>
      <c r="C828" s="3">
        <f>IF(OR(INDEX($J$2:$J$1001,MATCH(ROWS($I$2:I828),$I$2:$I$1001,0),1)&gt;=100000,INDEX($P$1005:$S$1005,1,MATCH(COLUMNS($P$1006:Q1006),$P$1006:$S$1006,0))&gt;=100000), " ",IF(INDEX($P$2:$S$1001,MATCH(ROWS($I$2:I828),$I$2:$I$1001,0),MATCH(COLUMNS($P$1006:Q1006),$P$1006:$S$1006,0)), HYPERLINK("#",""), HYPERLINK(CONCATENATE("#metadata!", ADDRESS(INDEX($K$2:$K$1001,MATCH(ROWS($I$2:I828),$I$2:$I$1001,0),0), INDEX($P$1004:$S$1004,1,MATCH(COLUMNS($P$1006:Q1006),$P$1006:$S$1006,0)))),"Fix")))</f>
        <v>0</v>
      </c>
      <c r="D828" s="3">
        <f>IF(OR(INDEX($J$2:$J$1001,MATCH(ROWS($I$2:I828),$I$2:$I$1001,0),1)&gt;=100000,INDEX($P$1005:$S$1005,1,MATCH(COLUMNS($P$1006:R1006),$P$1006:$S$1006,0))&gt;=100000), " ",IF(INDEX($P$2:$S$1001,MATCH(ROWS($I$2:I828),$I$2:$I$1001,0),MATCH(COLUMNS($P$1006:R1006),$P$1006:$S$1006,0)), HYPERLINK("#",""), HYPERLINK(CONCATENATE("#metadata!", ADDRESS(INDEX($K$2:$K$1001,MATCH(ROWS($I$2:I828),$I$2:$I$1001,0),0), INDEX($P$1004:$S$1004,1,MATCH(COLUMNS($P$1006:R1006),$P$1006:$S$1006,0)))),"Fix")))</f>
        <v>0</v>
      </c>
      <c r="E828" s="3">
        <f>IF(OR(INDEX($J$2:$J$1001,MATCH(ROWS($I$2:I828),$I$2:$I$1001,0),1)&gt;=100000,INDEX($P$1005:$S$1005,1,MATCH(COLUMNS($P$1006:S1006),$P$1006:$S$1006,0))&gt;=100000), " ",IF(INDEX($P$2:$S$1001,MATCH(ROWS($I$2:I828),$I$2:$I$1001,0),MATCH(COLUMNS($P$1006:S1006),$P$1006:$S$1006,0)), HYPERLINK("#",""), HYPERLINK(CONCATENATE("#metadata!", ADDRESS(INDEX($K$2:$K$1001,MATCH(ROWS($I$2:I828),$I$2:$I$1001,0),0), INDEX($P$1004:$S$1004,1,MATCH(COLUMNS($P$1006:S1006),$P$1006:$S$1006,0)))),"Fix")))</f>
        <v>0</v>
      </c>
      <c r="I828">
        <v>0</v>
      </c>
      <c r="J828">
        <v>0</v>
      </c>
      <c r="K828">
        <v>0</v>
      </c>
      <c r="L828">
        <f>IF(M828,TRUE,AND(P828:S828))</f>
        <v>0</v>
      </c>
      <c r="M828">
        <f>COUNTBLANK(metadata!B828:E828)=COLUMNS(metadata!B828:E828)</f>
        <v>0</v>
      </c>
      <c r="N828">
        <v>0</v>
      </c>
      <c r="P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Q828">
        <f>AND(IF(metadata!C828="",FALSE,TRUE),exact(metadata!C828,"other"))</f>
        <v>0</v>
      </c>
      <c r="R828">
        <f>AND(IF(metadata!D828="",FALSE,TRUE),exact(metadata!D828,"metagenome"))</f>
        <v>0</v>
      </c>
      <c r="S828">
        <f>AND(IF(metadata!E828="",FALSE,TRUE),exact(metadata!E828,"256318"))</f>
        <v>0</v>
      </c>
    </row>
    <row r="829" spans="1:19">
      <c r="A829" s="4">
        <f>IF(B829=" "," ",HYPERLINK(CONCATENATE("#metadata!",ADDRESS(INDEX($K$2:$K$1001,MATCH(ROWS($I$2:I829),$I$2:$I$1001,0),0),1)),INDEX($N$2:$N$1001,MATCH(ROWS($I$2:I829),$I$2:$I$1001,0),0)))</f>
        <v>0</v>
      </c>
      <c r="B829" s="3">
        <f>IF(OR(INDEX($J$2:$J$1001,MATCH(ROWS($I$2:I829),$I$2:$I$1001,0),1)&gt;=100000,INDEX($P$1005:$S$1005,1,MATCH(COLUMNS($P$1006:P1006),$P$1006:$S$1006,0))&gt;=100000), " ",IF(INDEX($P$2:$S$1001,MATCH(ROWS($I$2:I829),$I$2:$I$1001,0),MATCH(COLUMNS($P$1006:P1006),$P$1006:$S$1006,0)), HYPERLINK("#",""), HYPERLINK(CONCATENATE("#metadata!", ADDRESS(INDEX($K$2:$K$1001,MATCH(ROWS($I$2:I829),$I$2:$I$1001,0),0), INDEX($P$1004:$S$1004,1,MATCH(COLUMNS($P$1006:P1006),$P$1006:$S$1006,0)))),"Fix")))</f>
        <v>0</v>
      </c>
      <c r="C829" s="3">
        <f>IF(OR(INDEX($J$2:$J$1001,MATCH(ROWS($I$2:I829),$I$2:$I$1001,0),1)&gt;=100000,INDEX($P$1005:$S$1005,1,MATCH(COLUMNS($P$1006:Q1006),$P$1006:$S$1006,0))&gt;=100000), " ",IF(INDEX($P$2:$S$1001,MATCH(ROWS($I$2:I829),$I$2:$I$1001,0),MATCH(COLUMNS($P$1006:Q1006),$P$1006:$S$1006,0)), HYPERLINK("#",""), HYPERLINK(CONCATENATE("#metadata!", ADDRESS(INDEX($K$2:$K$1001,MATCH(ROWS($I$2:I829),$I$2:$I$1001,0),0), INDEX($P$1004:$S$1004,1,MATCH(COLUMNS($P$1006:Q1006),$P$1006:$S$1006,0)))),"Fix")))</f>
        <v>0</v>
      </c>
      <c r="D829" s="3">
        <f>IF(OR(INDEX($J$2:$J$1001,MATCH(ROWS($I$2:I829),$I$2:$I$1001,0),1)&gt;=100000,INDEX($P$1005:$S$1005,1,MATCH(COLUMNS($P$1006:R1006),$P$1006:$S$1006,0))&gt;=100000), " ",IF(INDEX($P$2:$S$1001,MATCH(ROWS($I$2:I829),$I$2:$I$1001,0),MATCH(COLUMNS($P$1006:R1006),$P$1006:$S$1006,0)), HYPERLINK("#",""), HYPERLINK(CONCATENATE("#metadata!", ADDRESS(INDEX($K$2:$K$1001,MATCH(ROWS($I$2:I829),$I$2:$I$1001,0),0), INDEX($P$1004:$S$1004,1,MATCH(COLUMNS($P$1006:R1006),$P$1006:$S$1006,0)))),"Fix")))</f>
        <v>0</v>
      </c>
      <c r="E829" s="3">
        <f>IF(OR(INDEX($J$2:$J$1001,MATCH(ROWS($I$2:I829),$I$2:$I$1001,0),1)&gt;=100000,INDEX($P$1005:$S$1005,1,MATCH(COLUMNS($P$1006:S1006),$P$1006:$S$1006,0))&gt;=100000), " ",IF(INDEX($P$2:$S$1001,MATCH(ROWS($I$2:I829),$I$2:$I$1001,0),MATCH(COLUMNS($P$1006:S1006),$P$1006:$S$1006,0)), HYPERLINK("#",""), HYPERLINK(CONCATENATE("#metadata!", ADDRESS(INDEX($K$2:$K$1001,MATCH(ROWS($I$2:I829),$I$2:$I$1001,0),0), INDEX($P$1004:$S$1004,1,MATCH(COLUMNS($P$1006:S1006),$P$1006:$S$1006,0)))),"Fix")))</f>
        <v>0</v>
      </c>
      <c r="I829">
        <v>0</v>
      </c>
      <c r="J829">
        <v>0</v>
      </c>
      <c r="K829">
        <v>0</v>
      </c>
      <c r="L829">
        <f>IF(M829,TRUE,AND(P829:S829))</f>
        <v>0</v>
      </c>
      <c r="M829">
        <f>COUNTBLANK(metadata!B829:E829)=COLUMNS(metadata!B829:E829)</f>
        <v>0</v>
      </c>
      <c r="N829">
        <v>0</v>
      </c>
      <c r="P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Q829">
        <f>AND(IF(metadata!C829="",FALSE,TRUE),exact(metadata!C829,"other"))</f>
        <v>0</v>
      </c>
      <c r="R829">
        <f>AND(IF(metadata!D829="",FALSE,TRUE),exact(metadata!D829,"metagenome"))</f>
        <v>0</v>
      </c>
      <c r="S829">
        <f>AND(IF(metadata!E829="",FALSE,TRUE),exact(metadata!E829,"256318"))</f>
        <v>0</v>
      </c>
    </row>
    <row r="830" spans="1:19">
      <c r="A830" s="4">
        <f>IF(B830=" "," ",HYPERLINK(CONCATENATE("#metadata!",ADDRESS(INDEX($K$2:$K$1001,MATCH(ROWS($I$2:I830),$I$2:$I$1001,0),0),1)),INDEX($N$2:$N$1001,MATCH(ROWS($I$2:I830),$I$2:$I$1001,0),0)))</f>
        <v>0</v>
      </c>
      <c r="B830" s="3">
        <f>IF(OR(INDEX($J$2:$J$1001,MATCH(ROWS($I$2:I830),$I$2:$I$1001,0),1)&gt;=100000,INDEX($P$1005:$S$1005,1,MATCH(COLUMNS($P$1006:P1006),$P$1006:$S$1006,0))&gt;=100000), " ",IF(INDEX($P$2:$S$1001,MATCH(ROWS($I$2:I830),$I$2:$I$1001,0),MATCH(COLUMNS($P$1006:P1006),$P$1006:$S$1006,0)), HYPERLINK("#",""), HYPERLINK(CONCATENATE("#metadata!", ADDRESS(INDEX($K$2:$K$1001,MATCH(ROWS($I$2:I830),$I$2:$I$1001,0),0), INDEX($P$1004:$S$1004,1,MATCH(COLUMNS($P$1006:P1006),$P$1006:$S$1006,0)))),"Fix")))</f>
        <v>0</v>
      </c>
      <c r="C830" s="3">
        <f>IF(OR(INDEX($J$2:$J$1001,MATCH(ROWS($I$2:I830),$I$2:$I$1001,0),1)&gt;=100000,INDEX($P$1005:$S$1005,1,MATCH(COLUMNS($P$1006:Q1006),$P$1006:$S$1006,0))&gt;=100000), " ",IF(INDEX($P$2:$S$1001,MATCH(ROWS($I$2:I830),$I$2:$I$1001,0),MATCH(COLUMNS($P$1006:Q1006),$P$1006:$S$1006,0)), HYPERLINK("#",""), HYPERLINK(CONCATENATE("#metadata!", ADDRESS(INDEX($K$2:$K$1001,MATCH(ROWS($I$2:I830),$I$2:$I$1001,0),0), INDEX($P$1004:$S$1004,1,MATCH(COLUMNS($P$1006:Q1006),$P$1006:$S$1006,0)))),"Fix")))</f>
        <v>0</v>
      </c>
      <c r="D830" s="3">
        <f>IF(OR(INDEX($J$2:$J$1001,MATCH(ROWS($I$2:I830),$I$2:$I$1001,0),1)&gt;=100000,INDEX($P$1005:$S$1005,1,MATCH(COLUMNS($P$1006:R1006),$P$1006:$S$1006,0))&gt;=100000), " ",IF(INDEX($P$2:$S$1001,MATCH(ROWS($I$2:I830),$I$2:$I$1001,0),MATCH(COLUMNS($P$1006:R1006),$P$1006:$S$1006,0)), HYPERLINK("#",""), HYPERLINK(CONCATENATE("#metadata!", ADDRESS(INDEX($K$2:$K$1001,MATCH(ROWS($I$2:I830),$I$2:$I$1001,0),0), INDEX($P$1004:$S$1004,1,MATCH(COLUMNS($P$1006:R1006),$P$1006:$S$1006,0)))),"Fix")))</f>
        <v>0</v>
      </c>
      <c r="E830" s="3">
        <f>IF(OR(INDEX($J$2:$J$1001,MATCH(ROWS($I$2:I830),$I$2:$I$1001,0),1)&gt;=100000,INDEX($P$1005:$S$1005,1,MATCH(COLUMNS($P$1006:S1006),$P$1006:$S$1006,0))&gt;=100000), " ",IF(INDEX($P$2:$S$1001,MATCH(ROWS($I$2:I830),$I$2:$I$1001,0),MATCH(COLUMNS($P$1006:S1006),$P$1006:$S$1006,0)), HYPERLINK("#",""), HYPERLINK(CONCATENATE("#metadata!", ADDRESS(INDEX($K$2:$K$1001,MATCH(ROWS($I$2:I830),$I$2:$I$1001,0),0), INDEX($P$1004:$S$1004,1,MATCH(COLUMNS($P$1006:S1006),$P$1006:$S$1006,0)))),"Fix")))</f>
        <v>0</v>
      </c>
      <c r="I830">
        <v>0</v>
      </c>
      <c r="J830">
        <v>0</v>
      </c>
      <c r="K830">
        <v>0</v>
      </c>
      <c r="L830">
        <f>IF(M830,TRUE,AND(P830:S830))</f>
        <v>0</v>
      </c>
      <c r="M830">
        <f>COUNTBLANK(metadata!B830:E830)=COLUMNS(metadata!B830:E830)</f>
        <v>0</v>
      </c>
      <c r="N830">
        <v>0</v>
      </c>
      <c r="P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Q830">
        <f>AND(IF(metadata!C830="",FALSE,TRUE),exact(metadata!C830,"other"))</f>
        <v>0</v>
      </c>
      <c r="R830">
        <f>AND(IF(metadata!D830="",FALSE,TRUE),exact(metadata!D830,"metagenome"))</f>
        <v>0</v>
      </c>
      <c r="S830">
        <f>AND(IF(metadata!E830="",FALSE,TRUE),exact(metadata!E830,"256318"))</f>
        <v>0</v>
      </c>
    </row>
    <row r="831" spans="1:19">
      <c r="A831" s="4">
        <f>IF(B831=" "," ",HYPERLINK(CONCATENATE("#metadata!",ADDRESS(INDEX($K$2:$K$1001,MATCH(ROWS($I$2:I831),$I$2:$I$1001,0),0),1)),INDEX($N$2:$N$1001,MATCH(ROWS($I$2:I831),$I$2:$I$1001,0),0)))</f>
        <v>0</v>
      </c>
      <c r="B831" s="3">
        <f>IF(OR(INDEX($J$2:$J$1001,MATCH(ROWS($I$2:I831),$I$2:$I$1001,0),1)&gt;=100000,INDEX($P$1005:$S$1005,1,MATCH(COLUMNS($P$1006:P1006),$P$1006:$S$1006,0))&gt;=100000), " ",IF(INDEX($P$2:$S$1001,MATCH(ROWS($I$2:I831),$I$2:$I$1001,0),MATCH(COLUMNS($P$1006:P1006),$P$1006:$S$1006,0)), HYPERLINK("#",""), HYPERLINK(CONCATENATE("#metadata!", ADDRESS(INDEX($K$2:$K$1001,MATCH(ROWS($I$2:I831),$I$2:$I$1001,0),0), INDEX($P$1004:$S$1004,1,MATCH(COLUMNS($P$1006:P1006),$P$1006:$S$1006,0)))),"Fix")))</f>
        <v>0</v>
      </c>
      <c r="C831" s="3">
        <f>IF(OR(INDEX($J$2:$J$1001,MATCH(ROWS($I$2:I831),$I$2:$I$1001,0),1)&gt;=100000,INDEX($P$1005:$S$1005,1,MATCH(COLUMNS($P$1006:Q1006),$P$1006:$S$1006,0))&gt;=100000), " ",IF(INDEX($P$2:$S$1001,MATCH(ROWS($I$2:I831),$I$2:$I$1001,0),MATCH(COLUMNS($P$1006:Q1006),$P$1006:$S$1006,0)), HYPERLINK("#",""), HYPERLINK(CONCATENATE("#metadata!", ADDRESS(INDEX($K$2:$K$1001,MATCH(ROWS($I$2:I831),$I$2:$I$1001,0),0), INDEX($P$1004:$S$1004,1,MATCH(COLUMNS($P$1006:Q1006),$P$1006:$S$1006,0)))),"Fix")))</f>
        <v>0</v>
      </c>
      <c r="D831" s="3">
        <f>IF(OR(INDEX($J$2:$J$1001,MATCH(ROWS($I$2:I831),$I$2:$I$1001,0),1)&gt;=100000,INDEX($P$1005:$S$1005,1,MATCH(COLUMNS($P$1006:R1006),$P$1006:$S$1006,0))&gt;=100000), " ",IF(INDEX($P$2:$S$1001,MATCH(ROWS($I$2:I831),$I$2:$I$1001,0),MATCH(COLUMNS($P$1006:R1006),$P$1006:$S$1006,0)), HYPERLINK("#",""), HYPERLINK(CONCATENATE("#metadata!", ADDRESS(INDEX($K$2:$K$1001,MATCH(ROWS($I$2:I831),$I$2:$I$1001,0),0), INDEX($P$1004:$S$1004,1,MATCH(COLUMNS($P$1006:R1006),$P$1006:$S$1006,0)))),"Fix")))</f>
        <v>0</v>
      </c>
      <c r="E831" s="3">
        <f>IF(OR(INDEX($J$2:$J$1001,MATCH(ROWS($I$2:I831),$I$2:$I$1001,0),1)&gt;=100000,INDEX($P$1005:$S$1005,1,MATCH(COLUMNS($P$1006:S1006),$P$1006:$S$1006,0))&gt;=100000), " ",IF(INDEX($P$2:$S$1001,MATCH(ROWS($I$2:I831),$I$2:$I$1001,0),MATCH(COLUMNS($P$1006:S1006),$P$1006:$S$1006,0)), HYPERLINK("#",""), HYPERLINK(CONCATENATE("#metadata!", ADDRESS(INDEX($K$2:$K$1001,MATCH(ROWS($I$2:I831),$I$2:$I$1001,0),0), INDEX($P$1004:$S$1004,1,MATCH(COLUMNS($P$1006:S1006),$P$1006:$S$1006,0)))),"Fix")))</f>
        <v>0</v>
      </c>
      <c r="I831">
        <v>0</v>
      </c>
      <c r="J831">
        <v>0</v>
      </c>
      <c r="K831">
        <v>0</v>
      </c>
      <c r="L831">
        <f>IF(M831,TRUE,AND(P831:S831))</f>
        <v>0</v>
      </c>
      <c r="M831">
        <f>COUNTBLANK(metadata!B831:E831)=COLUMNS(metadata!B831:E831)</f>
        <v>0</v>
      </c>
      <c r="N831">
        <v>0</v>
      </c>
      <c r="P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Q831">
        <f>AND(IF(metadata!C831="",FALSE,TRUE),exact(metadata!C831,"other"))</f>
        <v>0</v>
      </c>
      <c r="R831">
        <f>AND(IF(metadata!D831="",FALSE,TRUE),exact(metadata!D831,"metagenome"))</f>
        <v>0</v>
      </c>
      <c r="S831">
        <f>AND(IF(metadata!E831="",FALSE,TRUE),exact(metadata!E831,"256318"))</f>
        <v>0</v>
      </c>
    </row>
    <row r="832" spans="1:19">
      <c r="A832" s="4">
        <f>IF(B832=" "," ",HYPERLINK(CONCATENATE("#metadata!",ADDRESS(INDEX($K$2:$K$1001,MATCH(ROWS($I$2:I832),$I$2:$I$1001,0),0),1)),INDEX($N$2:$N$1001,MATCH(ROWS($I$2:I832),$I$2:$I$1001,0),0)))</f>
        <v>0</v>
      </c>
      <c r="B832" s="3">
        <f>IF(OR(INDEX($J$2:$J$1001,MATCH(ROWS($I$2:I832),$I$2:$I$1001,0),1)&gt;=100000,INDEX($P$1005:$S$1005,1,MATCH(COLUMNS($P$1006:P1006),$P$1006:$S$1006,0))&gt;=100000), " ",IF(INDEX($P$2:$S$1001,MATCH(ROWS($I$2:I832),$I$2:$I$1001,0),MATCH(COLUMNS($P$1006:P1006),$P$1006:$S$1006,0)), HYPERLINK("#",""), HYPERLINK(CONCATENATE("#metadata!", ADDRESS(INDEX($K$2:$K$1001,MATCH(ROWS($I$2:I832),$I$2:$I$1001,0),0), INDEX($P$1004:$S$1004,1,MATCH(COLUMNS($P$1006:P1006),$P$1006:$S$1006,0)))),"Fix")))</f>
        <v>0</v>
      </c>
      <c r="C832" s="3">
        <f>IF(OR(INDEX($J$2:$J$1001,MATCH(ROWS($I$2:I832),$I$2:$I$1001,0),1)&gt;=100000,INDEX($P$1005:$S$1005,1,MATCH(COLUMNS($P$1006:Q1006),$P$1006:$S$1006,0))&gt;=100000), " ",IF(INDEX($P$2:$S$1001,MATCH(ROWS($I$2:I832),$I$2:$I$1001,0),MATCH(COLUMNS($P$1006:Q1006),$P$1006:$S$1006,0)), HYPERLINK("#",""), HYPERLINK(CONCATENATE("#metadata!", ADDRESS(INDEX($K$2:$K$1001,MATCH(ROWS($I$2:I832),$I$2:$I$1001,0),0), INDEX($P$1004:$S$1004,1,MATCH(COLUMNS($P$1006:Q1006),$P$1006:$S$1006,0)))),"Fix")))</f>
        <v>0</v>
      </c>
      <c r="D832" s="3">
        <f>IF(OR(INDEX($J$2:$J$1001,MATCH(ROWS($I$2:I832),$I$2:$I$1001,0),1)&gt;=100000,INDEX($P$1005:$S$1005,1,MATCH(COLUMNS($P$1006:R1006),$P$1006:$S$1006,0))&gt;=100000), " ",IF(INDEX($P$2:$S$1001,MATCH(ROWS($I$2:I832),$I$2:$I$1001,0),MATCH(COLUMNS($P$1006:R1006),$P$1006:$S$1006,0)), HYPERLINK("#",""), HYPERLINK(CONCATENATE("#metadata!", ADDRESS(INDEX($K$2:$K$1001,MATCH(ROWS($I$2:I832),$I$2:$I$1001,0),0), INDEX($P$1004:$S$1004,1,MATCH(COLUMNS($P$1006:R1006),$P$1006:$S$1006,0)))),"Fix")))</f>
        <v>0</v>
      </c>
      <c r="E832" s="3">
        <f>IF(OR(INDEX($J$2:$J$1001,MATCH(ROWS($I$2:I832),$I$2:$I$1001,0),1)&gt;=100000,INDEX($P$1005:$S$1005,1,MATCH(COLUMNS($P$1006:S1006),$P$1006:$S$1006,0))&gt;=100000), " ",IF(INDEX($P$2:$S$1001,MATCH(ROWS($I$2:I832),$I$2:$I$1001,0),MATCH(COLUMNS($P$1006:S1006),$P$1006:$S$1006,0)), HYPERLINK("#",""), HYPERLINK(CONCATENATE("#metadata!", ADDRESS(INDEX($K$2:$K$1001,MATCH(ROWS($I$2:I832),$I$2:$I$1001,0),0), INDEX($P$1004:$S$1004,1,MATCH(COLUMNS($P$1006:S1006),$P$1006:$S$1006,0)))),"Fix")))</f>
        <v>0</v>
      </c>
      <c r="I832">
        <v>0</v>
      </c>
      <c r="J832">
        <v>0</v>
      </c>
      <c r="K832">
        <v>0</v>
      </c>
      <c r="L832">
        <f>IF(M832,TRUE,AND(P832:S832))</f>
        <v>0</v>
      </c>
      <c r="M832">
        <f>COUNTBLANK(metadata!B832:E832)=COLUMNS(metadata!B832:E832)</f>
        <v>0</v>
      </c>
      <c r="N832">
        <v>0</v>
      </c>
      <c r="P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Q832">
        <f>AND(IF(metadata!C832="",FALSE,TRUE),exact(metadata!C832,"other"))</f>
        <v>0</v>
      </c>
      <c r="R832">
        <f>AND(IF(metadata!D832="",FALSE,TRUE),exact(metadata!D832,"metagenome"))</f>
        <v>0</v>
      </c>
      <c r="S832">
        <f>AND(IF(metadata!E832="",FALSE,TRUE),exact(metadata!E832,"256318"))</f>
        <v>0</v>
      </c>
    </row>
    <row r="833" spans="1:19">
      <c r="A833" s="4">
        <f>IF(B833=" "," ",HYPERLINK(CONCATENATE("#metadata!",ADDRESS(INDEX($K$2:$K$1001,MATCH(ROWS($I$2:I833),$I$2:$I$1001,0),0),1)),INDEX($N$2:$N$1001,MATCH(ROWS($I$2:I833),$I$2:$I$1001,0),0)))</f>
        <v>0</v>
      </c>
      <c r="B833" s="3">
        <f>IF(OR(INDEX($J$2:$J$1001,MATCH(ROWS($I$2:I833),$I$2:$I$1001,0),1)&gt;=100000,INDEX($P$1005:$S$1005,1,MATCH(COLUMNS($P$1006:P1006),$P$1006:$S$1006,0))&gt;=100000), " ",IF(INDEX($P$2:$S$1001,MATCH(ROWS($I$2:I833),$I$2:$I$1001,0),MATCH(COLUMNS($P$1006:P1006),$P$1006:$S$1006,0)), HYPERLINK("#",""), HYPERLINK(CONCATENATE("#metadata!", ADDRESS(INDEX($K$2:$K$1001,MATCH(ROWS($I$2:I833),$I$2:$I$1001,0),0), INDEX($P$1004:$S$1004,1,MATCH(COLUMNS($P$1006:P1006),$P$1006:$S$1006,0)))),"Fix")))</f>
        <v>0</v>
      </c>
      <c r="C833" s="3">
        <f>IF(OR(INDEX($J$2:$J$1001,MATCH(ROWS($I$2:I833),$I$2:$I$1001,0),1)&gt;=100000,INDEX($P$1005:$S$1005,1,MATCH(COLUMNS($P$1006:Q1006),$P$1006:$S$1006,0))&gt;=100000), " ",IF(INDEX($P$2:$S$1001,MATCH(ROWS($I$2:I833),$I$2:$I$1001,0),MATCH(COLUMNS($P$1006:Q1006),$P$1006:$S$1006,0)), HYPERLINK("#",""), HYPERLINK(CONCATENATE("#metadata!", ADDRESS(INDEX($K$2:$K$1001,MATCH(ROWS($I$2:I833),$I$2:$I$1001,0),0), INDEX($P$1004:$S$1004,1,MATCH(COLUMNS($P$1006:Q1006),$P$1006:$S$1006,0)))),"Fix")))</f>
        <v>0</v>
      </c>
      <c r="D833" s="3">
        <f>IF(OR(INDEX($J$2:$J$1001,MATCH(ROWS($I$2:I833),$I$2:$I$1001,0),1)&gt;=100000,INDEX($P$1005:$S$1005,1,MATCH(COLUMNS($P$1006:R1006),$P$1006:$S$1006,0))&gt;=100000), " ",IF(INDEX($P$2:$S$1001,MATCH(ROWS($I$2:I833),$I$2:$I$1001,0),MATCH(COLUMNS($P$1006:R1006),$P$1006:$S$1006,0)), HYPERLINK("#",""), HYPERLINK(CONCATENATE("#metadata!", ADDRESS(INDEX($K$2:$K$1001,MATCH(ROWS($I$2:I833),$I$2:$I$1001,0),0), INDEX($P$1004:$S$1004,1,MATCH(COLUMNS($P$1006:R1006),$P$1006:$S$1006,0)))),"Fix")))</f>
        <v>0</v>
      </c>
      <c r="E833" s="3">
        <f>IF(OR(INDEX($J$2:$J$1001,MATCH(ROWS($I$2:I833),$I$2:$I$1001,0),1)&gt;=100000,INDEX($P$1005:$S$1005,1,MATCH(COLUMNS($P$1006:S1006),$P$1006:$S$1006,0))&gt;=100000), " ",IF(INDEX($P$2:$S$1001,MATCH(ROWS($I$2:I833),$I$2:$I$1001,0),MATCH(COLUMNS($P$1006:S1006),$P$1006:$S$1006,0)), HYPERLINK("#",""), HYPERLINK(CONCATENATE("#metadata!", ADDRESS(INDEX($K$2:$K$1001,MATCH(ROWS($I$2:I833),$I$2:$I$1001,0),0), INDEX($P$1004:$S$1004,1,MATCH(COLUMNS($P$1006:S1006),$P$1006:$S$1006,0)))),"Fix")))</f>
        <v>0</v>
      </c>
      <c r="I833">
        <v>0</v>
      </c>
      <c r="J833">
        <v>0</v>
      </c>
      <c r="K833">
        <v>0</v>
      </c>
      <c r="L833">
        <f>IF(M833,TRUE,AND(P833:S833))</f>
        <v>0</v>
      </c>
      <c r="M833">
        <f>COUNTBLANK(metadata!B833:E833)=COLUMNS(metadata!B833:E833)</f>
        <v>0</v>
      </c>
      <c r="N833">
        <v>0</v>
      </c>
      <c r="P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Q833">
        <f>AND(IF(metadata!C833="",FALSE,TRUE),exact(metadata!C833,"other"))</f>
        <v>0</v>
      </c>
      <c r="R833">
        <f>AND(IF(metadata!D833="",FALSE,TRUE),exact(metadata!D833,"metagenome"))</f>
        <v>0</v>
      </c>
      <c r="S833">
        <f>AND(IF(metadata!E833="",FALSE,TRUE),exact(metadata!E833,"256318"))</f>
        <v>0</v>
      </c>
    </row>
    <row r="834" spans="1:19">
      <c r="A834" s="4">
        <f>IF(B834=" "," ",HYPERLINK(CONCATENATE("#metadata!",ADDRESS(INDEX($K$2:$K$1001,MATCH(ROWS($I$2:I834),$I$2:$I$1001,0),0),1)),INDEX($N$2:$N$1001,MATCH(ROWS($I$2:I834),$I$2:$I$1001,0),0)))</f>
        <v>0</v>
      </c>
      <c r="B834" s="3">
        <f>IF(OR(INDEX($J$2:$J$1001,MATCH(ROWS($I$2:I834),$I$2:$I$1001,0),1)&gt;=100000,INDEX($P$1005:$S$1005,1,MATCH(COLUMNS($P$1006:P1006),$P$1006:$S$1006,0))&gt;=100000), " ",IF(INDEX($P$2:$S$1001,MATCH(ROWS($I$2:I834),$I$2:$I$1001,0),MATCH(COLUMNS($P$1006:P1006),$P$1006:$S$1006,0)), HYPERLINK("#",""), HYPERLINK(CONCATENATE("#metadata!", ADDRESS(INDEX($K$2:$K$1001,MATCH(ROWS($I$2:I834),$I$2:$I$1001,0),0), INDEX($P$1004:$S$1004,1,MATCH(COLUMNS($P$1006:P1006),$P$1006:$S$1006,0)))),"Fix")))</f>
        <v>0</v>
      </c>
      <c r="C834" s="3">
        <f>IF(OR(INDEX($J$2:$J$1001,MATCH(ROWS($I$2:I834),$I$2:$I$1001,0),1)&gt;=100000,INDEX($P$1005:$S$1005,1,MATCH(COLUMNS($P$1006:Q1006),$P$1006:$S$1006,0))&gt;=100000), " ",IF(INDEX($P$2:$S$1001,MATCH(ROWS($I$2:I834),$I$2:$I$1001,0),MATCH(COLUMNS($P$1006:Q1006),$P$1006:$S$1006,0)), HYPERLINK("#",""), HYPERLINK(CONCATENATE("#metadata!", ADDRESS(INDEX($K$2:$K$1001,MATCH(ROWS($I$2:I834),$I$2:$I$1001,0),0), INDEX($P$1004:$S$1004,1,MATCH(COLUMNS($P$1006:Q1006),$P$1006:$S$1006,0)))),"Fix")))</f>
        <v>0</v>
      </c>
      <c r="D834" s="3">
        <f>IF(OR(INDEX($J$2:$J$1001,MATCH(ROWS($I$2:I834),$I$2:$I$1001,0),1)&gt;=100000,INDEX($P$1005:$S$1005,1,MATCH(COLUMNS($P$1006:R1006),$P$1006:$S$1006,0))&gt;=100000), " ",IF(INDEX($P$2:$S$1001,MATCH(ROWS($I$2:I834),$I$2:$I$1001,0),MATCH(COLUMNS($P$1006:R1006),$P$1006:$S$1006,0)), HYPERLINK("#",""), HYPERLINK(CONCATENATE("#metadata!", ADDRESS(INDEX($K$2:$K$1001,MATCH(ROWS($I$2:I834),$I$2:$I$1001,0),0), INDEX($P$1004:$S$1004,1,MATCH(COLUMNS($P$1006:R1006),$P$1006:$S$1006,0)))),"Fix")))</f>
        <v>0</v>
      </c>
      <c r="E834" s="3">
        <f>IF(OR(INDEX($J$2:$J$1001,MATCH(ROWS($I$2:I834),$I$2:$I$1001,0),1)&gt;=100000,INDEX($P$1005:$S$1005,1,MATCH(COLUMNS($P$1006:S1006),$P$1006:$S$1006,0))&gt;=100000), " ",IF(INDEX($P$2:$S$1001,MATCH(ROWS($I$2:I834),$I$2:$I$1001,0),MATCH(COLUMNS($P$1006:S1006),$P$1006:$S$1006,0)), HYPERLINK("#",""), HYPERLINK(CONCATENATE("#metadata!", ADDRESS(INDEX($K$2:$K$1001,MATCH(ROWS($I$2:I834),$I$2:$I$1001,0),0), INDEX($P$1004:$S$1004,1,MATCH(COLUMNS($P$1006:S1006),$P$1006:$S$1006,0)))),"Fix")))</f>
        <v>0</v>
      </c>
      <c r="I834">
        <v>0</v>
      </c>
      <c r="J834">
        <v>0</v>
      </c>
      <c r="K834">
        <v>0</v>
      </c>
      <c r="L834">
        <f>IF(M834,TRUE,AND(P834:S834))</f>
        <v>0</v>
      </c>
      <c r="M834">
        <f>COUNTBLANK(metadata!B834:E834)=COLUMNS(metadata!B834:E834)</f>
        <v>0</v>
      </c>
      <c r="N834">
        <v>0</v>
      </c>
      <c r="P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Q834">
        <f>AND(IF(metadata!C834="",FALSE,TRUE),exact(metadata!C834,"other"))</f>
        <v>0</v>
      </c>
      <c r="R834">
        <f>AND(IF(metadata!D834="",FALSE,TRUE),exact(metadata!D834,"metagenome"))</f>
        <v>0</v>
      </c>
      <c r="S834">
        <f>AND(IF(metadata!E834="",FALSE,TRUE),exact(metadata!E834,"256318"))</f>
        <v>0</v>
      </c>
    </row>
    <row r="835" spans="1:19">
      <c r="A835" s="4">
        <f>IF(B835=" "," ",HYPERLINK(CONCATENATE("#metadata!",ADDRESS(INDEX($K$2:$K$1001,MATCH(ROWS($I$2:I835),$I$2:$I$1001,0),0),1)),INDEX($N$2:$N$1001,MATCH(ROWS($I$2:I835),$I$2:$I$1001,0),0)))</f>
        <v>0</v>
      </c>
      <c r="B835" s="3">
        <f>IF(OR(INDEX($J$2:$J$1001,MATCH(ROWS($I$2:I835),$I$2:$I$1001,0),1)&gt;=100000,INDEX($P$1005:$S$1005,1,MATCH(COLUMNS($P$1006:P1006),$P$1006:$S$1006,0))&gt;=100000), " ",IF(INDEX($P$2:$S$1001,MATCH(ROWS($I$2:I835),$I$2:$I$1001,0),MATCH(COLUMNS($P$1006:P1006),$P$1006:$S$1006,0)), HYPERLINK("#",""), HYPERLINK(CONCATENATE("#metadata!", ADDRESS(INDEX($K$2:$K$1001,MATCH(ROWS($I$2:I835),$I$2:$I$1001,0),0), INDEX($P$1004:$S$1004,1,MATCH(COLUMNS($P$1006:P1006),$P$1006:$S$1006,0)))),"Fix")))</f>
        <v>0</v>
      </c>
      <c r="C835" s="3">
        <f>IF(OR(INDEX($J$2:$J$1001,MATCH(ROWS($I$2:I835),$I$2:$I$1001,0),1)&gt;=100000,INDEX($P$1005:$S$1005,1,MATCH(COLUMNS($P$1006:Q1006),$P$1006:$S$1006,0))&gt;=100000), " ",IF(INDEX($P$2:$S$1001,MATCH(ROWS($I$2:I835),$I$2:$I$1001,0),MATCH(COLUMNS($P$1006:Q1006),$P$1006:$S$1006,0)), HYPERLINK("#",""), HYPERLINK(CONCATENATE("#metadata!", ADDRESS(INDEX($K$2:$K$1001,MATCH(ROWS($I$2:I835),$I$2:$I$1001,0),0), INDEX($P$1004:$S$1004,1,MATCH(COLUMNS($P$1006:Q1006),$P$1006:$S$1006,0)))),"Fix")))</f>
        <v>0</v>
      </c>
      <c r="D835" s="3">
        <f>IF(OR(INDEX($J$2:$J$1001,MATCH(ROWS($I$2:I835),$I$2:$I$1001,0),1)&gt;=100000,INDEX($P$1005:$S$1005,1,MATCH(COLUMNS($P$1006:R1006),$P$1006:$S$1006,0))&gt;=100000), " ",IF(INDEX($P$2:$S$1001,MATCH(ROWS($I$2:I835),$I$2:$I$1001,0),MATCH(COLUMNS($P$1006:R1006),$P$1006:$S$1006,0)), HYPERLINK("#",""), HYPERLINK(CONCATENATE("#metadata!", ADDRESS(INDEX($K$2:$K$1001,MATCH(ROWS($I$2:I835),$I$2:$I$1001,0),0), INDEX($P$1004:$S$1004,1,MATCH(COLUMNS($P$1006:R1006),$P$1006:$S$1006,0)))),"Fix")))</f>
        <v>0</v>
      </c>
      <c r="E835" s="3">
        <f>IF(OR(INDEX($J$2:$J$1001,MATCH(ROWS($I$2:I835),$I$2:$I$1001,0),1)&gt;=100000,INDEX($P$1005:$S$1005,1,MATCH(COLUMNS($P$1006:S1006),$P$1006:$S$1006,0))&gt;=100000), " ",IF(INDEX($P$2:$S$1001,MATCH(ROWS($I$2:I835),$I$2:$I$1001,0),MATCH(COLUMNS($P$1006:S1006),$P$1006:$S$1006,0)), HYPERLINK("#",""), HYPERLINK(CONCATENATE("#metadata!", ADDRESS(INDEX($K$2:$K$1001,MATCH(ROWS($I$2:I835),$I$2:$I$1001,0),0), INDEX($P$1004:$S$1004,1,MATCH(COLUMNS($P$1006:S1006),$P$1006:$S$1006,0)))),"Fix")))</f>
        <v>0</v>
      </c>
      <c r="I835">
        <v>0</v>
      </c>
      <c r="J835">
        <v>0</v>
      </c>
      <c r="K835">
        <v>0</v>
      </c>
      <c r="L835">
        <f>IF(M835,TRUE,AND(P835:S835))</f>
        <v>0</v>
      </c>
      <c r="M835">
        <f>COUNTBLANK(metadata!B835:E835)=COLUMNS(metadata!B835:E835)</f>
        <v>0</v>
      </c>
      <c r="N835">
        <v>0</v>
      </c>
      <c r="P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Q835">
        <f>AND(IF(metadata!C835="",FALSE,TRUE),exact(metadata!C835,"other"))</f>
        <v>0</v>
      </c>
      <c r="R835">
        <f>AND(IF(metadata!D835="",FALSE,TRUE),exact(metadata!D835,"metagenome"))</f>
        <v>0</v>
      </c>
      <c r="S835">
        <f>AND(IF(metadata!E835="",FALSE,TRUE),exact(metadata!E835,"256318"))</f>
        <v>0</v>
      </c>
    </row>
    <row r="836" spans="1:19">
      <c r="A836" s="4">
        <f>IF(B836=" "," ",HYPERLINK(CONCATENATE("#metadata!",ADDRESS(INDEX($K$2:$K$1001,MATCH(ROWS($I$2:I836),$I$2:$I$1001,0),0),1)),INDEX($N$2:$N$1001,MATCH(ROWS($I$2:I836),$I$2:$I$1001,0),0)))</f>
        <v>0</v>
      </c>
      <c r="B836" s="3">
        <f>IF(OR(INDEX($J$2:$J$1001,MATCH(ROWS($I$2:I836),$I$2:$I$1001,0),1)&gt;=100000,INDEX($P$1005:$S$1005,1,MATCH(COLUMNS($P$1006:P1006),$P$1006:$S$1006,0))&gt;=100000), " ",IF(INDEX($P$2:$S$1001,MATCH(ROWS($I$2:I836),$I$2:$I$1001,0),MATCH(COLUMNS($P$1006:P1006),$P$1006:$S$1006,0)), HYPERLINK("#",""), HYPERLINK(CONCATENATE("#metadata!", ADDRESS(INDEX($K$2:$K$1001,MATCH(ROWS($I$2:I836),$I$2:$I$1001,0),0), INDEX($P$1004:$S$1004,1,MATCH(COLUMNS($P$1006:P1006),$P$1006:$S$1006,0)))),"Fix")))</f>
        <v>0</v>
      </c>
      <c r="C836" s="3">
        <f>IF(OR(INDEX($J$2:$J$1001,MATCH(ROWS($I$2:I836),$I$2:$I$1001,0),1)&gt;=100000,INDEX($P$1005:$S$1005,1,MATCH(COLUMNS($P$1006:Q1006),$P$1006:$S$1006,0))&gt;=100000), " ",IF(INDEX($P$2:$S$1001,MATCH(ROWS($I$2:I836),$I$2:$I$1001,0),MATCH(COLUMNS($P$1006:Q1006),$P$1006:$S$1006,0)), HYPERLINK("#",""), HYPERLINK(CONCATENATE("#metadata!", ADDRESS(INDEX($K$2:$K$1001,MATCH(ROWS($I$2:I836),$I$2:$I$1001,0),0), INDEX($P$1004:$S$1004,1,MATCH(COLUMNS($P$1006:Q1006),$P$1006:$S$1006,0)))),"Fix")))</f>
        <v>0</v>
      </c>
      <c r="D836" s="3">
        <f>IF(OR(INDEX($J$2:$J$1001,MATCH(ROWS($I$2:I836),$I$2:$I$1001,0),1)&gt;=100000,INDEX($P$1005:$S$1005,1,MATCH(COLUMNS($P$1006:R1006),$P$1006:$S$1006,0))&gt;=100000), " ",IF(INDEX($P$2:$S$1001,MATCH(ROWS($I$2:I836),$I$2:$I$1001,0),MATCH(COLUMNS($P$1006:R1006),$P$1006:$S$1006,0)), HYPERLINK("#",""), HYPERLINK(CONCATENATE("#metadata!", ADDRESS(INDEX($K$2:$K$1001,MATCH(ROWS($I$2:I836),$I$2:$I$1001,0),0), INDEX($P$1004:$S$1004,1,MATCH(COLUMNS($P$1006:R1006),$P$1006:$S$1006,0)))),"Fix")))</f>
        <v>0</v>
      </c>
      <c r="E836" s="3">
        <f>IF(OR(INDEX($J$2:$J$1001,MATCH(ROWS($I$2:I836),$I$2:$I$1001,0),1)&gt;=100000,INDEX($P$1005:$S$1005,1,MATCH(COLUMNS($P$1006:S1006),$P$1006:$S$1006,0))&gt;=100000), " ",IF(INDEX($P$2:$S$1001,MATCH(ROWS($I$2:I836),$I$2:$I$1001,0),MATCH(COLUMNS($P$1006:S1006),$P$1006:$S$1006,0)), HYPERLINK("#",""), HYPERLINK(CONCATENATE("#metadata!", ADDRESS(INDEX($K$2:$K$1001,MATCH(ROWS($I$2:I836),$I$2:$I$1001,0),0), INDEX($P$1004:$S$1004,1,MATCH(COLUMNS($P$1006:S1006),$P$1006:$S$1006,0)))),"Fix")))</f>
        <v>0</v>
      </c>
      <c r="I836">
        <v>0</v>
      </c>
      <c r="J836">
        <v>0</v>
      </c>
      <c r="K836">
        <v>0</v>
      </c>
      <c r="L836">
        <f>IF(M836,TRUE,AND(P836:S836))</f>
        <v>0</v>
      </c>
      <c r="M836">
        <f>COUNTBLANK(metadata!B836:E836)=COLUMNS(metadata!B836:E836)</f>
        <v>0</v>
      </c>
      <c r="N836">
        <v>0</v>
      </c>
      <c r="P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Q836">
        <f>AND(IF(metadata!C836="",FALSE,TRUE),exact(metadata!C836,"other"))</f>
        <v>0</v>
      </c>
      <c r="R836">
        <f>AND(IF(metadata!D836="",FALSE,TRUE),exact(metadata!D836,"metagenome"))</f>
        <v>0</v>
      </c>
      <c r="S836">
        <f>AND(IF(metadata!E836="",FALSE,TRUE),exact(metadata!E836,"256318"))</f>
        <v>0</v>
      </c>
    </row>
    <row r="837" spans="1:19">
      <c r="A837" s="4">
        <f>IF(B837=" "," ",HYPERLINK(CONCATENATE("#metadata!",ADDRESS(INDEX($K$2:$K$1001,MATCH(ROWS($I$2:I837),$I$2:$I$1001,0),0),1)),INDEX($N$2:$N$1001,MATCH(ROWS($I$2:I837),$I$2:$I$1001,0),0)))</f>
        <v>0</v>
      </c>
      <c r="B837" s="3">
        <f>IF(OR(INDEX($J$2:$J$1001,MATCH(ROWS($I$2:I837),$I$2:$I$1001,0),1)&gt;=100000,INDEX($P$1005:$S$1005,1,MATCH(COLUMNS($P$1006:P1006),$P$1006:$S$1006,0))&gt;=100000), " ",IF(INDEX($P$2:$S$1001,MATCH(ROWS($I$2:I837),$I$2:$I$1001,0),MATCH(COLUMNS($P$1006:P1006),$P$1006:$S$1006,0)), HYPERLINK("#",""), HYPERLINK(CONCATENATE("#metadata!", ADDRESS(INDEX($K$2:$K$1001,MATCH(ROWS($I$2:I837),$I$2:$I$1001,0),0), INDEX($P$1004:$S$1004,1,MATCH(COLUMNS($P$1006:P1006),$P$1006:$S$1006,0)))),"Fix")))</f>
        <v>0</v>
      </c>
      <c r="C837" s="3">
        <f>IF(OR(INDEX($J$2:$J$1001,MATCH(ROWS($I$2:I837),$I$2:$I$1001,0),1)&gt;=100000,INDEX($P$1005:$S$1005,1,MATCH(COLUMNS($P$1006:Q1006),$P$1006:$S$1006,0))&gt;=100000), " ",IF(INDEX($P$2:$S$1001,MATCH(ROWS($I$2:I837),$I$2:$I$1001,0),MATCH(COLUMNS($P$1006:Q1006),$P$1006:$S$1006,0)), HYPERLINK("#",""), HYPERLINK(CONCATENATE("#metadata!", ADDRESS(INDEX($K$2:$K$1001,MATCH(ROWS($I$2:I837),$I$2:$I$1001,0),0), INDEX($P$1004:$S$1004,1,MATCH(COLUMNS($P$1006:Q1006),$P$1006:$S$1006,0)))),"Fix")))</f>
        <v>0</v>
      </c>
      <c r="D837" s="3">
        <f>IF(OR(INDEX($J$2:$J$1001,MATCH(ROWS($I$2:I837),$I$2:$I$1001,0),1)&gt;=100000,INDEX($P$1005:$S$1005,1,MATCH(COLUMNS($P$1006:R1006),$P$1006:$S$1006,0))&gt;=100000), " ",IF(INDEX($P$2:$S$1001,MATCH(ROWS($I$2:I837),$I$2:$I$1001,0),MATCH(COLUMNS($P$1006:R1006),$P$1006:$S$1006,0)), HYPERLINK("#",""), HYPERLINK(CONCATENATE("#metadata!", ADDRESS(INDEX($K$2:$K$1001,MATCH(ROWS($I$2:I837),$I$2:$I$1001,0),0), INDEX($P$1004:$S$1004,1,MATCH(COLUMNS($P$1006:R1006),$P$1006:$S$1006,0)))),"Fix")))</f>
        <v>0</v>
      </c>
      <c r="E837" s="3">
        <f>IF(OR(INDEX($J$2:$J$1001,MATCH(ROWS($I$2:I837),$I$2:$I$1001,0),1)&gt;=100000,INDEX($P$1005:$S$1005,1,MATCH(COLUMNS($P$1006:S1006),$P$1006:$S$1006,0))&gt;=100000), " ",IF(INDEX($P$2:$S$1001,MATCH(ROWS($I$2:I837),$I$2:$I$1001,0),MATCH(COLUMNS($P$1006:S1006),$P$1006:$S$1006,0)), HYPERLINK("#",""), HYPERLINK(CONCATENATE("#metadata!", ADDRESS(INDEX($K$2:$K$1001,MATCH(ROWS($I$2:I837),$I$2:$I$1001,0),0), INDEX($P$1004:$S$1004,1,MATCH(COLUMNS($P$1006:S1006),$P$1006:$S$1006,0)))),"Fix")))</f>
        <v>0</v>
      </c>
      <c r="I837">
        <v>0</v>
      </c>
      <c r="J837">
        <v>0</v>
      </c>
      <c r="K837">
        <v>0</v>
      </c>
      <c r="L837">
        <f>IF(M837,TRUE,AND(P837:S837))</f>
        <v>0</v>
      </c>
      <c r="M837">
        <f>COUNTBLANK(metadata!B837:E837)=COLUMNS(metadata!B837:E837)</f>
        <v>0</v>
      </c>
      <c r="N837">
        <v>0</v>
      </c>
      <c r="P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Q837">
        <f>AND(IF(metadata!C837="",FALSE,TRUE),exact(metadata!C837,"other"))</f>
        <v>0</v>
      </c>
      <c r="R837">
        <f>AND(IF(metadata!D837="",FALSE,TRUE),exact(metadata!D837,"metagenome"))</f>
        <v>0</v>
      </c>
      <c r="S837">
        <f>AND(IF(metadata!E837="",FALSE,TRUE),exact(metadata!E837,"256318"))</f>
        <v>0</v>
      </c>
    </row>
    <row r="838" spans="1:19">
      <c r="A838" s="4">
        <f>IF(B838=" "," ",HYPERLINK(CONCATENATE("#metadata!",ADDRESS(INDEX($K$2:$K$1001,MATCH(ROWS($I$2:I838),$I$2:$I$1001,0),0),1)),INDEX($N$2:$N$1001,MATCH(ROWS($I$2:I838),$I$2:$I$1001,0),0)))</f>
        <v>0</v>
      </c>
      <c r="B838" s="3">
        <f>IF(OR(INDEX($J$2:$J$1001,MATCH(ROWS($I$2:I838),$I$2:$I$1001,0),1)&gt;=100000,INDEX($P$1005:$S$1005,1,MATCH(COLUMNS($P$1006:P1006),$P$1006:$S$1006,0))&gt;=100000), " ",IF(INDEX($P$2:$S$1001,MATCH(ROWS($I$2:I838),$I$2:$I$1001,0),MATCH(COLUMNS($P$1006:P1006),$P$1006:$S$1006,0)), HYPERLINK("#",""), HYPERLINK(CONCATENATE("#metadata!", ADDRESS(INDEX($K$2:$K$1001,MATCH(ROWS($I$2:I838),$I$2:$I$1001,0),0), INDEX($P$1004:$S$1004,1,MATCH(COLUMNS($P$1006:P1006),$P$1006:$S$1006,0)))),"Fix")))</f>
        <v>0</v>
      </c>
      <c r="C838" s="3">
        <f>IF(OR(INDEX($J$2:$J$1001,MATCH(ROWS($I$2:I838),$I$2:$I$1001,0),1)&gt;=100000,INDEX($P$1005:$S$1005,1,MATCH(COLUMNS($P$1006:Q1006),$P$1006:$S$1006,0))&gt;=100000), " ",IF(INDEX($P$2:$S$1001,MATCH(ROWS($I$2:I838),$I$2:$I$1001,0),MATCH(COLUMNS($P$1006:Q1006),$P$1006:$S$1006,0)), HYPERLINK("#",""), HYPERLINK(CONCATENATE("#metadata!", ADDRESS(INDEX($K$2:$K$1001,MATCH(ROWS($I$2:I838),$I$2:$I$1001,0),0), INDEX($P$1004:$S$1004,1,MATCH(COLUMNS($P$1006:Q1006),$P$1006:$S$1006,0)))),"Fix")))</f>
        <v>0</v>
      </c>
      <c r="D838" s="3">
        <f>IF(OR(INDEX($J$2:$J$1001,MATCH(ROWS($I$2:I838),$I$2:$I$1001,0),1)&gt;=100000,INDEX($P$1005:$S$1005,1,MATCH(COLUMNS($P$1006:R1006),$P$1006:$S$1006,0))&gt;=100000), " ",IF(INDEX($P$2:$S$1001,MATCH(ROWS($I$2:I838),$I$2:$I$1001,0),MATCH(COLUMNS($P$1006:R1006),$P$1006:$S$1006,0)), HYPERLINK("#",""), HYPERLINK(CONCATENATE("#metadata!", ADDRESS(INDEX($K$2:$K$1001,MATCH(ROWS($I$2:I838),$I$2:$I$1001,0),0), INDEX($P$1004:$S$1004,1,MATCH(COLUMNS($P$1006:R1006),$P$1006:$S$1006,0)))),"Fix")))</f>
        <v>0</v>
      </c>
      <c r="E838" s="3">
        <f>IF(OR(INDEX($J$2:$J$1001,MATCH(ROWS($I$2:I838),$I$2:$I$1001,0),1)&gt;=100000,INDEX($P$1005:$S$1005,1,MATCH(COLUMNS($P$1006:S1006),$P$1006:$S$1006,0))&gt;=100000), " ",IF(INDEX($P$2:$S$1001,MATCH(ROWS($I$2:I838),$I$2:$I$1001,0),MATCH(COLUMNS($P$1006:S1006),$P$1006:$S$1006,0)), HYPERLINK("#",""), HYPERLINK(CONCATENATE("#metadata!", ADDRESS(INDEX($K$2:$K$1001,MATCH(ROWS($I$2:I838),$I$2:$I$1001,0),0), INDEX($P$1004:$S$1004,1,MATCH(COLUMNS($P$1006:S1006),$P$1006:$S$1006,0)))),"Fix")))</f>
        <v>0</v>
      </c>
      <c r="I838">
        <v>0</v>
      </c>
      <c r="J838">
        <v>0</v>
      </c>
      <c r="K838">
        <v>0</v>
      </c>
      <c r="L838">
        <f>IF(M838,TRUE,AND(P838:S838))</f>
        <v>0</v>
      </c>
      <c r="M838">
        <f>COUNTBLANK(metadata!B838:E838)=COLUMNS(metadata!B838:E838)</f>
        <v>0</v>
      </c>
      <c r="N838">
        <v>0</v>
      </c>
      <c r="P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Q838">
        <f>AND(IF(metadata!C838="",FALSE,TRUE),exact(metadata!C838,"other"))</f>
        <v>0</v>
      </c>
      <c r="R838">
        <f>AND(IF(metadata!D838="",FALSE,TRUE),exact(metadata!D838,"metagenome"))</f>
        <v>0</v>
      </c>
      <c r="S838">
        <f>AND(IF(metadata!E838="",FALSE,TRUE),exact(metadata!E838,"256318"))</f>
        <v>0</v>
      </c>
    </row>
    <row r="839" spans="1:19">
      <c r="A839" s="4">
        <f>IF(B839=" "," ",HYPERLINK(CONCATENATE("#metadata!",ADDRESS(INDEX($K$2:$K$1001,MATCH(ROWS($I$2:I839),$I$2:$I$1001,0),0),1)),INDEX($N$2:$N$1001,MATCH(ROWS($I$2:I839),$I$2:$I$1001,0),0)))</f>
        <v>0</v>
      </c>
      <c r="B839" s="3">
        <f>IF(OR(INDEX($J$2:$J$1001,MATCH(ROWS($I$2:I839),$I$2:$I$1001,0),1)&gt;=100000,INDEX($P$1005:$S$1005,1,MATCH(COLUMNS($P$1006:P1006),$P$1006:$S$1006,0))&gt;=100000), " ",IF(INDEX($P$2:$S$1001,MATCH(ROWS($I$2:I839),$I$2:$I$1001,0),MATCH(COLUMNS($P$1006:P1006),$P$1006:$S$1006,0)), HYPERLINK("#",""), HYPERLINK(CONCATENATE("#metadata!", ADDRESS(INDEX($K$2:$K$1001,MATCH(ROWS($I$2:I839),$I$2:$I$1001,0),0), INDEX($P$1004:$S$1004,1,MATCH(COLUMNS($P$1006:P1006),$P$1006:$S$1006,0)))),"Fix")))</f>
        <v>0</v>
      </c>
      <c r="C839" s="3">
        <f>IF(OR(INDEX($J$2:$J$1001,MATCH(ROWS($I$2:I839),$I$2:$I$1001,0),1)&gt;=100000,INDEX($P$1005:$S$1005,1,MATCH(COLUMNS($P$1006:Q1006),$P$1006:$S$1006,0))&gt;=100000), " ",IF(INDEX($P$2:$S$1001,MATCH(ROWS($I$2:I839),$I$2:$I$1001,0),MATCH(COLUMNS($P$1006:Q1006),$P$1006:$S$1006,0)), HYPERLINK("#",""), HYPERLINK(CONCATENATE("#metadata!", ADDRESS(INDEX($K$2:$K$1001,MATCH(ROWS($I$2:I839),$I$2:$I$1001,0),0), INDEX($P$1004:$S$1004,1,MATCH(COLUMNS($P$1006:Q1006),$P$1006:$S$1006,0)))),"Fix")))</f>
        <v>0</v>
      </c>
      <c r="D839" s="3">
        <f>IF(OR(INDEX($J$2:$J$1001,MATCH(ROWS($I$2:I839),$I$2:$I$1001,0),1)&gt;=100000,INDEX($P$1005:$S$1005,1,MATCH(COLUMNS($P$1006:R1006),$P$1006:$S$1006,0))&gt;=100000), " ",IF(INDEX($P$2:$S$1001,MATCH(ROWS($I$2:I839),$I$2:$I$1001,0),MATCH(COLUMNS($P$1006:R1006),$P$1006:$S$1006,0)), HYPERLINK("#",""), HYPERLINK(CONCATENATE("#metadata!", ADDRESS(INDEX($K$2:$K$1001,MATCH(ROWS($I$2:I839),$I$2:$I$1001,0),0), INDEX($P$1004:$S$1004,1,MATCH(COLUMNS($P$1006:R1006),$P$1006:$S$1006,0)))),"Fix")))</f>
        <v>0</v>
      </c>
      <c r="E839" s="3">
        <f>IF(OR(INDEX($J$2:$J$1001,MATCH(ROWS($I$2:I839),$I$2:$I$1001,0),1)&gt;=100000,INDEX($P$1005:$S$1005,1,MATCH(COLUMNS($P$1006:S1006),$P$1006:$S$1006,0))&gt;=100000), " ",IF(INDEX($P$2:$S$1001,MATCH(ROWS($I$2:I839),$I$2:$I$1001,0),MATCH(COLUMNS($P$1006:S1006),$P$1006:$S$1006,0)), HYPERLINK("#",""), HYPERLINK(CONCATENATE("#metadata!", ADDRESS(INDEX($K$2:$K$1001,MATCH(ROWS($I$2:I839),$I$2:$I$1001,0),0), INDEX($P$1004:$S$1004,1,MATCH(COLUMNS($P$1006:S1006),$P$1006:$S$1006,0)))),"Fix")))</f>
        <v>0</v>
      </c>
      <c r="I839">
        <v>0</v>
      </c>
      <c r="J839">
        <v>0</v>
      </c>
      <c r="K839">
        <v>0</v>
      </c>
      <c r="L839">
        <f>IF(M839,TRUE,AND(P839:S839))</f>
        <v>0</v>
      </c>
      <c r="M839">
        <f>COUNTBLANK(metadata!B839:E839)=COLUMNS(metadata!B839:E839)</f>
        <v>0</v>
      </c>
      <c r="N839">
        <v>0</v>
      </c>
      <c r="P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Q839">
        <f>AND(IF(metadata!C839="",FALSE,TRUE),exact(metadata!C839,"other"))</f>
        <v>0</v>
      </c>
      <c r="R839">
        <f>AND(IF(metadata!D839="",FALSE,TRUE),exact(metadata!D839,"metagenome"))</f>
        <v>0</v>
      </c>
      <c r="S839">
        <f>AND(IF(metadata!E839="",FALSE,TRUE),exact(metadata!E839,"256318"))</f>
        <v>0</v>
      </c>
    </row>
    <row r="840" spans="1:19">
      <c r="A840" s="4">
        <f>IF(B840=" "," ",HYPERLINK(CONCATENATE("#metadata!",ADDRESS(INDEX($K$2:$K$1001,MATCH(ROWS($I$2:I840),$I$2:$I$1001,0),0),1)),INDEX($N$2:$N$1001,MATCH(ROWS($I$2:I840),$I$2:$I$1001,0),0)))</f>
        <v>0</v>
      </c>
      <c r="B840" s="3">
        <f>IF(OR(INDEX($J$2:$J$1001,MATCH(ROWS($I$2:I840),$I$2:$I$1001,0),1)&gt;=100000,INDEX($P$1005:$S$1005,1,MATCH(COLUMNS($P$1006:P1006),$P$1006:$S$1006,0))&gt;=100000), " ",IF(INDEX($P$2:$S$1001,MATCH(ROWS($I$2:I840),$I$2:$I$1001,0),MATCH(COLUMNS($P$1006:P1006),$P$1006:$S$1006,0)), HYPERLINK("#",""), HYPERLINK(CONCATENATE("#metadata!", ADDRESS(INDEX($K$2:$K$1001,MATCH(ROWS($I$2:I840),$I$2:$I$1001,0),0), INDEX($P$1004:$S$1004,1,MATCH(COLUMNS($P$1006:P1006),$P$1006:$S$1006,0)))),"Fix")))</f>
        <v>0</v>
      </c>
      <c r="C840" s="3">
        <f>IF(OR(INDEX($J$2:$J$1001,MATCH(ROWS($I$2:I840),$I$2:$I$1001,0),1)&gt;=100000,INDEX($P$1005:$S$1005,1,MATCH(COLUMNS($P$1006:Q1006),$P$1006:$S$1006,0))&gt;=100000), " ",IF(INDEX($P$2:$S$1001,MATCH(ROWS($I$2:I840),$I$2:$I$1001,0),MATCH(COLUMNS($P$1006:Q1006),$P$1006:$S$1006,0)), HYPERLINK("#",""), HYPERLINK(CONCATENATE("#metadata!", ADDRESS(INDEX($K$2:$K$1001,MATCH(ROWS($I$2:I840),$I$2:$I$1001,0),0), INDEX($P$1004:$S$1004,1,MATCH(COLUMNS($P$1006:Q1006),$P$1006:$S$1006,0)))),"Fix")))</f>
        <v>0</v>
      </c>
      <c r="D840" s="3">
        <f>IF(OR(INDEX($J$2:$J$1001,MATCH(ROWS($I$2:I840),$I$2:$I$1001,0),1)&gt;=100000,INDEX($P$1005:$S$1005,1,MATCH(COLUMNS($P$1006:R1006),$P$1006:$S$1006,0))&gt;=100000), " ",IF(INDEX($P$2:$S$1001,MATCH(ROWS($I$2:I840),$I$2:$I$1001,0),MATCH(COLUMNS($P$1006:R1006),$P$1006:$S$1006,0)), HYPERLINK("#",""), HYPERLINK(CONCATENATE("#metadata!", ADDRESS(INDEX($K$2:$K$1001,MATCH(ROWS($I$2:I840),$I$2:$I$1001,0),0), INDEX($P$1004:$S$1004,1,MATCH(COLUMNS($P$1006:R1006),$P$1006:$S$1006,0)))),"Fix")))</f>
        <v>0</v>
      </c>
      <c r="E840" s="3">
        <f>IF(OR(INDEX($J$2:$J$1001,MATCH(ROWS($I$2:I840),$I$2:$I$1001,0),1)&gt;=100000,INDEX($P$1005:$S$1005,1,MATCH(COLUMNS($P$1006:S1006),$P$1006:$S$1006,0))&gt;=100000), " ",IF(INDEX($P$2:$S$1001,MATCH(ROWS($I$2:I840),$I$2:$I$1001,0),MATCH(COLUMNS($P$1006:S1006),$P$1006:$S$1006,0)), HYPERLINK("#",""), HYPERLINK(CONCATENATE("#metadata!", ADDRESS(INDEX($K$2:$K$1001,MATCH(ROWS($I$2:I840),$I$2:$I$1001,0),0), INDEX($P$1004:$S$1004,1,MATCH(COLUMNS($P$1006:S1006),$P$1006:$S$1006,0)))),"Fix")))</f>
        <v>0</v>
      </c>
      <c r="I840">
        <v>0</v>
      </c>
      <c r="J840">
        <v>0</v>
      </c>
      <c r="K840">
        <v>0</v>
      </c>
      <c r="L840">
        <f>IF(M840,TRUE,AND(P840:S840))</f>
        <v>0</v>
      </c>
      <c r="M840">
        <f>COUNTBLANK(metadata!B840:E840)=COLUMNS(metadata!B840:E840)</f>
        <v>0</v>
      </c>
      <c r="N840">
        <v>0</v>
      </c>
      <c r="P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Q840">
        <f>AND(IF(metadata!C840="",FALSE,TRUE),exact(metadata!C840,"other"))</f>
        <v>0</v>
      </c>
      <c r="R840">
        <f>AND(IF(metadata!D840="",FALSE,TRUE),exact(metadata!D840,"metagenome"))</f>
        <v>0</v>
      </c>
      <c r="S840">
        <f>AND(IF(metadata!E840="",FALSE,TRUE),exact(metadata!E840,"256318"))</f>
        <v>0</v>
      </c>
    </row>
    <row r="841" spans="1:19">
      <c r="A841" s="4">
        <f>IF(B841=" "," ",HYPERLINK(CONCATENATE("#metadata!",ADDRESS(INDEX($K$2:$K$1001,MATCH(ROWS($I$2:I841),$I$2:$I$1001,0),0),1)),INDEX($N$2:$N$1001,MATCH(ROWS($I$2:I841),$I$2:$I$1001,0),0)))</f>
        <v>0</v>
      </c>
      <c r="B841" s="3">
        <f>IF(OR(INDEX($J$2:$J$1001,MATCH(ROWS($I$2:I841),$I$2:$I$1001,0),1)&gt;=100000,INDEX($P$1005:$S$1005,1,MATCH(COLUMNS($P$1006:P1006),$P$1006:$S$1006,0))&gt;=100000), " ",IF(INDEX($P$2:$S$1001,MATCH(ROWS($I$2:I841),$I$2:$I$1001,0),MATCH(COLUMNS($P$1006:P1006),$P$1006:$S$1006,0)), HYPERLINK("#",""), HYPERLINK(CONCATENATE("#metadata!", ADDRESS(INDEX($K$2:$K$1001,MATCH(ROWS($I$2:I841),$I$2:$I$1001,0),0), INDEX($P$1004:$S$1004,1,MATCH(COLUMNS($P$1006:P1006),$P$1006:$S$1006,0)))),"Fix")))</f>
        <v>0</v>
      </c>
      <c r="C841" s="3">
        <f>IF(OR(INDEX($J$2:$J$1001,MATCH(ROWS($I$2:I841),$I$2:$I$1001,0),1)&gt;=100000,INDEX($P$1005:$S$1005,1,MATCH(COLUMNS($P$1006:Q1006),$P$1006:$S$1006,0))&gt;=100000), " ",IF(INDEX($P$2:$S$1001,MATCH(ROWS($I$2:I841),$I$2:$I$1001,0),MATCH(COLUMNS($P$1006:Q1006),$P$1006:$S$1006,0)), HYPERLINK("#",""), HYPERLINK(CONCATENATE("#metadata!", ADDRESS(INDEX($K$2:$K$1001,MATCH(ROWS($I$2:I841),$I$2:$I$1001,0),0), INDEX($P$1004:$S$1004,1,MATCH(COLUMNS($P$1006:Q1006),$P$1006:$S$1006,0)))),"Fix")))</f>
        <v>0</v>
      </c>
      <c r="D841" s="3">
        <f>IF(OR(INDEX($J$2:$J$1001,MATCH(ROWS($I$2:I841),$I$2:$I$1001,0),1)&gt;=100000,INDEX($P$1005:$S$1005,1,MATCH(COLUMNS($P$1006:R1006),$P$1006:$S$1006,0))&gt;=100000), " ",IF(INDEX($P$2:$S$1001,MATCH(ROWS($I$2:I841),$I$2:$I$1001,0),MATCH(COLUMNS($P$1006:R1006),$P$1006:$S$1006,0)), HYPERLINK("#",""), HYPERLINK(CONCATENATE("#metadata!", ADDRESS(INDEX($K$2:$K$1001,MATCH(ROWS($I$2:I841),$I$2:$I$1001,0),0), INDEX($P$1004:$S$1004,1,MATCH(COLUMNS($P$1006:R1006),$P$1006:$S$1006,0)))),"Fix")))</f>
        <v>0</v>
      </c>
      <c r="E841" s="3">
        <f>IF(OR(INDEX($J$2:$J$1001,MATCH(ROWS($I$2:I841),$I$2:$I$1001,0),1)&gt;=100000,INDEX($P$1005:$S$1005,1,MATCH(COLUMNS($P$1006:S1006),$P$1006:$S$1006,0))&gt;=100000), " ",IF(INDEX($P$2:$S$1001,MATCH(ROWS($I$2:I841),$I$2:$I$1001,0),MATCH(COLUMNS($P$1006:S1006),$P$1006:$S$1006,0)), HYPERLINK("#",""), HYPERLINK(CONCATENATE("#metadata!", ADDRESS(INDEX($K$2:$K$1001,MATCH(ROWS($I$2:I841),$I$2:$I$1001,0),0), INDEX($P$1004:$S$1004,1,MATCH(COLUMNS($P$1006:S1006),$P$1006:$S$1006,0)))),"Fix")))</f>
        <v>0</v>
      </c>
      <c r="I841">
        <v>0</v>
      </c>
      <c r="J841">
        <v>0</v>
      </c>
      <c r="K841">
        <v>0</v>
      </c>
      <c r="L841">
        <f>IF(M841,TRUE,AND(P841:S841))</f>
        <v>0</v>
      </c>
      <c r="M841">
        <f>COUNTBLANK(metadata!B841:E841)=COLUMNS(metadata!B841:E841)</f>
        <v>0</v>
      </c>
      <c r="N841">
        <v>0</v>
      </c>
      <c r="P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Q841">
        <f>AND(IF(metadata!C841="",FALSE,TRUE),exact(metadata!C841,"other"))</f>
        <v>0</v>
      </c>
      <c r="R841">
        <f>AND(IF(metadata!D841="",FALSE,TRUE),exact(metadata!D841,"metagenome"))</f>
        <v>0</v>
      </c>
      <c r="S841">
        <f>AND(IF(metadata!E841="",FALSE,TRUE),exact(metadata!E841,"256318"))</f>
        <v>0</v>
      </c>
    </row>
    <row r="842" spans="1:19">
      <c r="A842" s="4">
        <f>IF(B842=" "," ",HYPERLINK(CONCATENATE("#metadata!",ADDRESS(INDEX($K$2:$K$1001,MATCH(ROWS($I$2:I842),$I$2:$I$1001,0),0),1)),INDEX($N$2:$N$1001,MATCH(ROWS($I$2:I842),$I$2:$I$1001,0),0)))</f>
        <v>0</v>
      </c>
      <c r="B842" s="3">
        <f>IF(OR(INDEX($J$2:$J$1001,MATCH(ROWS($I$2:I842),$I$2:$I$1001,0),1)&gt;=100000,INDEX($P$1005:$S$1005,1,MATCH(COLUMNS($P$1006:P1006),$P$1006:$S$1006,0))&gt;=100000), " ",IF(INDEX($P$2:$S$1001,MATCH(ROWS($I$2:I842),$I$2:$I$1001,0),MATCH(COLUMNS($P$1006:P1006),$P$1006:$S$1006,0)), HYPERLINK("#",""), HYPERLINK(CONCATENATE("#metadata!", ADDRESS(INDEX($K$2:$K$1001,MATCH(ROWS($I$2:I842),$I$2:$I$1001,0),0), INDEX($P$1004:$S$1004,1,MATCH(COLUMNS($P$1006:P1006),$P$1006:$S$1006,0)))),"Fix")))</f>
        <v>0</v>
      </c>
      <c r="C842" s="3">
        <f>IF(OR(INDEX($J$2:$J$1001,MATCH(ROWS($I$2:I842),$I$2:$I$1001,0),1)&gt;=100000,INDEX($P$1005:$S$1005,1,MATCH(COLUMNS($P$1006:Q1006),$P$1006:$S$1006,0))&gt;=100000), " ",IF(INDEX($P$2:$S$1001,MATCH(ROWS($I$2:I842),$I$2:$I$1001,0),MATCH(COLUMNS($P$1006:Q1006),$P$1006:$S$1006,0)), HYPERLINK("#",""), HYPERLINK(CONCATENATE("#metadata!", ADDRESS(INDEX($K$2:$K$1001,MATCH(ROWS($I$2:I842),$I$2:$I$1001,0),0), INDEX($P$1004:$S$1004,1,MATCH(COLUMNS($P$1006:Q1006),$P$1006:$S$1006,0)))),"Fix")))</f>
        <v>0</v>
      </c>
      <c r="D842" s="3">
        <f>IF(OR(INDEX($J$2:$J$1001,MATCH(ROWS($I$2:I842),$I$2:$I$1001,0),1)&gt;=100000,INDEX($P$1005:$S$1005,1,MATCH(COLUMNS($P$1006:R1006),$P$1006:$S$1006,0))&gt;=100000), " ",IF(INDEX($P$2:$S$1001,MATCH(ROWS($I$2:I842),$I$2:$I$1001,0),MATCH(COLUMNS($P$1006:R1006),$P$1006:$S$1006,0)), HYPERLINK("#",""), HYPERLINK(CONCATENATE("#metadata!", ADDRESS(INDEX($K$2:$K$1001,MATCH(ROWS($I$2:I842),$I$2:$I$1001,0),0), INDEX($P$1004:$S$1004,1,MATCH(COLUMNS($P$1006:R1006),$P$1006:$S$1006,0)))),"Fix")))</f>
        <v>0</v>
      </c>
      <c r="E842" s="3">
        <f>IF(OR(INDEX($J$2:$J$1001,MATCH(ROWS($I$2:I842),$I$2:$I$1001,0),1)&gt;=100000,INDEX($P$1005:$S$1005,1,MATCH(COLUMNS($P$1006:S1006),$P$1006:$S$1006,0))&gt;=100000), " ",IF(INDEX($P$2:$S$1001,MATCH(ROWS($I$2:I842),$I$2:$I$1001,0),MATCH(COLUMNS($P$1006:S1006),$P$1006:$S$1006,0)), HYPERLINK("#",""), HYPERLINK(CONCATENATE("#metadata!", ADDRESS(INDEX($K$2:$K$1001,MATCH(ROWS($I$2:I842),$I$2:$I$1001,0),0), INDEX($P$1004:$S$1004,1,MATCH(COLUMNS($P$1006:S1006),$P$1006:$S$1006,0)))),"Fix")))</f>
        <v>0</v>
      </c>
      <c r="I842">
        <v>0</v>
      </c>
      <c r="J842">
        <v>0</v>
      </c>
      <c r="K842">
        <v>0</v>
      </c>
      <c r="L842">
        <f>IF(M842,TRUE,AND(P842:S842))</f>
        <v>0</v>
      </c>
      <c r="M842">
        <f>COUNTBLANK(metadata!B842:E842)=COLUMNS(metadata!B842:E842)</f>
        <v>0</v>
      </c>
      <c r="N842">
        <v>0</v>
      </c>
      <c r="P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Q842">
        <f>AND(IF(metadata!C842="",FALSE,TRUE),exact(metadata!C842,"other"))</f>
        <v>0</v>
      </c>
      <c r="R842">
        <f>AND(IF(metadata!D842="",FALSE,TRUE),exact(metadata!D842,"metagenome"))</f>
        <v>0</v>
      </c>
      <c r="S842">
        <f>AND(IF(metadata!E842="",FALSE,TRUE),exact(metadata!E842,"256318"))</f>
        <v>0</v>
      </c>
    </row>
    <row r="843" spans="1:19">
      <c r="A843" s="4">
        <f>IF(B843=" "," ",HYPERLINK(CONCATENATE("#metadata!",ADDRESS(INDEX($K$2:$K$1001,MATCH(ROWS($I$2:I843),$I$2:$I$1001,0),0),1)),INDEX($N$2:$N$1001,MATCH(ROWS($I$2:I843),$I$2:$I$1001,0),0)))</f>
        <v>0</v>
      </c>
      <c r="B843" s="3">
        <f>IF(OR(INDEX($J$2:$J$1001,MATCH(ROWS($I$2:I843),$I$2:$I$1001,0),1)&gt;=100000,INDEX($P$1005:$S$1005,1,MATCH(COLUMNS($P$1006:P1006),$P$1006:$S$1006,0))&gt;=100000), " ",IF(INDEX($P$2:$S$1001,MATCH(ROWS($I$2:I843),$I$2:$I$1001,0),MATCH(COLUMNS($P$1006:P1006),$P$1006:$S$1006,0)), HYPERLINK("#",""), HYPERLINK(CONCATENATE("#metadata!", ADDRESS(INDEX($K$2:$K$1001,MATCH(ROWS($I$2:I843),$I$2:$I$1001,0),0), INDEX($P$1004:$S$1004,1,MATCH(COLUMNS($P$1006:P1006),$P$1006:$S$1006,0)))),"Fix")))</f>
        <v>0</v>
      </c>
      <c r="C843" s="3">
        <f>IF(OR(INDEX($J$2:$J$1001,MATCH(ROWS($I$2:I843),$I$2:$I$1001,0),1)&gt;=100000,INDEX($P$1005:$S$1005,1,MATCH(COLUMNS($P$1006:Q1006),$P$1006:$S$1006,0))&gt;=100000), " ",IF(INDEX($P$2:$S$1001,MATCH(ROWS($I$2:I843),$I$2:$I$1001,0),MATCH(COLUMNS($P$1006:Q1006),$P$1006:$S$1006,0)), HYPERLINK("#",""), HYPERLINK(CONCATENATE("#metadata!", ADDRESS(INDEX($K$2:$K$1001,MATCH(ROWS($I$2:I843),$I$2:$I$1001,0),0), INDEX($P$1004:$S$1004,1,MATCH(COLUMNS($P$1006:Q1006),$P$1006:$S$1006,0)))),"Fix")))</f>
        <v>0</v>
      </c>
      <c r="D843" s="3">
        <f>IF(OR(INDEX($J$2:$J$1001,MATCH(ROWS($I$2:I843),$I$2:$I$1001,0),1)&gt;=100000,INDEX($P$1005:$S$1005,1,MATCH(COLUMNS($P$1006:R1006),$P$1006:$S$1006,0))&gt;=100000), " ",IF(INDEX($P$2:$S$1001,MATCH(ROWS($I$2:I843),$I$2:$I$1001,0),MATCH(COLUMNS($P$1006:R1006),$P$1006:$S$1006,0)), HYPERLINK("#",""), HYPERLINK(CONCATENATE("#metadata!", ADDRESS(INDEX($K$2:$K$1001,MATCH(ROWS($I$2:I843),$I$2:$I$1001,0),0), INDEX($P$1004:$S$1004,1,MATCH(COLUMNS($P$1006:R1006),$P$1006:$S$1006,0)))),"Fix")))</f>
        <v>0</v>
      </c>
      <c r="E843" s="3">
        <f>IF(OR(INDEX($J$2:$J$1001,MATCH(ROWS($I$2:I843),$I$2:$I$1001,0),1)&gt;=100000,INDEX($P$1005:$S$1005,1,MATCH(COLUMNS($P$1006:S1006),$P$1006:$S$1006,0))&gt;=100000), " ",IF(INDEX($P$2:$S$1001,MATCH(ROWS($I$2:I843),$I$2:$I$1001,0),MATCH(COLUMNS($P$1006:S1006),$P$1006:$S$1006,0)), HYPERLINK("#",""), HYPERLINK(CONCATENATE("#metadata!", ADDRESS(INDEX($K$2:$K$1001,MATCH(ROWS($I$2:I843),$I$2:$I$1001,0),0), INDEX($P$1004:$S$1004,1,MATCH(COLUMNS($P$1006:S1006),$P$1006:$S$1006,0)))),"Fix")))</f>
        <v>0</v>
      </c>
      <c r="I843">
        <v>0</v>
      </c>
      <c r="J843">
        <v>0</v>
      </c>
      <c r="K843">
        <v>0</v>
      </c>
      <c r="L843">
        <f>IF(M843,TRUE,AND(P843:S843))</f>
        <v>0</v>
      </c>
      <c r="M843">
        <f>COUNTBLANK(metadata!B843:E843)=COLUMNS(metadata!B843:E843)</f>
        <v>0</v>
      </c>
      <c r="N843">
        <v>0</v>
      </c>
      <c r="P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Q843">
        <f>AND(IF(metadata!C843="",FALSE,TRUE),exact(metadata!C843,"other"))</f>
        <v>0</v>
      </c>
      <c r="R843">
        <f>AND(IF(metadata!D843="",FALSE,TRUE),exact(metadata!D843,"metagenome"))</f>
        <v>0</v>
      </c>
      <c r="S843">
        <f>AND(IF(metadata!E843="",FALSE,TRUE),exact(metadata!E843,"256318"))</f>
        <v>0</v>
      </c>
    </row>
    <row r="844" spans="1:19">
      <c r="A844" s="4">
        <f>IF(B844=" "," ",HYPERLINK(CONCATENATE("#metadata!",ADDRESS(INDEX($K$2:$K$1001,MATCH(ROWS($I$2:I844),$I$2:$I$1001,0),0),1)),INDEX($N$2:$N$1001,MATCH(ROWS($I$2:I844),$I$2:$I$1001,0),0)))</f>
        <v>0</v>
      </c>
      <c r="B844" s="3">
        <f>IF(OR(INDEX($J$2:$J$1001,MATCH(ROWS($I$2:I844),$I$2:$I$1001,0),1)&gt;=100000,INDEX($P$1005:$S$1005,1,MATCH(COLUMNS($P$1006:P1006),$P$1006:$S$1006,0))&gt;=100000), " ",IF(INDEX($P$2:$S$1001,MATCH(ROWS($I$2:I844),$I$2:$I$1001,0),MATCH(COLUMNS($P$1006:P1006),$P$1006:$S$1006,0)), HYPERLINK("#",""), HYPERLINK(CONCATENATE("#metadata!", ADDRESS(INDEX($K$2:$K$1001,MATCH(ROWS($I$2:I844),$I$2:$I$1001,0),0), INDEX($P$1004:$S$1004,1,MATCH(COLUMNS($P$1006:P1006),$P$1006:$S$1006,0)))),"Fix")))</f>
        <v>0</v>
      </c>
      <c r="C844" s="3">
        <f>IF(OR(INDEX($J$2:$J$1001,MATCH(ROWS($I$2:I844),$I$2:$I$1001,0),1)&gt;=100000,INDEX($P$1005:$S$1005,1,MATCH(COLUMNS($P$1006:Q1006),$P$1006:$S$1006,0))&gt;=100000), " ",IF(INDEX($P$2:$S$1001,MATCH(ROWS($I$2:I844),$I$2:$I$1001,0),MATCH(COLUMNS($P$1006:Q1006),$P$1006:$S$1006,0)), HYPERLINK("#",""), HYPERLINK(CONCATENATE("#metadata!", ADDRESS(INDEX($K$2:$K$1001,MATCH(ROWS($I$2:I844),$I$2:$I$1001,0),0), INDEX($P$1004:$S$1004,1,MATCH(COLUMNS($P$1006:Q1006),$P$1006:$S$1006,0)))),"Fix")))</f>
        <v>0</v>
      </c>
      <c r="D844" s="3">
        <f>IF(OR(INDEX($J$2:$J$1001,MATCH(ROWS($I$2:I844),$I$2:$I$1001,0),1)&gt;=100000,INDEX($P$1005:$S$1005,1,MATCH(COLUMNS($P$1006:R1006),$P$1006:$S$1006,0))&gt;=100000), " ",IF(INDEX($P$2:$S$1001,MATCH(ROWS($I$2:I844),$I$2:$I$1001,0),MATCH(COLUMNS($P$1006:R1006),$P$1006:$S$1006,0)), HYPERLINK("#",""), HYPERLINK(CONCATENATE("#metadata!", ADDRESS(INDEX($K$2:$K$1001,MATCH(ROWS($I$2:I844),$I$2:$I$1001,0),0), INDEX($P$1004:$S$1004,1,MATCH(COLUMNS($P$1006:R1006),$P$1006:$S$1006,0)))),"Fix")))</f>
        <v>0</v>
      </c>
      <c r="E844" s="3">
        <f>IF(OR(INDEX($J$2:$J$1001,MATCH(ROWS($I$2:I844),$I$2:$I$1001,0),1)&gt;=100000,INDEX($P$1005:$S$1005,1,MATCH(COLUMNS($P$1006:S1006),$P$1006:$S$1006,0))&gt;=100000), " ",IF(INDEX($P$2:$S$1001,MATCH(ROWS($I$2:I844),$I$2:$I$1001,0),MATCH(COLUMNS($P$1006:S1006),$P$1006:$S$1006,0)), HYPERLINK("#",""), HYPERLINK(CONCATENATE("#metadata!", ADDRESS(INDEX($K$2:$K$1001,MATCH(ROWS($I$2:I844),$I$2:$I$1001,0),0), INDEX($P$1004:$S$1004,1,MATCH(COLUMNS($P$1006:S1006),$P$1006:$S$1006,0)))),"Fix")))</f>
        <v>0</v>
      </c>
      <c r="I844">
        <v>0</v>
      </c>
      <c r="J844">
        <v>0</v>
      </c>
      <c r="K844">
        <v>0</v>
      </c>
      <c r="L844">
        <f>IF(M844,TRUE,AND(P844:S844))</f>
        <v>0</v>
      </c>
      <c r="M844">
        <f>COUNTBLANK(metadata!B844:E844)=COLUMNS(metadata!B844:E844)</f>
        <v>0</v>
      </c>
      <c r="N844">
        <v>0</v>
      </c>
      <c r="P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Q844">
        <f>AND(IF(metadata!C844="",FALSE,TRUE),exact(metadata!C844,"other"))</f>
        <v>0</v>
      </c>
      <c r="R844">
        <f>AND(IF(metadata!D844="",FALSE,TRUE),exact(metadata!D844,"metagenome"))</f>
        <v>0</v>
      </c>
      <c r="S844">
        <f>AND(IF(metadata!E844="",FALSE,TRUE),exact(metadata!E844,"256318"))</f>
        <v>0</v>
      </c>
    </row>
    <row r="845" spans="1:19">
      <c r="A845" s="4">
        <f>IF(B845=" "," ",HYPERLINK(CONCATENATE("#metadata!",ADDRESS(INDEX($K$2:$K$1001,MATCH(ROWS($I$2:I845),$I$2:$I$1001,0),0),1)),INDEX($N$2:$N$1001,MATCH(ROWS($I$2:I845),$I$2:$I$1001,0),0)))</f>
        <v>0</v>
      </c>
      <c r="B845" s="3">
        <f>IF(OR(INDEX($J$2:$J$1001,MATCH(ROWS($I$2:I845),$I$2:$I$1001,0),1)&gt;=100000,INDEX($P$1005:$S$1005,1,MATCH(COLUMNS($P$1006:P1006),$P$1006:$S$1006,0))&gt;=100000), " ",IF(INDEX($P$2:$S$1001,MATCH(ROWS($I$2:I845),$I$2:$I$1001,0),MATCH(COLUMNS($P$1006:P1006),$P$1006:$S$1006,0)), HYPERLINK("#",""), HYPERLINK(CONCATENATE("#metadata!", ADDRESS(INDEX($K$2:$K$1001,MATCH(ROWS($I$2:I845),$I$2:$I$1001,0),0), INDEX($P$1004:$S$1004,1,MATCH(COLUMNS($P$1006:P1006),$P$1006:$S$1006,0)))),"Fix")))</f>
        <v>0</v>
      </c>
      <c r="C845" s="3">
        <f>IF(OR(INDEX($J$2:$J$1001,MATCH(ROWS($I$2:I845),$I$2:$I$1001,0),1)&gt;=100000,INDEX($P$1005:$S$1005,1,MATCH(COLUMNS($P$1006:Q1006),$P$1006:$S$1006,0))&gt;=100000), " ",IF(INDEX($P$2:$S$1001,MATCH(ROWS($I$2:I845),$I$2:$I$1001,0),MATCH(COLUMNS($P$1006:Q1006),$P$1006:$S$1006,0)), HYPERLINK("#",""), HYPERLINK(CONCATENATE("#metadata!", ADDRESS(INDEX($K$2:$K$1001,MATCH(ROWS($I$2:I845),$I$2:$I$1001,0),0), INDEX($P$1004:$S$1004,1,MATCH(COLUMNS($P$1006:Q1006),$P$1006:$S$1006,0)))),"Fix")))</f>
        <v>0</v>
      </c>
      <c r="D845" s="3">
        <f>IF(OR(INDEX($J$2:$J$1001,MATCH(ROWS($I$2:I845),$I$2:$I$1001,0),1)&gt;=100000,INDEX($P$1005:$S$1005,1,MATCH(COLUMNS($P$1006:R1006),$P$1006:$S$1006,0))&gt;=100000), " ",IF(INDEX($P$2:$S$1001,MATCH(ROWS($I$2:I845),$I$2:$I$1001,0),MATCH(COLUMNS($P$1006:R1006),$P$1006:$S$1006,0)), HYPERLINK("#",""), HYPERLINK(CONCATENATE("#metadata!", ADDRESS(INDEX($K$2:$K$1001,MATCH(ROWS($I$2:I845),$I$2:$I$1001,0),0), INDEX($P$1004:$S$1004,1,MATCH(COLUMNS($P$1006:R1006),$P$1006:$S$1006,0)))),"Fix")))</f>
        <v>0</v>
      </c>
      <c r="E845" s="3">
        <f>IF(OR(INDEX($J$2:$J$1001,MATCH(ROWS($I$2:I845),$I$2:$I$1001,0),1)&gt;=100000,INDEX($P$1005:$S$1005,1,MATCH(COLUMNS($P$1006:S1006),$P$1006:$S$1006,0))&gt;=100000), " ",IF(INDEX($P$2:$S$1001,MATCH(ROWS($I$2:I845),$I$2:$I$1001,0),MATCH(COLUMNS($P$1006:S1006),$P$1006:$S$1006,0)), HYPERLINK("#",""), HYPERLINK(CONCATENATE("#metadata!", ADDRESS(INDEX($K$2:$K$1001,MATCH(ROWS($I$2:I845),$I$2:$I$1001,0),0), INDEX($P$1004:$S$1004,1,MATCH(COLUMNS($P$1006:S1006),$P$1006:$S$1006,0)))),"Fix")))</f>
        <v>0</v>
      </c>
      <c r="I845">
        <v>0</v>
      </c>
      <c r="J845">
        <v>0</v>
      </c>
      <c r="K845">
        <v>0</v>
      </c>
      <c r="L845">
        <f>IF(M845,TRUE,AND(P845:S845))</f>
        <v>0</v>
      </c>
      <c r="M845">
        <f>COUNTBLANK(metadata!B845:E845)=COLUMNS(metadata!B845:E845)</f>
        <v>0</v>
      </c>
      <c r="N845">
        <v>0</v>
      </c>
      <c r="P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Q845">
        <f>AND(IF(metadata!C845="",FALSE,TRUE),exact(metadata!C845,"other"))</f>
        <v>0</v>
      </c>
      <c r="R845">
        <f>AND(IF(metadata!D845="",FALSE,TRUE),exact(metadata!D845,"metagenome"))</f>
        <v>0</v>
      </c>
      <c r="S845">
        <f>AND(IF(metadata!E845="",FALSE,TRUE),exact(metadata!E845,"256318"))</f>
        <v>0</v>
      </c>
    </row>
    <row r="846" spans="1:19">
      <c r="A846" s="4">
        <f>IF(B846=" "," ",HYPERLINK(CONCATENATE("#metadata!",ADDRESS(INDEX($K$2:$K$1001,MATCH(ROWS($I$2:I846),$I$2:$I$1001,0),0),1)),INDEX($N$2:$N$1001,MATCH(ROWS($I$2:I846),$I$2:$I$1001,0),0)))</f>
        <v>0</v>
      </c>
      <c r="B846" s="3">
        <f>IF(OR(INDEX($J$2:$J$1001,MATCH(ROWS($I$2:I846),$I$2:$I$1001,0),1)&gt;=100000,INDEX($P$1005:$S$1005,1,MATCH(COLUMNS($P$1006:P1006),$P$1006:$S$1006,0))&gt;=100000), " ",IF(INDEX($P$2:$S$1001,MATCH(ROWS($I$2:I846),$I$2:$I$1001,0),MATCH(COLUMNS($P$1006:P1006),$P$1006:$S$1006,0)), HYPERLINK("#",""), HYPERLINK(CONCATENATE("#metadata!", ADDRESS(INDEX($K$2:$K$1001,MATCH(ROWS($I$2:I846),$I$2:$I$1001,0),0), INDEX($P$1004:$S$1004,1,MATCH(COLUMNS($P$1006:P1006),$P$1006:$S$1006,0)))),"Fix")))</f>
        <v>0</v>
      </c>
      <c r="C846" s="3">
        <f>IF(OR(INDEX($J$2:$J$1001,MATCH(ROWS($I$2:I846),$I$2:$I$1001,0),1)&gt;=100000,INDEX($P$1005:$S$1005,1,MATCH(COLUMNS($P$1006:Q1006),$P$1006:$S$1006,0))&gt;=100000), " ",IF(INDEX($P$2:$S$1001,MATCH(ROWS($I$2:I846),$I$2:$I$1001,0),MATCH(COLUMNS($P$1006:Q1006),$P$1006:$S$1006,0)), HYPERLINK("#",""), HYPERLINK(CONCATENATE("#metadata!", ADDRESS(INDEX($K$2:$K$1001,MATCH(ROWS($I$2:I846),$I$2:$I$1001,0),0), INDEX($P$1004:$S$1004,1,MATCH(COLUMNS($P$1006:Q1006),$P$1006:$S$1006,0)))),"Fix")))</f>
        <v>0</v>
      </c>
      <c r="D846" s="3">
        <f>IF(OR(INDEX($J$2:$J$1001,MATCH(ROWS($I$2:I846),$I$2:$I$1001,0),1)&gt;=100000,INDEX($P$1005:$S$1005,1,MATCH(COLUMNS($P$1006:R1006),$P$1006:$S$1006,0))&gt;=100000), " ",IF(INDEX($P$2:$S$1001,MATCH(ROWS($I$2:I846),$I$2:$I$1001,0),MATCH(COLUMNS($P$1006:R1006),$P$1006:$S$1006,0)), HYPERLINK("#",""), HYPERLINK(CONCATENATE("#metadata!", ADDRESS(INDEX($K$2:$K$1001,MATCH(ROWS($I$2:I846),$I$2:$I$1001,0),0), INDEX($P$1004:$S$1004,1,MATCH(COLUMNS($P$1006:R1006),$P$1006:$S$1006,0)))),"Fix")))</f>
        <v>0</v>
      </c>
      <c r="E846" s="3">
        <f>IF(OR(INDEX($J$2:$J$1001,MATCH(ROWS($I$2:I846),$I$2:$I$1001,0),1)&gt;=100000,INDEX($P$1005:$S$1005,1,MATCH(COLUMNS($P$1006:S1006),$P$1006:$S$1006,0))&gt;=100000), " ",IF(INDEX($P$2:$S$1001,MATCH(ROWS($I$2:I846),$I$2:$I$1001,0),MATCH(COLUMNS($P$1006:S1006),$P$1006:$S$1006,0)), HYPERLINK("#",""), HYPERLINK(CONCATENATE("#metadata!", ADDRESS(INDEX($K$2:$K$1001,MATCH(ROWS($I$2:I846),$I$2:$I$1001,0),0), INDEX($P$1004:$S$1004,1,MATCH(COLUMNS($P$1006:S1006),$P$1006:$S$1006,0)))),"Fix")))</f>
        <v>0</v>
      </c>
      <c r="I846">
        <v>0</v>
      </c>
      <c r="J846">
        <v>0</v>
      </c>
      <c r="K846">
        <v>0</v>
      </c>
      <c r="L846">
        <f>IF(M846,TRUE,AND(P846:S846))</f>
        <v>0</v>
      </c>
      <c r="M846">
        <f>COUNTBLANK(metadata!B846:E846)=COLUMNS(metadata!B846:E846)</f>
        <v>0</v>
      </c>
      <c r="N846">
        <v>0</v>
      </c>
      <c r="P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Q846">
        <f>AND(IF(metadata!C846="",FALSE,TRUE),exact(metadata!C846,"other"))</f>
        <v>0</v>
      </c>
      <c r="R846">
        <f>AND(IF(metadata!D846="",FALSE,TRUE),exact(metadata!D846,"metagenome"))</f>
        <v>0</v>
      </c>
      <c r="S846">
        <f>AND(IF(metadata!E846="",FALSE,TRUE),exact(metadata!E846,"256318"))</f>
        <v>0</v>
      </c>
    </row>
    <row r="847" spans="1:19">
      <c r="A847" s="4">
        <f>IF(B847=" "," ",HYPERLINK(CONCATENATE("#metadata!",ADDRESS(INDEX($K$2:$K$1001,MATCH(ROWS($I$2:I847),$I$2:$I$1001,0),0),1)),INDEX($N$2:$N$1001,MATCH(ROWS($I$2:I847),$I$2:$I$1001,0),0)))</f>
        <v>0</v>
      </c>
      <c r="B847" s="3">
        <f>IF(OR(INDEX($J$2:$J$1001,MATCH(ROWS($I$2:I847),$I$2:$I$1001,0),1)&gt;=100000,INDEX($P$1005:$S$1005,1,MATCH(COLUMNS($P$1006:P1006),$P$1006:$S$1006,0))&gt;=100000), " ",IF(INDEX($P$2:$S$1001,MATCH(ROWS($I$2:I847),$I$2:$I$1001,0),MATCH(COLUMNS($P$1006:P1006),$P$1006:$S$1006,0)), HYPERLINK("#",""), HYPERLINK(CONCATENATE("#metadata!", ADDRESS(INDEX($K$2:$K$1001,MATCH(ROWS($I$2:I847),$I$2:$I$1001,0),0), INDEX($P$1004:$S$1004,1,MATCH(COLUMNS($P$1006:P1006),$P$1006:$S$1006,0)))),"Fix")))</f>
        <v>0</v>
      </c>
      <c r="C847" s="3">
        <f>IF(OR(INDEX($J$2:$J$1001,MATCH(ROWS($I$2:I847),$I$2:$I$1001,0),1)&gt;=100000,INDEX($P$1005:$S$1005,1,MATCH(COLUMNS($P$1006:Q1006),$P$1006:$S$1006,0))&gt;=100000), " ",IF(INDEX($P$2:$S$1001,MATCH(ROWS($I$2:I847),$I$2:$I$1001,0),MATCH(COLUMNS($P$1006:Q1006),$P$1006:$S$1006,0)), HYPERLINK("#",""), HYPERLINK(CONCATENATE("#metadata!", ADDRESS(INDEX($K$2:$K$1001,MATCH(ROWS($I$2:I847),$I$2:$I$1001,0),0), INDEX($P$1004:$S$1004,1,MATCH(COLUMNS($P$1006:Q1006),$P$1006:$S$1006,0)))),"Fix")))</f>
        <v>0</v>
      </c>
      <c r="D847" s="3">
        <f>IF(OR(INDEX($J$2:$J$1001,MATCH(ROWS($I$2:I847),$I$2:$I$1001,0),1)&gt;=100000,INDEX($P$1005:$S$1005,1,MATCH(COLUMNS($P$1006:R1006),$P$1006:$S$1006,0))&gt;=100000), " ",IF(INDEX($P$2:$S$1001,MATCH(ROWS($I$2:I847),$I$2:$I$1001,0),MATCH(COLUMNS($P$1006:R1006),$P$1006:$S$1006,0)), HYPERLINK("#",""), HYPERLINK(CONCATENATE("#metadata!", ADDRESS(INDEX($K$2:$K$1001,MATCH(ROWS($I$2:I847),$I$2:$I$1001,0),0), INDEX($P$1004:$S$1004,1,MATCH(COLUMNS($P$1006:R1006),$P$1006:$S$1006,0)))),"Fix")))</f>
        <v>0</v>
      </c>
      <c r="E847" s="3">
        <f>IF(OR(INDEX($J$2:$J$1001,MATCH(ROWS($I$2:I847),$I$2:$I$1001,0),1)&gt;=100000,INDEX($P$1005:$S$1005,1,MATCH(COLUMNS($P$1006:S1006),$P$1006:$S$1006,0))&gt;=100000), " ",IF(INDEX($P$2:$S$1001,MATCH(ROWS($I$2:I847),$I$2:$I$1001,0),MATCH(COLUMNS($P$1006:S1006),$P$1006:$S$1006,0)), HYPERLINK("#",""), HYPERLINK(CONCATENATE("#metadata!", ADDRESS(INDEX($K$2:$K$1001,MATCH(ROWS($I$2:I847),$I$2:$I$1001,0),0), INDEX($P$1004:$S$1004,1,MATCH(COLUMNS($P$1006:S1006),$P$1006:$S$1006,0)))),"Fix")))</f>
        <v>0</v>
      </c>
      <c r="I847">
        <v>0</v>
      </c>
      <c r="J847">
        <v>0</v>
      </c>
      <c r="K847">
        <v>0</v>
      </c>
      <c r="L847">
        <f>IF(M847,TRUE,AND(P847:S847))</f>
        <v>0</v>
      </c>
      <c r="M847">
        <f>COUNTBLANK(metadata!B847:E847)=COLUMNS(metadata!B847:E847)</f>
        <v>0</v>
      </c>
      <c r="N847">
        <v>0</v>
      </c>
      <c r="P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Q847">
        <f>AND(IF(metadata!C847="",FALSE,TRUE),exact(metadata!C847,"other"))</f>
        <v>0</v>
      </c>
      <c r="R847">
        <f>AND(IF(metadata!D847="",FALSE,TRUE),exact(metadata!D847,"metagenome"))</f>
        <v>0</v>
      </c>
      <c r="S847">
        <f>AND(IF(metadata!E847="",FALSE,TRUE),exact(metadata!E847,"256318"))</f>
        <v>0</v>
      </c>
    </row>
    <row r="848" spans="1:19">
      <c r="A848" s="4">
        <f>IF(B848=" "," ",HYPERLINK(CONCATENATE("#metadata!",ADDRESS(INDEX($K$2:$K$1001,MATCH(ROWS($I$2:I848),$I$2:$I$1001,0),0),1)),INDEX($N$2:$N$1001,MATCH(ROWS($I$2:I848),$I$2:$I$1001,0),0)))</f>
        <v>0</v>
      </c>
      <c r="B848" s="3">
        <f>IF(OR(INDEX($J$2:$J$1001,MATCH(ROWS($I$2:I848),$I$2:$I$1001,0),1)&gt;=100000,INDEX($P$1005:$S$1005,1,MATCH(COLUMNS($P$1006:P1006),$P$1006:$S$1006,0))&gt;=100000), " ",IF(INDEX($P$2:$S$1001,MATCH(ROWS($I$2:I848),$I$2:$I$1001,0),MATCH(COLUMNS($P$1006:P1006),$P$1006:$S$1006,0)), HYPERLINK("#",""), HYPERLINK(CONCATENATE("#metadata!", ADDRESS(INDEX($K$2:$K$1001,MATCH(ROWS($I$2:I848),$I$2:$I$1001,0),0), INDEX($P$1004:$S$1004,1,MATCH(COLUMNS($P$1006:P1006),$P$1006:$S$1006,0)))),"Fix")))</f>
        <v>0</v>
      </c>
      <c r="C848" s="3">
        <f>IF(OR(INDEX($J$2:$J$1001,MATCH(ROWS($I$2:I848),$I$2:$I$1001,0),1)&gt;=100000,INDEX($P$1005:$S$1005,1,MATCH(COLUMNS($P$1006:Q1006),$P$1006:$S$1006,0))&gt;=100000), " ",IF(INDEX($P$2:$S$1001,MATCH(ROWS($I$2:I848),$I$2:$I$1001,0),MATCH(COLUMNS($P$1006:Q1006),$P$1006:$S$1006,0)), HYPERLINK("#",""), HYPERLINK(CONCATENATE("#metadata!", ADDRESS(INDEX($K$2:$K$1001,MATCH(ROWS($I$2:I848),$I$2:$I$1001,0),0), INDEX($P$1004:$S$1004,1,MATCH(COLUMNS($P$1006:Q1006),$P$1006:$S$1006,0)))),"Fix")))</f>
        <v>0</v>
      </c>
      <c r="D848" s="3">
        <f>IF(OR(INDEX($J$2:$J$1001,MATCH(ROWS($I$2:I848),$I$2:$I$1001,0),1)&gt;=100000,INDEX($P$1005:$S$1005,1,MATCH(COLUMNS($P$1006:R1006),$P$1006:$S$1006,0))&gt;=100000), " ",IF(INDEX($P$2:$S$1001,MATCH(ROWS($I$2:I848),$I$2:$I$1001,0),MATCH(COLUMNS($P$1006:R1006),$P$1006:$S$1006,0)), HYPERLINK("#",""), HYPERLINK(CONCATENATE("#metadata!", ADDRESS(INDEX($K$2:$K$1001,MATCH(ROWS($I$2:I848),$I$2:$I$1001,0),0), INDEX($P$1004:$S$1004,1,MATCH(COLUMNS($P$1006:R1006),$P$1006:$S$1006,0)))),"Fix")))</f>
        <v>0</v>
      </c>
      <c r="E848" s="3">
        <f>IF(OR(INDEX($J$2:$J$1001,MATCH(ROWS($I$2:I848),$I$2:$I$1001,0),1)&gt;=100000,INDEX($P$1005:$S$1005,1,MATCH(COLUMNS($P$1006:S1006),$P$1006:$S$1006,0))&gt;=100000), " ",IF(INDEX($P$2:$S$1001,MATCH(ROWS($I$2:I848),$I$2:$I$1001,0),MATCH(COLUMNS($P$1006:S1006),$P$1006:$S$1006,0)), HYPERLINK("#",""), HYPERLINK(CONCATENATE("#metadata!", ADDRESS(INDEX($K$2:$K$1001,MATCH(ROWS($I$2:I848),$I$2:$I$1001,0),0), INDEX($P$1004:$S$1004,1,MATCH(COLUMNS($P$1006:S1006),$P$1006:$S$1006,0)))),"Fix")))</f>
        <v>0</v>
      </c>
      <c r="I848">
        <v>0</v>
      </c>
      <c r="J848">
        <v>0</v>
      </c>
      <c r="K848">
        <v>0</v>
      </c>
      <c r="L848">
        <f>IF(M848,TRUE,AND(P848:S848))</f>
        <v>0</v>
      </c>
      <c r="M848">
        <f>COUNTBLANK(metadata!B848:E848)=COLUMNS(metadata!B848:E848)</f>
        <v>0</v>
      </c>
      <c r="N848">
        <v>0</v>
      </c>
      <c r="P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Q848">
        <f>AND(IF(metadata!C848="",FALSE,TRUE),exact(metadata!C848,"other"))</f>
        <v>0</v>
      </c>
      <c r="R848">
        <f>AND(IF(metadata!D848="",FALSE,TRUE),exact(metadata!D848,"metagenome"))</f>
        <v>0</v>
      </c>
      <c r="S848">
        <f>AND(IF(metadata!E848="",FALSE,TRUE),exact(metadata!E848,"256318"))</f>
        <v>0</v>
      </c>
    </row>
    <row r="849" spans="1:19">
      <c r="A849" s="4">
        <f>IF(B849=" "," ",HYPERLINK(CONCATENATE("#metadata!",ADDRESS(INDEX($K$2:$K$1001,MATCH(ROWS($I$2:I849),$I$2:$I$1001,0),0),1)),INDEX($N$2:$N$1001,MATCH(ROWS($I$2:I849),$I$2:$I$1001,0),0)))</f>
        <v>0</v>
      </c>
      <c r="B849" s="3">
        <f>IF(OR(INDEX($J$2:$J$1001,MATCH(ROWS($I$2:I849),$I$2:$I$1001,0),1)&gt;=100000,INDEX($P$1005:$S$1005,1,MATCH(COLUMNS($P$1006:P1006),$P$1006:$S$1006,0))&gt;=100000), " ",IF(INDEX($P$2:$S$1001,MATCH(ROWS($I$2:I849),$I$2:$I$1001,0),MATCH(COLUMNS($P$1006:P1006),$P$1006:$S$1006,0)), HYPERLINK("#",""), HYPERLINK(CONCATENATE("#metadata!", ADDRESS(INDEX($K$2:$K$1001,MATCH(ROWS($I$2:I849),$I$2:$I$1001,0),0), INDEX($P$1004:$S$1004,1,MATCH(COLUMNS($P$1006:P1006),$P$1006:$S$1006,0)))),"Fix")))</f>
        <v>0</v>
      </c>
      <c r="C849" s="3">
        <f>IF(OR(INDEX($J$2:$J$1001,MATCH(ROWS($I$2:I849),$I$2:$I$1001,0),1)&gt;=100000,INDEX($P$1005:$S$1005,1,MATCH(COLUMNS($P$1006:Q1006),$P$1006:$S$1006,0))&gt;=100000), " ",IF(INDEX($P$2:$S$1001,MATCH(ROWS($I$2:I849),$I$2:$I$1001,0),MATCH(COLUMNS($P$1006:Q1006),$P$1006:$S$1006,0)), HYPERLINK("#",""), HYPERLINK(CONCATENATE("#metadata!", ADDRESS(INDEX($K$2:$K$1001,MATCH(ROWS($I$2:I849),$I$2:$I$1001,0),0), INDEX($P$1004:$S$1004,1,MATCH(COLUMNS($P$1006:Q1006),$P$1006:$S$1006,0)))),"Fix")))</f>
        <v>0</v>
      </c>
      <c r="D849" s="3">
        <f>IF(OR(INDEX($J$2:$J$1001,MATCH(ROWS($I$2:I849),$I$2:$I$1001,0),1)&gt;=100000,INDEX($P$1005:$S$1005,1,MATCH(COLUMNS($P$1006:R1006),$P$1006:$S$1006,0))&gt;=100000), " ",IF(INDEX($P$2:$S$1001,MATCH(ROWS($I$2:I849),$I$2:$I$1001,0),MATCH(COLUMNS($P$1006:R1006),$P$1006:$S$1006,0)), HYPERLINK("#",""), HYPERLINK(CONCATENATE("#metadata!", ADDRESS(INDEX($K$2:$K$1001,MATCH(ROWS($I$2:I849),$I$2:$I$1001,0),0), INDEX($P$1004:$S$1004,1,MATCH(COLUMNS($P$1006:R1006),$P$1006:$S$1006,0)))),"Fix")))</f>
        <v>0</v>
      </c>
      <c r="E849" s="3">
        <f>IF(OR(INDEX($J$2:$J$1001,MATCH(ROWS($I$2:I849),$I$2:$I$1001,0),1)&gt;=100000,INDEX($P$1005:$S$1005,1,MATCH(COLUMNS($P$1006:S1006),$P$1006:$S$1006,0))&gt;=100000), " ",IF(INDEX($P$2:$S$1001,MATCH(ROWS($I$2:I849),$I$2:$I$1001,0),MATCH(COLUMNS($P$1006:S1006),$P$1006:$S$1006,0)), HYPERLINK("#",""), HYPERLINK(CONCATENATE("#metadata!", ADDRESS(INDEX($K$2:$K$1001,MATCH(ROWS($I$2:I849),$I$2:$I$1001,0),0), INDEX($P$1004:$S$1004,1,MATCH(COLUMNS($P$1006:S1006),$P$1006:$S$1006,0)))),"Fix")))</f>
        <v>0</v>
      </c>
      <c r="I849">
        <v>0</v>
      </c>
      <c r="J849">
        <v>0</v>
      </c>
      <c r="K849">
        <v>0</v>
      </c>
      <c r="L849">
        <f>IF(M849,TRUE,AND(P849:S849))</f>
        <v>0</v>
      </c>
      <c r="M849">
        <f>COUNTBLANK(metadata!B849:E849)=COLUMNS(metadata!B849:E849)</f>
        <v>0</v>
      </c>
      <c r="N849">
        <v>0</v>
      </c>
      <c r="P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Q849">
        <f>AND(IF(metadata!C849="",FALSE,TRUE),exact(metadata!C849,"other"))</f>
        <v>0</v>
      </c>
      <c r="R849">
        <f>AND(IF(metadata!D849="",FALSE,TRUE),exact(metadata!D849,"metagenome"))</f>
        <v>0</v>
      </c>
      <c r="S849">
        <f>AND(IF(metadata!E849="",FALSE,TRUE),exact(metadata!E849,"256318"))</f>
        <v>0</v>
      </c>
    </row>
    <row r="850" spans="1:19">
      <c r="A850" s="4">
        <f>IF(B850=" "," ",HYPERLINK(CONCATENATE("#metadata!",ADDRESS(INDEX($K$2:$K$1001,MATCH(ROWS($I$2:I850),$I$2:$I$1001,0),0),1)),INDEX($N$2:$N$1001,MATCH(ROWS($I$2:I850),$I$2:$I$1001,0),0)))</f>
        <v>0</v>
      </c>
      <c r="B850" s="3">
        <f>IF(OR(INDEX($J$2:$J$1001,MATCH(ROWS($I$2:I850),$I$2:$I$1001,0),1)&gt;=100000,INDEX($P$1005:$S$1005,1,MATCH(COLUMNS($P$1006:P1006),$P$1006:$S$1006,0))&gt;=100000), " ",IF(INDEX($P$2:$S$1001,MATCH(ROWS($I$2:I850),$I$2:$I$1001,0),MATCH(COLUMNS($P$1006:P1006),$P$1006:$S$1006,0)), HYPERLINK("#",""), HYPERLINK(CONCATENATE("#metadata!", ADDRESS(INDEX($K$2:$K$1001,MATCH(ROWS($I$2:I850),$I$2:$I$1001,0),0), INDEX($P$1004:$S$1004,1,MATCH(COLUMNS($P$1006:P1006),$P$1006:$S$1006,0)))),"Fix")))</f>
        <v>0</v>
      </c>
      <c r="C850" s="3">
        <f>IF(OR(INDEX($J$2:$J$1001,MATCH(ROWS($I$2:I850),$I$2:$I$1001,0),1)&gt;=100000,INDEX($P$1005:$S$1005,1,MATCH(COLUMNS($P$1006:Q1006),$P$1006:$S$1006,0))&gt;=100000), " ",IF(INDEX($P$2:$S$1001,MATCH(ROWS($I$2:I850),$I$2:$I$1001,0),MATCH(COLUMNS($P$1006:Q1006),$P$1006:$S$1006,0)), HYPERLINK("#",""), HYPERLINK(CONCATENATE("#metadata!", ADDRESS(INDEX($K$2:$K$1001,MATCH(ROWS($I$2:I850),$I$2:$I$1001,0),0), INDEX($P$1004:$S$1004,1,MATCH(COLUMNS($P$1006:Q1006),$P$1006:$S$1006,0)))),"Fix")))</f>
        <v>0</v>
      </c>
      <c r="D850" s="3">
        <f>IF(OR(INDEX($J$2:$J$1001,MATCH(ROWS($I$2:I850),$I$2:$I$1001,0),1)&gt;=100000,INDEX($P$1005:$S$1005,1,MATCH(COLUMNS($P$1006:R1006),$P$1006:$S$1006,0))&gt;=100000), " ",IF(INDEX($P$2:$S$1001,MATCH(ROWS($I$2:I850),$I$2:$I$1001,0),MATCH(COLUMNS($P$1006:R1006),$P$1006:$S$1006,0)), HYPERLINK("#",""), HYPERLINK(CONCATENATE("#metadata!", ADDRESS(INDEX($K$2:$K$1001,MATCH(ROWS($I$2:I850),$I$2:$I$1001,0),0), INDEX($P$1004:$S$1004,1,MATCH(COLUMNS($P$1006:R1006),$P$1006:$S$1006,0)))),"Fix")))</f>
        <v>0</v>
      </c>
      <c r="E850" s="3">
        <f>IF(OR(INDEX($J$2:$J$1001,MATCH(ROWS($I$2:I850),$I$2:$I$1001,0),1)&gt;=100000,INDEX($P$1005:$S$1005,1,MATCH(COLUMNS($P$1006:S1006),$P$1006:$S$1006,0))&gt;=100000), " ",IF(INDEX($P$2:$S$1001,MATCH(ROWS($I$2:I850),$I$2:$I$1001,0),MATCH(COLUMNS($P$1006:S1006),$P$1006:$S$1006,0)), HYPERLINK("#",""), HYPERLINK(CONCATENATE("#metadata!", ADDRESS(INDEX($K$2:$K$1001,MATCH(ROWS($I$2:I850),$I$2:$I$1001,0),0), INDEX($P$1004:$S$1004,1,MATCH(COLUMNS($P$1006:S1006),$P$1006:$S$1006,0)))),"Fix")))</f>
        <v>0</v>
      </c>
      <c r="I850">
        <v>0</v>
      </c>
      <c r="J850">
        <v>0</v>
      </c>
      <c r="K850">
        <v>0</v>
      </c>
      <c r="L850">
        <f>IF(M850,TRUE,AND(P850:S850))</f>
        <v>0</v>
      </c>
      <c r="M850">
        <f>COUNTBLANK(metadata!B850:E850)=COLUMNS(metadata!B850:E850)</f>
        <v>0</v>
      </c>
      <c r="N850">
        <v>0</v>
      </c>
      <c r="P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Q850">
        <f>AND(IF(metadata!C850="",FALSE,TRUE),exact(metadata!C850,"other"))</f>
        <v>0</v>
      </c>
      <c r="R850">
        <f>AND(IF(metadata!D850="",FALSE,TRUE),exact(metadata!D850,"metagenome"))</f>
        <v>0</v>
      </c>
      <c r="S850">
        <f>AND(IF(metadata!E850="",FALSE,TRUE),exact(metadata!E850,"256318"))</f>
        <v>0</v>
      </c>
    </row>
    <row r="851" spans="1:19">
      <c r="A851" s="4">
        <f>IF(B851=" "," ",HYPERLINK(CONCATENATE("#metadata!",ADDRESS(INDEX($K$2:$K$1001,MATCH(ROWS($I$2:I851),$I$2:$I$1001,0),0),1)),INDEX($N$2:$N$1001,MATCH(ROWS($I$2:I851),$I$2:$I$1001,0),0)))</f>
        <v>0</v>
      </c>
      <c r="B851" s="3">
        <f>IF(OR(INDEX($J$2:$J$1001,MATCH(ROWS($I$2:I851),$I$2:$I$1001,0),1)&gt;=100000,INDEX($P$1005:$S$1005,1,MATCH(COLUMNS($P$1006:P1006),$P$1006:$S$1006,0))&gt;=100000), " ",IF(INDEX($P$2:$S$1001,MATCH(ROWS($I$2:I851),$I$2:$I$1001,0),MATCH(COLUMNS($P$1006:P1006),$P$1006:$S$1006,0)), HYPERLINK("#",""), HYPERLINK(CONCATENATE("#metadata!", ADDRESS(INDEX($K$2:$K$1001,MATCH(ROWS($I$2:I851),$I$2:$I$1001,0),0), INDEX($P$1004:$S$1004,1,MATCH(COLUMNS($P$1006:P1006),$P$1006:$S$1006,0)))),"Fix")))</f>
        <v>0</v>
      </c>
      <c r="C851" s="3">
        <f>IF(OR(INDEX($J$2:$J$1001,MATCH(ROWS($I$2:I851),$I$2:$I$1001,0),1)&gt;=100000,INDEX($P$1005:$S$1005,1,MATCH(COLUMNS($P$1006:Q1006),$P$1006:$S$1006,0))&gt;=100000), " ",IF(INDEX($P$2:$S$1001,MATCH(ROWS($I$2:I851),$I$2:$I$1001,0),MATCH(COLUMNS($P$1006:Q1006),$P$1006:$S$1006,0)), HYPERLINK("#",""), HYPERLINK(CONCATENATE("#metadata!", ADDRESS(INDEX($K$2:$K$1001,MATCH(ROWS($I$2:I851),$I$2:$I$1001,0),0), INDEX($P$1004:$S$1004,1,MATCH(COLUMNS($P$1006:Q1006),$P$1006:$S$1006,0)))),"Fix")))</f>
        <v>0</v>
      </c>
      <c r="D851" s="3">
        <f>IF(OR(INDEX($J$2:$J$1001,MATCH(ROWS($I$2:I851),$I$2:$I$1001,0),1)&gt;=100000,INDEX($P$1005:$S$1005,1,MATCH(COLUMNS($P$1006:R1006),$P$1006:$S$1006,0))&gt;=100000), " ",IF(INDEX($P$2:$S$1001,MATCH(ROWS($I$2:I851),$I$2:$I$1001,0),MATCH(COLUMNS($P$1006:R1006),$P$1006:$S$1006,0)), HYPERLINK("#",""), HYPERLINK(CONCATENATE("#metadata!", ADDRESS(INDEX($K$2:$K$1001,MATCH(ROWS($I$2:I851),$I$2:$I$1001,0),0), INDEX($P$1004:$S$1004,1,MATCH(COLUMNS($P$1006:R1006),$P$1006:$S$1006,0)))),"Fix")))</f>
        <v>0</v>
      </c>
      <c r="E851" s="3">
        <f>IF(OR(INDEX($J$2:$J$1001,MATCH(ROWS($I$2:I851),$I$2:$I$1001,0),1)&gt;=100000,INDEX($P$1005:$S$1005,1,MATCH(COLUMNS($P$1006:S1006),$P$1006:$S$1006,0))&gt;=100000), " ",IF(INDEX($P$2:$S$1001,MATCH(ROWS($I$2:I851),$I$2:$I$1001,0),MATCH(COLUMNS($P$1006:S1006),$P$1006:$S$1006,0)), HYPERLINK("#",""), HYPERLINK(CONCATENATE("#metadata!", ADDRESS(INDEX($K$2:$K$1001,MATCH(ROWS($I$2:I851),$I$2:$I$1001,0),0), INDEX($P$1004:$S$1004,1,MATCH(COLUMNS($P$1006:S1006),$P$1006:$S$1006,0)))),"Fix")))</f>
        <v>0</v>
      </c>
      <c r="I851">
        <v>0</v>
      </c>
      <c r="J851">
        <v>0</v>
      </c>
      <c r="K851">
        <v>0</v>
      </c>
      <c r="L851">
        <f>IF(M851,TRUE,AND(P851:S851))</f>
        <v>0</v>
      </c>
      <c r="M851">
        <f>COUNTBLANK(metadata!B851:E851)=COLUMNS(metadata!B851:E851)</f>
        <v>0</v>
      </c>
      <c r="N851">
        <v>0</v>
      </c>
      <c r="P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Q851">
        <f>AND(IF(metadata!C851="",FALSE,TRUE),exact(metadata!C851,"other"))</f>
        <v>0</v>
      </c>
      <c r="R851">
        <f>AND(IF(metadata!D851="",FALSE,TRUE),exact(metadata!D851,"metagenome"))</f>
        <v>0</v>
      </c>
      <c r="S851">
        <f>AND(IF(metadata!E851="",FALSE,TRUE),exact(metadata!E851,"256318"))</f>
        <v>0</v>
      </c>
    </row>
    <row r="852" spans="1:19">
      <c r="A852" s="4">
        <f>IF(B852=" "," ",HYPERLINK(CONCATENATE("#metadata!",ADDRESS(INDEX($K$2:$K$1001,MATCH(ROWS($I$2:I852),$I$2:$I$1001,0),0),1)),INDEX($N$2:$N$1001,MATCH(ROWS($I$2:I852),$I$2:$I$1001,0),0)))</f>
        <v>0</v>
      </c>
      <c r="B852" s="3">
        <f>IF(OR(INDEX($J$2:$J$1001,MATCH(ROWS($I$2:I852),$I$2:$I$1001,0),1)&gt;=100000,INDEX($P$1005:$S$1005,1,MATCH(COLUMNS($P$1006:P1006),$P$1006:$S$1006,0))&gt;=100000), " ",IF(INDEX($P$2:$S$1001,MATCH(ROWS($I$2:I852),$I$2:$I$1001,0),MATCH(COLUMNS($P$1006:P1006),$P$1006:$S$1006,0)), HYPERLINK("#",""), HYPERLINK(CONCATENATE("#metadata!", ADDRESS(INDEX($K$2:$K$1001,MATCH(ROWS($I$2:I852),$I$2:$I$1001,0),0), INDEX($P$1004:$S$1004,1,MATCH(COLUMNS($P$1006:P1006),$P$1006:$S$1006,0)))),"Fix")))</f>
        <v>0</v>
      </c>
      <c r="C852" s="3">
        <f>IF(OR(INDEX($J$2:$J$1001,MATCH(ROWS($I$2:I852),$I$2:$I$1001,0),1)&gt;=100000,INDEX($P$1005:$S$1005,1,MATCH(COLUMNS($P$1006:Q1006),$P$1006:$S$1006,0))&gt;=100000), " ",IF(INDEX($P$2:$S$1001,MATCH(ROWS($I$2:I852),$I$2:$I$1001,0),MATCH(COLUMNS($P$1006:Q1006),$P$1006:$S$1006,0)), HYPERLINK("#",""), HYPERLINK(CONCATENATE("#metadata!", ADDRESS(INDEX($K$2:$K$1001,MATCH(ROWS($I$2:I852),$I$2:$I$1001,0),0), INDEX($P$1004:$S$1004,1,MATCH(COLUMNS($P$1006:Q1006),$P$1006:$S$1006,0)))),"Fix")))</f>
        <v>0</v>
      </c>
      <c r="D852" s="3">
        <f>IF(OR(INDEX($J$2:$J$1001,MATCH(ROWS($I$2:I852),$I$2:$I$1001,0),1)&gt;=100000,INDEX($P$1005:$S$1005,1,MATCH(COLUMNS($P$1006:R1006),$P$1006:$S$1006,0))&gt;=100000), " ",IF(INDEX($P$2:$S$1001,MATCH(ROWS($I$2:I852),$I$2:$I$1001,0),MATCH(COLUMNS($P$1006:R1006),$P$1006:$S$1006,0)), HYPERLINK("#",""), HYPERLINK(CONCATENATE("#metadata!", ADDRESS(INDEX($K$2:$K$1001,MATCH(ROWS($I$2:I852),$I$2:$I$1001,0),0), INDEX($P$1004:$S$1004,1,MATCH(COLUMNS($P$1006:R1006),$P$1006:$S$1006,0)))),"Fix")))</f>
        <v>0</v>
      </c>
      <c r="E852" s="3">
        <f>IF(OR(INDEX($J$2:$J$1001,MATCH(ROWS($I$2:I852),$I$2:$I$1001,0),1)&gt;=100000,INDEX($P$1005:$S$1005,1,MATCH(COLUMNS($P$1006:S1006),$P$1006:$S$1006,0))&gt;=100000), " ",IF(INDEX($P$2:$S$1001,MATCH(ROWS($I$2:I852),$I$2:$I$1001,0),MATCH(COLUMNS($P$1006:S1006),$P$1006:$S$1006,0)), HYPERLINK("#",""), HYPERLINK(CONCATENATE("#metadata!", ADDRESS(INDEX($K$2:$K$1001,MATCH(ROWS($I$2:I852),$I$2:$I$1001,0),0), INDEX($P$1004:$S$1004,1,MATCH(COLUMNS($P$1006:S1006),$P$1006:$S$1006,0)))),"Fix")))</f>
        <v>0</v>
      </c>
      <c r="I852">
        <v>0</v>
      </c>
      <c r="J852">
        <v>0</v>
      </c>
      <c r="K852">
        <v>0</v>
      </c>
      <c r="L852">
        <f>IF(M852,TRUE,AND(P852:S852))</f>
        <v>0</v>
      </c>
      <c r="M852">
        <f>COUNTBLANK(metadata!B852:E852)=COLUMNS(metadata!B852:E852)</f>
        <v>0</v>
      </c>
      <c r="N852">
        <v>0</v>
      </c>
      <c r="P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Q852">
        <f>AND(IF(metadata!C852="",FALSE,TRUE),exact(metadata!C852,"other"))</f>
        <v>0</v>
      </c>
      <c r="R852">
        <f>AND(IF(metadata!D852="",FALSE,TRUE),exact(metadata!D852,"metagenome"))</f>
        <v>0</v>
      </c>
      <c r="S852">
        <f>AND(IF(metadata!E852="",FALSE,TRUE),exact(metadata!E852,"256318"))</f>
        <v>0</v>
      </c>
    </row>
    <row r="853" spans="1:19">
      <c r="A853" s="4">
        <f>IF(B853=" "," ",HYPERLINK(CONCATENATE("#metadata!",ADDRESS(INDEX($K$2:$K$1001,MATCH(ROWS($I$2:I853),$I$2:$I$1001,0),0),1)),INDEX($N$2:$N$1001,MATCH(ROWS($I$2:I853),$I$2:$I$1001,0),0)))</f>
        <v>0</v>
      </c>
      <c r="B853" s="3">
        <f>IF(OR(INDEX($J$2:$J$1001,MATCH(ROWS($I$2:I853),$I$2:$I$1001,0),1)&gt;=100000,INDEX($P$1005:$S$1005,1,MATCH(COLUMNS($P$1006:P1006),$P$1006:$S$1006,0))&gt;=100000), " ",IF(INDEX($P$2:$S$1001,MATCH(ROWS($I$2:I853),$I$2:$I$1001,0),MATCH(COLUMNS($P$1006:P1006),$P$1006:$S$1006,0)), HYPERLINK("#",""), HYPERLINK(CONCATENATE("#metadata!", ADDRESS(INDEX($K$2:$K$1001,MATCH(ROWS($I$2:I853),$I$2:$I$1001,0),0), INDEX($P$1004:$S$1004,1,MATCH(COLUMNS($P$1006:P1006),$P$1006:$S$1006,0)))),"Fix")))</f>
        <v>0</v>
      </c>
      <c r="C853" s="3">
        <f>IF(OR(INDEX($J$2:$J$1001,MATCH(ROWS($I$2:I853),$I$2:$I$1001,0),1)&gt;=100000,INDEX($P$1005:$S$1005,1,MATCH(COLUMNS($P$1006:Q1006),$P$1006:$S$1006,0))&gt;=100000), " ",IF(INDEX($P$2:$S$1001,MATCH(ROWS($I$2:I853),$I$2:$I$1001,0),MATCH(COLUMNS($P$1006:Q1006),$P$1006:$S$1006,0)), HYPERLINK("#",""), HYPERLINK(CONCATENATE("#metadata!", ADDRESS(INDEX($K$2:$K$1001,MATCH(ROWS($I$2:I853),$I$2:$I$1001,0),0), INDEX($P$1004:$S$1004,1,MATCH(COLUMNS($P$1006:Q1006),$P$1006:$S$1006,0)))),"Fix")))</f>
        <v>0</v>
      </c>
      <c r="D853" s="3">
        <f>IF(OR(INDEX($J$2:$J$1001,MATCH(ROWS($I$2:I853),$I$2:$I$1001,0),1)&gt;=100000,INDEX($P$1005:$S$1005,1,MATCH(COLUMNS($P$1006:R1006),$P$1006:$S$1006,0))&gt;=100000), " ",IF(INDEX($P$2:$S$1001,MATCH(ROWS($I$2:I853),$I$2:$I$1001,0),MATCH(COLUMNS($P$1006:R1006),$P$1006:$S$1006,0)), HYPERLINK("#",""), HYPERLINK(CONCATENATE("#metadata!", ADDRESS(INDEX($K$2:$K$1001,MATCH(ROWS($I$2:I853),$I$2:$I$1001,0),0), INDEX($P$1004:$S$1004,1,MATCH(COLUMNS($P$1006:R1006),$P$1006:$S$1006,0)))),"Fix")))</f>
        <v>0</v>
      </c>
      <c r="E853" s="3">
        <f>IF(OR(INDEX($J$2:$J$1001,MATCH(ROWS($I$2:I853),$I$2:$I$1001,0),1)&gt;=100000,INDEX($P$1005:$S$1005,1,MATCH(COLUMNS($P$1006:S1006),$P$1006:$S$1006,0))&gt;=100000), " ",IF(INDEX($P$2:$S$1001,MATCH(ROWS($I$2:I853),$I$2:$I$1001,0),MATCH(COLUMNS($P$1006:S1006),$P$1006:$S$1006,0)), HYPERLINK("#",""), HYPERLINK(CONCATENATE("#metadata!", ADDRESS(INDEX($K$2:$K$1001,MATCH(ROWS($I$2:I853),$I$2:$I$1001,0),0), INDEX($P$1004:$S$1004,1,MATCH(COLUMNS($P$1006:S1006),$P$1006:$S$1006,0)))),"Fix")))</f>
        <v>0</v>
      </c>
      <c r="I853">
        <v>0</v>
      </c>
      <c r="J853">
        <v>0</v>
      </c>
      <c r="K853">
        <v>0</v>
      </c>
      <c r="L853">
        <f>IF(M853,TRUE,AND(P853:S853))</f>
        <v>0</v>
      </c>
      <c r="M853">
        <f>COUNTBLANK(metadata!B853:E853)=COLUMNS(metadata!B853:E853)</f>
        <v>0</v>
      </c>
      <c r="N853">
        <v>0</v>
      </c>
      <c r="P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Q853">
        <f>AND(IF(metadata!C853="",FALSE,TRUE),exact(metadata!C853,"other"))</f>
        <v>0</v>
      </c>
      <c r="R853">
        <f>AND(IF(metadata!D853="",FALSE,TRUE),exact(metadata!D853,"metagenome"))</f>
        <v>0</v>
      </c>
      <c r="S853">
        <f>AND(IF(metadata!E853="",FALSE,TRUE),exact(metadata!E853,"256318"))</f>
        <v>0</v>
      </c>
    </row>
    <row r="854" spans="1:19">
      <c r="A854" s="4">
        <f>IF(B854=" "," ",HYPERLINK(CONCATENATE("#metadata!",ADDRESS(INDEX($K$2:$K$1001,MATCH(ROWS($I$2:I854),$I$2:$I$1001,0),0),1)),INDEX($N$2:$N$1001,MATCH(ROWS($I$2:I854),$I$2:$I$1001,0),0)))</f>
        <v>0</v>
      </c>
      <c r="B854" s="3">
        <f>IF(OR(INDEX($J$2:$J$1001,MATCH(ROWS($I$2:I854),$I$2:$I$1001,0),1)&gt;=100000,INDEX($P$1005:$S$1005,1,MATCH(COLUMNS($P$1006:P1006),$P$1006:$S$1006,0))&gt;=100000), " ",IF(INDEX($P$2:$S$1001,MATCH(ROWS($I$2:I854),$I$2:$I$1001,0),MATCH(COLUMNS($P$1006:P1006),$P$1006:$S$1006,0)), HYPERLINK("#",""), HYPERLINK(CONCATENATE("#metadata!", ADDRESS(INDEX($K$2:$K$1001,MATCH(ROWS($I$2:I854),$I$2:$I$1001,0),0), INDEX($P$1004:$S$1004,1,MATCH(COLUMNS($P$1006:P1006),$P$1006:$S$1006,0)))),"Fix")))</f>
        <v>0</v>
      </c>
      <c r="C854" s="3">
        <f>IF(OR(INDEX($J$2:$J$1001,MATCH(ROWS($I$2:I854),$I$2:$I$1001,0),1)&gt;=100000,INDEX($P$1005:$S$1005,1,MATCH(COLUMNS($P$1006:Q1006),$P$1006:$S$1006,0))&gt;=100000), " ",IF(INDEX($P$2:$S$1001,MATCH(ROWS($I$2:I854),$I$2:$I$1001,0),MATCH(COLUMNS($P$1006:Q1006),$P$1006:$S$1006,0)), HYPERLINK("#",""), HYPERLINK(CONCATENATE("#metadata!", ADDRESS(INDEX($K$2:$K$1001,MATCH(ROWS($I$2:I854),$I$2:$I$1001,0),0), INDEX($P$1004:$S$1004,1,MATCH(COLUMNS($P$1006:Q1006),$P$1006:$S$1006,0)))),"Fix")))</f>
        <v>0</v>
      </c>
      <c r="D854" s="3">
        <f>IF(OR(INDEX($J$2:$J$1001,MATCH(ROWS($I$2:I854),$I$2:$I$1001,0),1)&gt;=100000,INDEX($P$1005:$S$1005,1,MATCH(COLUMNS($P$1006:R1006),$P$1006:$S$1006,0))&gt;=100000), " ",IF(INDEX($P$2:$S$1001,MATCH(ROWS($I$2:I854),$I$2:$I$1001,0),MATCH(COLUMNS($P$1006:R1006),$P$1006:$S$1006,0)), HYPERLINK("#",""), HYPERLINK(CONCATENATE("#metadata!", ADDRESS(INDEX($K$2:$K$1001,MATCH(ROWS($I$2:I854),$I$2:$I$1001,0),0), INDEX($P$1004:$S$1004,1,MATCH(COLUMNS($P$1006:R1006),$P$1006:$S$1006,0)))),"Fix")))</f>
        <v>0</v>
      </c>
      <c r="E854" s="3">
        <f>IF(OR(INDEX($J$2:$J$1001,MATCH(ROWS($I$2:I854),$I$2:$I$1001,0),1)&gt;=100000,INDEX($P$1005:$S$1005,1,MATCH(COLUMNS($P$1006:S1006),$P$1006:$S$1006,0))&gt;=100000), " ",IF(INDEX($P$2:$S$1001,MATCH(ROWS($I$2:I854),$I$2:$I$1001,0),MATCH(COLUMNS($P$1006:S1006),$P$1006:$S$1006,0)), HYPERLINK("#",""), HYPERLINK(CONCATENATE("#metadata!", ADDRESS(INDEX($K$2:$K$1001,MATCH(ROWS($I$2:I854),$I$2:$I$1001,0),0), INDEX($P$1004:$S$1004,1,MATCH(COLUMNS($P$1006:S1006),$P$1006:$S$1006,0)))),"Fix")))</f>
        <v>0</v>
      </c>
      <c r="I854">
        <v>0</v>
      </c>
      <c r="J854">
        <v>0</v>
      </c>
      <c r="K854">
        <v>0</v>
      </c>
      <c r="L854">
        <f>IF(M854,TRUE,AND(P854:S854))</f>
        <v>0</v>
      </c>
      <c r="M854">
        <f>COUNTBLANK(metadata!B854:E854)=COLUMNS(metadata!B854:E854)</f>
        <v>0</v>
      </c>
      <c r="N854">
        <v>0</v>
      </c>
      <c r="P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Q854">
        <f>AND(IF(metadata!C854="",FALSE,TRUE),exact(metadata!C854,"other"))</f>
        <v>0</v>
      </c>
      <c r="R854">
        <f>AND(IF(metadata!D854="",FALSE,TRUE),exact(metadata!D854,"metagenome"))</f>
        <v>0</v>
      </c>
      <c r="S854">
        <f>AND(IF(metadata!E854="",FALSE,TRUE),exact(metadata!E854,"256318"))</f>
        <v>0</v>
      </c>
    </row>
    <row r="855" spans="1:19">
      <c r="A855" s="4">
        <f>IF(B855=" "," ",HYPERLINK(CONCATENATE("#metadata!",ADDRESS(INDEX($K$2:$K$1001,MATCH(ROWS($I$2:I855),$I$2:$I$1001,0),0),1)),INDEX($N$2:$N$1001,MATCH(ROWS($I$2:I855),$I$2:$I$1001,0),0)))</f>
        <v>0</v>
      </c>
      <c r="B855" s="3">
        <f>IF(OR(INDEX($J$2:$J$1001,MATCH(ROWS($I$2:I855),$I$2:$I$1001,0),1)&gt;=100000,INDEX($P$1005:$S$1005,1,MATCH(COLUMNS($P$1006:P1006),$P$1006:$S$1006,0))&gt;=100000), " ",IF(INDEX($P$2:$S$1001,MATCH(ROWS($I$2:I855),$I$2:$I$1001,0),MATCH(COLUMNS($P$1006:P1006),$P$1006:$S$1006,0)), HYPERLINK("#",""), HYPERLINK(CONCATENATE("#metadata!", ADDRESS(INDEX($K$2:$K$1001,MATCH(ROWS($I$2:I855),$I$2:$I$1001,0),0), INDEX($P$1004:$S$1004,1,MATCH(COLUMNS($P$1006:P1006),$P$1006:$S$1006,0)))),"Fix")))</f>
        <v>0</v>
      </c>
      <c r="C855" s="3">
        <f>IF(OR(INDEX($J$2:$J$1001,MATCH(ROWS($I$2:I855),$I$2:$I$1001,0),1)&gt;=100000,INDEX($P$1005:$S$1005,1,MATCH(COLUMNS($P$1006:Q1006),$P$1006:$S$1006,0))&gt;=100000), " ",IF(INDEX($P$2:$S$1001,MATCH(ROWS($I$2:I855),$I$2:$I$1001,0),MATCH(COLUMNS($P$1006:Q1006),$P$1006:$S$1006,0)), HYPERLINK("#",""), HYPERLINK(CONCATENATE("#metadata!", ADDRESS(INDEX($K$2:$K$1001,MATCH(ROWS($I$2:I855),$I$2:$I$1001,0),0), INDEX($P$1004:$S$1004,1,MATCH(COLUMNS($P$1006:Q1006),$P$1006:$S$1006,0)))),"Fix")))</f>
        <v>0</v>
      </c>
      <c r="D855" s="3">
        <f>IF(OR(INDEX($J$2:$J$1001,MATCH(ROWS($I$2:I855),$I$2:$I$1001,0),1)&gt;=100000,INDEX($P$1005:$S$1005,1,MATCH(COLUMNS($P$1006:R1006),$P$1006:$S$1006,0))&gt;=100000), " ",IF(INDEX($P$2:$S$1001,MATCH(ROWS($I$2:I855),$I$2:$I$1001,0),MATCH(COLUMNS($P$1006:R1006),$P$1006:$S$1006,0)), HYPERLINK("#",""), HYPERLINK(CONCATENATE("#metadata!", ADDRESS(INDEX($K$2:$K$1001,MATCH(ROWS($I$2:I855),$I$2:$I$1001,0),0), INDEX($P$1004:$S$1004,1,MATCH(COLUMNS($P$1006:R1006),$P$1006:$S$1006,0)))),"Fix")))</f>
        <v>0</v>
      </c>
      <c r="E855" s="3">
        <f>IF(OR(INDEX($J$2:$J$1001,MATCH(ROWS($I$2:I855),$I$2:$I$1001,0),1)&gt;=100000,INDEX($P$1005:$S$1005,1,MATCH(COLUMNS($P$1006:S1006),$P$1006:$S$1006,0))&gt;=100000), " ",IF(INDEX($P$2:$S$1001,MATCH(ROWS($I$2:I855),$I$2:$I$1001,0),MATCH(COLUMNS($P$1006:S1006),$P$1006:$S$1006,0)), HYPERLINK("#",""), HYPERLINK(CONCATENATE("#metadata!", ADDRESS(INDEX($K$2:$K$1001,MATCH(ROWS($I$2:I855),$I$2:$I$1001,0),0), INDEX($P$1004:$S$1004,1,MATCH(COLUMNS($P$1006:S1006),$P$1006:$S$1006,0)))),"Fix")))</f>
        <v>0</v>
      </c>
      <c r="I855">
        <v>0</v>
      </c>
      <c r="J855">
        <v>0</v>
      </c>
      <c r="K855">
        <v>0</v>
      </c>
      <c r="L855">
        <f>IF(M855,TRUE,AND(P855:S855))</f>
        <v>0</v>
      </c>
      <c r="M855">
        <f>COUNTBLANK(metadata!B855:E855)=COLUMNS(metadata!B855:E855)</f>
        <v>0</v>
      </c>
      <c r="N855">
        <v>0</v>
      </c>
      <c r="P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Q855">
        <f>AND(IF(metadata!C855="",FALSE,TRUE),exact(metadata!C855,"other"))</f>
        <v>0</v>
      </c>
      <c r="R855">
        <f>AND(IF(metadata!D855="",FALSE,TRUE),exact(metadata!D855,"metagenome"))</f>
        <v>0</v>
      </c>
      <c r="S855">
        <f>AND(IF(metadata!E855="",FALSE,TRUE),exact(metadata!E855,"256318"))</f>
        <v>0</v>
      </c>
    </row>
    <row r="856" spans="1:19">
      <c r="A856" s="4">
        <f>IF(B856=" "," ",HYPERLINK(CONCATENATE("#metadata!",ADDRESS(INDEX($K$2:$K$1001,MATCH(ROWS($I$2:I856),$I$2:$I$1001,0),0),1)),INDEX($N$2:$N$1001,MATCH(ROWS($I$2:I856),$I$2:$I$1001,0),0)))</f>
        <v>0</v>
      </c>
      <c r="B856" s="3">
        <f>IF(OR(INDEX($J$2:$J$1001,MATCH(ROWS($I$2:I856),$I$2:$I$1001,0),1)&gt;=100000,INDEX($P$1005:$S$1005,1,MATCH(COLUMNS($P$1006:P1006),$P$1006:$S$1006,0))&gt;=100000), " ",IF(INDEX($P$2:$S$1001,MATCH(ROWS($I$2:I856),$I$2:$I$1001,0),MATCH(COLUMNS($P$1006:P1006),$P$1006:$S$1006,0)), HYPERLINK("#",""), HYPERLINK(CONCATENATE("#metadata!", ADDRESS(INDEX($K$2:$K$1001,MATCH(ROWS($I$2:I856),$I$2:$I$1001,0),0), INDEX($P$1004:$S$1004,1,MATCH(COLUMNS($P$1006:P1006),$P$1006:$S$1006,0)))),"Fix")))</f>
        <v>0</v>
      </c>
      <c r="C856" s="3">
        <f>IF(OR(INDEX($J$2:$J$1001,MATCH(ROWS($I$2:I856),$I$2:$I$1001,0),1)&gt;=100000,INDEX($P$1005:$S$1005,1,MATCH(COLUMNS($P$1006:Q1006),$P$1006:$S$1006,0))&gt;=100000), " ",IF(INDEX($P$2:$S$1001,MATCH(ROWS($I$2:I856),$I$2:$I$1001,0),MATCH(COLUMNS($P$1006:Q1006),$P$1006:$S$1006,0)), HYPERLINK("#",""), HYPERLINK(CONCATENATE("#metadata!", ADDRESS(INDEX($K$2:$K$1001,MATCH(ROWS($I$2:I856),$I$2:$I$1001,0),0), INDEX($P$1004:$S$1004,1,MATCH(COLUMNS($P$1006:Q1006),$P$1006:$S$1006,0)))),"Fix")))</f>
        <v>0</v>
      </c>
      <c r="D856" s="3">
        <f>IF(OR(INDEX($J$2:$J$1001,MATCH(ROWS($I$2:I856),$I$2:$I$1001,0),1)&gt;=100000,INDEX($P$1005:$S$1005,1,MATCH(COLUMNS($P$1006:R1006),$P$1006:$S$1006,0))&gt;=100000), " ",IF(INDEX($P$2:$S$1001,MATCH(ROWS($I$2:I856),$I$2:$I$1001,0),MATCH(COLUMNS($P$1006:R1006),$P$1006:$S$1006,0)), HYPERLINK("#",""), HYPERLINK(CONCATENATE("#metadata!", ADDRESS(INDEX($K$2:$K$1001,MATCH(ROWS($I$2:I856),$I$2:$I$1001,0),0), INDEX($P$1004:$S$1004,1,MATCH(COLUMNS($P$1006:R1006),$P$1006:$S$1006,0)))),"Fix")))</f>
        <v>0</v>
      </c>
      <c r="E856" s="3">
        <f>IF(OR(INDEX($J$2:$J$1001,MATCH(ROWS($I$2:I856),$I$2:$I$1001,0),1)&gt;=100000,INDEX($P$1005:$S$1005,1,MATCH(COLUMNS($P$1006:S1006),$P$1006:$S$1006,0))&gt;=100000), " ",IF(INDEX($P$2:$S$1001,MATCH(ROWS($I$2:I856),$I$2:$I$1001,0),MATCH(COLUMNS($P$1006:S1006),$P$1006:$S$1006,0)), HYPERLINK("#",""), HYPERLINK(CONCATENATE("#metadata!", ADDRESS(INDEX($K$2:$K$1001,MATCH(ROWS($I$2:I856),$I$2:$I$1001,0),0), INDEX($P$1004:$S$1004,1,MATCH(COLUMNS($P$1006:S1006),$P$1006:$S$1006,0)))),"Fix")))</f>
        <v>0</v>
      </c>
      <c r="I856">
        <v>0</v>
      </c>
      <c r="J856">
        <v>0</v>
      </c>
      <c r="K856">
        <v>0</v>
      </c>
      <c r="L856">
        <f>IF(M856,TRUE,AND(P856:S856))</f>
        <v>0</v>
      </c>
      <c r="M856">
        <f>COUNTBLANK(metadata!B856:E856)=COLUMNS(metadata!B856:E856)</f>
        <v>0</v>
      </c>
      <c r="N856">
        <v>0</v>
      </c>
      <c r="P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Q856">
        <f>AND(IF(metadata!C856="",FALSE,TRUE),exact(metadata!C856,"other"))</f>
        <v>0</v>
      </c>
      <c r="R856">
        <f>AND(IF(metadata!D856="",FALSE,TRUE),exact(metadata!D856,"metagenome"))</f>
        <v>0</v>
      </c>
      <c r="S856">
        <f>AND(IF(metadata!E856="",FALSE,TRUE),exact(metadata!E856,"256318"))</f>
        <v>0</v>
      </c>
    </row>
    <row r="857" spans="1:19">
      <c r="A857" s="4">
        <f>IF(B857=" "," ",HYPERLINK(CONCATENATE("#metadata!",ADDRESS(INDEX($K$2:$K$1001,MATCH(ROWS($I$2:I857),$I$2:$I$1001,0),0),1)),INDEX($N$2:$N$1001,MATCH(ROWS($I$2:I857),$I$2:$I$1001,0),0)))</f>
        <v>0</v>
      </c>
      <c r="B857" s="3">
        <f>IF(OR(INDEX($J$2:$J$1001,MATCH(ROWS($I$2:I857),$I$2:$I$1001,0),1)&gt;=100000,INDEX($P$1005:$S$1005,1,MATCH(COLUMNS($P$1006:P1006),$P$1006:$S$1006,0))&gt;=100000), " ",IF(INDEX($P$2:$S$1001,MATCH(ROWS($I$2:I857),$I$2:$I$1001,0),MATCH(COLUMNS($P$1006:P1006),$P$1006:$S$1006,0)), HYPERLINK("#",""), HYPERLINK(CONCATENATE("#metadata!", ADDRESS(INDEX($K$2:$K$1001,MATCH(ROWS($I$2:I857),$I$2:$I$1001,0),0), INDEX($P$1004:$S$1004,1,MATCH(COLUMNS($P$1006:P1006),$P$1006:$S$1006,0)))),"Fix")))</f>
        <v>0</v>
      </c>
      <c r="C857" s="3">
        <f>IF(OR(INDEX($J$2:$J$1001,MATCH(ROWS($I$2:I857),$I$2:$I$1001,0),1)&gt;=100000,INDEX($P$1005:$S$1005,1,MATCH(COLUMNS($P$1006:Q1006),$P$1006:$S$1006,0))&gt;=100000), " ",IF(INDEX($P$2:$S$1001,MATCH(ROWS($I$2:I857),$I$2:$I$1001,0),MATCH(COLUMNS($P$1006:Q1006),$P$1006:$S$1006,0)), HYPERLINK("#",""), HYPERLINK(CONCATENATE("#metadata!", ADDRESS(INDEX($K$2:$K$1001,MATCH(ROWS($I$2:I857),$I$2:$I$1001,0),0), INDEX($P$1004:$S$1004,1,MATCH(COLUMNS($P$1006:Q1006),$P$1006:$S$1006,0)))),"Fix")))</f>
        <v>0</v>
      </c>
      <c r="D857" s="3">
        <f>IF(OR(INDEX($J$2:$J$1001,MATCH(ROWS($I$2:I857),$I$2:$I$1001,0),1)&gt;=100000,INDEX($P$1005:$S$1005,1,MATCH(COLUMNS($P$1006:R1006),$P$1006:$S$1006,0))&gt;=100000), " ",IF(INDEX($P$2:$S$1001,MATCH(ROWS($I$2:I857),$I$2:$I$1001,0),MATCH(COLUMNS($P$1006:R1006),$P$1006:$S$1006,0)), HYPERLINK("#",""), HYPERLINK(CONCATENATE("#metadata!", ADDRESS(INDEX($K$2:$K$1001,MATCH(ROWS($I$2:I857),$I$2:$I$1001,0),0), INDEX($P$1004:$S$1004,1,MATCH(COLUMNS($P$1006:R1006),$P$1006:$S$1006,0)))),"Fix")))</f>
        <v>0</v>
      </c>
      <c r="E857" s="3">
        <f>IF(OR(INDEX($J$2:$J$1001,MATCH(ROWS($I$2:I857),$I$2:$I$1001,0),1)&gt;=100000,INDEX($P$1005:$S$1005,1,MATCH(COLUMNS($P$1006:S1006),$P$1006:$S$1006,0))&gt;=100000), " ",IF(INDEX($P$2:$S$1001,MATCH(ROWS($I$2:I857),$I$2:$I$1001,0),MATCH(COLUMNS($P$1006:S1006),$P$1006:$S$1006,0)), HYPERLINK("#",""), HYPERLINK(CONCATENATE("#metadata!", ADDRESS(INDEX($K$2:$K$1001,MATCH(ROWS($I$2:I857),$I$2:$I$1001,0),0), INDEX($P$1004:$S$1004,1,MATCH(COLUMNS($P$1006:S1006),$P$1006:$S$1006,0)))),"Fix")))</f>
        <v>0</v>
      </c>
      <c r="I857">
        <v>0</v>
      </c>
      <c r="J857">
        <v>0</v>
      </c>
      <c r="K857">
        <v>0</v>
      </c>
      <c r="L857">
        <f>IF(M857,TRUE,AND(P857:S857))</f>
        <v>0</v>
      </c>
      <c r="M857">
        <f>COUNTBLANK(metadata!B857:E857)=COLUMNS(metadata!B857:E857)</f>
        <v>0</v>
      </c>
      <c r="N857">
        <v>0</v>
      </c>
      <c r="P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Q857">
        <f>AND(IF(metadata!C857="",FALSE,TRUE),exact(metadata!C857,"other"))</f>
        <v>0</v>
      </c>
      <c r="R857">
        <f>AND(IF(metadata!D857="",FALSE,TRUE),exact(metadata!D857,"metagenome"))</f>
        <v>0</v>
      </c>
      <c r="S857">
        <f>AND(IF(metadata!E857="",FALSE,TRUE),exact(metadata!E857,"256318"))</f>
        <v>0</v>
      </c>
    </row>
    <row r="858" spans="1:19">
      <c r="A858" s="4">
        <f>IF(B858=" "," ",HYPERLINK(CONCATENATE("#metadata!",ADDRESS(INDEX($K$2:$K$1001,MATCH(ROWS($I$2:I858),$I$2:$I$1001,0),0),1)),INDEX($N$2:$N$1001,MATCH(ROWS($I$2:I858),$I$2:$I$1001,0),0)))</f>
        <v>0</v>
      </c>
      <c r="B858" s="3">
        <f>IF(OR(INDEX($J$2:$J$1001,MATCH(ROWS($I$2:I858),$I$2:$I$1001,0),1)&gt;=100000,INDEX($P$1005:$S$1005,1,MATCH(COLUMNS($P$1006:P1006),$P$1006:$S$1006,0))&gt;=100000), " ",IF(INDEX($P$2:$S$1001,MATCH(ROWS($I$2:I858),$I$2:$I$1001,0),MATCH(COLUMNS($P$1006:P1006),$P$1006:$S$1006,0)), HYPERLINK("#",""), HYPERLINK(CONCATENATE("#metadata!", ADDRESS(INDEX($K$2:$K$1001,MATCH(ROWS($I$2:I858),$I$2:$I$1001,0),0), INDEX($P$1004:$S$1004,1,MATCH(COLUMNS($P$1006:P1006),$P$1006:$S$1006,0)))),"Fix")))</f>
        <v>0</v>
      </c>
      <c r="C858" s="3">
        <f>IF(OR(INDEX($J$2:$J$1001,MATCH(ROWS($I$2:I858),$I$2:$I$1001,0),1)&gt;=100000,INDEX($P$1005:$S$1005,1,MATCH(COLUMNS($P$1006:Q1006),$P$1006:$S$1006,0))&gt;=100000), " ",IF(INDEX($P$2:$S$1001,MATCH(ROWS($I$2:I858),$I$2:$I$1001,0),MATCH(COLUMNS($P$1006:Q1006),$P$1006:$S$1006,0)), HYPERLINK("#",""), HYPERLINK(CONCATENATE("#metadata!", ADDRESS(INDEX($K$2:$K$1001,MATCH(ROWS($I$2:I858),$I$2:$I$1001,0),0), INDEX($P$1004:$S$1004,1,MATCH(COLUMNS($P$1006:Q1006),$P$1006:$S$1006,0)))),"Fix")))</f>
        <v>0</v>
      </c>
      <c r="D858" s="3">
        <f>IF(OR(INDEX($J$2:$J$1001,MATCH(ROWS($I$2:I858),$I$2:$I$1001,0),1)&gt;=100000,INDEX($P$1005:$S$1005,1,MATCH(COLUMNS($P$1006:R1006),$P$1006:$S$1006,0))&gt;=100000), " ",IF(INDEX($P$2:$S$1001,MATCH(ROWS($I$2:I858),$I$2:$I$1001,0),MATCH(COLUMNS($P$1006:R1006),$P$1006:$S$1006,0)), HYPERLINK("#",""), HYPERLINK(CONCATENATE("#metadata!", ADDRESS(INDEX($K$2:$K$1001,MATCH(ROWS($I$2:I858),$I$2:$I$1001,0),0), INDEX($P$1004:$S$1004,1,MATCH(COLUMNS($P$1006:R1006),$P$1006:$S$1006,0)))),"Fix")))</f>
        <v>0</v>
      </c>
      <c r="E858" s="3">
        <f>IF(OR(INDEX($J$2:$J$1001,MATCH(ROWS($I$2:I858),$I$2:$I$1001,0),1)&gt;=100000,INDEX($P$1005:$S$1005,1,MATCH(COLUMNS($P$1006:S1006),$P$1006:$S$1006,0))&gt;=100000), " ",IF(INDEX($P$2:$S$1001,MATCH(ROWS($I$2:I858),$I$2:$I$1001,0),MATCH(COLUMNS($P$1006:S1006),$P$1006:$S$1006,0)), HYPERLINK("#",""), HYPERLINK(CONCATENATE("#metadata!", ADDRESS(INDEX($K$2:$K$1001,MATCH(ROWS($I$2:I858),$I$2:$I$1001,0),0), INDEX($P$1004:$S$1004,1,MATCH(COLUMNS($P$1006:S1006),$P$1006:$S$1006,0)))),"Fix")))</f>
        <v>0</v>
      </c>
      <c r="I858">
        <v>0</v>
      </c>
      <c r="J858">
        <v>0</v>
      </c>
      <c r="K858">
        <v>0</v>
      </c>
      <c r="L858">
        <f>IF(M858,TRUE,AND(P858:S858))</f>
        <v>0</v>
      </c>
      <c r="M858">
        <f>COUNTBLANK(metadata!B858:E858)=COLUMNS(metadata!B858:E858)</f>
        <v>0</v>
      </c>
      <c r="N858">
        <v>0</v>
      </c>
      <c r="P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Q858">
        <f>AND(IF(metadata!C858="",FALSE,TRUE),exact(metadata!C858,"other"))</f>
        <v>0</v>
      </c>
      <c r="R858">
        <f>AND(IF(metadata!D858="",FALSE,TRUE),exact(metadata!D858,"metagenome"))</f>
        <v>0</v>
      </c>
      <c r="S858">
        <f>AND(IF(metadata!E858="",FALSE,TRUE),exact(metadata!E858,"256318"))</f>
        <v>0</v>
      </c>
    </row>
    <row r="859" spans="1:19">
      <c r="A859" s="4">
        <f>IF(B859=" "," ",HYPERLINK(CONCATENATE("#metadata!",ADDRESS(INDEX($K$2:$K$1001,MATCH(ROWS($I$2:I859),$I$2:$I$1001,0),0),1)),INDEX($N$2:$N$1001,MATCH(ROWS($I$2:I859),$I$2:$I$1001,0),0)))</f>
        <v>0</v>
      </c>
      <c r="B859" s="3">
        <f>IF(OR(INDEX($J$2:$J$1001,MATCH(ROWS($I$2:I859),$I$2:$I$1001,0),1)&gt;=100000,INDEX($P$1005:$S$1005,1,MATCH(COLUMNS($P$1006:P1006),$P$1006:$S$1006,0))&gt;=100000), " ",IF(INDEX($P$2:$S$1001,MATCH(ROWS($I$2:I859),$I$2:$I$1001,0),MATCH(COLUMNS($P$1006:P1006),$P$1006:$S$1006,0)), HYPERLINK("#",""), HYPERLINK(CONCATENATE("#metadata!", ADDRESS(INDEX($K$2:$K$1001,MATCH(ROWS($I$2:I859),$I$2:$I$1001,0),0), INDEX($P$1004:$S$1004,1,MATCH(COLUMNS($P$1006:P1006),$P$1006:$S$1006,0)))),"Fix")))</f>
        <v>0</v>
      </c>
      <c r="C859" s="3">
        <f>IF(OR(INDEX($J$2:$J$1001,MATCH(ROWS($I$2:I859),$I$2:$I$1001,0),1)&gt;=100000,INDEX($P$1005:$S$1005,1,MATCH(COLUMNS($P$1006:Q1006),$P$1006:$S$1006,0))&gt;=100000), " ",IF(INDEX($P$2:$S$1001,MATCH(ROWS($I$2:I859),$I$2:$I$1001,0),MATCH(COLUMNS($P$1006:Q1006),$P$1006:$S$1006,0)), HYPERLINK("#",""), HYPERLINK(CONCATENATE("#metadata!", ADDRESS(INDEX($K$2:$K$1001,MATCH(ROWS($I$2:I859),$I$2:$I$1001,0),0), INDEX($P$1004:$S$1004,1,MATCH(COLUMNS($P$1006:Q1006),$P$1006:$S$1006,0)))),"Fix")))</f>
        <v>0</v>
      </c>
      <c r="D859" s="3">
        <f>IF(OR(INDEX($J$2:$J$1001,MATCH(ROWS($I$2:I859),$I$2:$I$1001,0),1)&gt;=100000,INDEX($P$1005:$S$1005,1,MATCH(COLUMNS($P$1006:R1006),$P$1006:$S$1006,0))&gt;=100000), " ",IF(INDEX($P$2:$S$1001,MATCH(ROWS($I$2:I859),$I$2:$I$1001,0),MATCH(COLUMNS($P$1006:R1006),$P$1006:$S$1006,0)), HYPERLINK("#",""), HYPERLINK(CONCATENATE("#metadata!", ADDRESS(INDEX($K$2:$K$1001,MATCH(ROWS($I$2:I859),$I$2:$I$1001,0),0), INDEX($P$1004:$S$1004,1,MATCH(COLUMNS($P$1006:R1006),$P$1006:$S$1006,0)))),"Fix")))</f>
        <v>0</v>
      </c>
      <c r="E859" s="3">
        <f>IF(OR(INDEX($J$2:$J$1001,MATCH(ROWS($I$2:I859),$I$2:$I$1001,0),1)&gt;=100000,INDEX($P$1005:$S$1005,1,MATCH(COLUMNS($P$1006:S1006),$P$1006:$S$1006,0))&gt;=100000), " ",IF(INDEX($P$2:$S$1001,MATCH(ROWS($I$2:I859),$I$2:$I$1001,0),MATCH(COLUMNS($P$1006:S1006),$P$1006:$S$1006,0)), HYPERLINK("#",""), HYPERLINK(CONCATENATE("#metadata!", ADDRESS(INDEX($K$2:$K$1001,MATCH(ROWS($I$2:I859),$I$2:$I$1001,0),0), INDEX($P$1004:$S$1004,1,MATCH(COLUMNS($P$1006:S1006),$P$1006:$S$1006,0)))),"Fix")))</f>
        <v>0</v>
      </c>
      <c r="I859">
        <v>0</v>
      </c>
      <c r="J859">
        <v>0</v>
      </c>
      <c r="K859">
        <v>0</v>
      </c>
      <c r="L859">
        <f>IF(M859,TRUE,AND(P859:S859))</f>
        <v>0</v>
      </c>
      <c r="M859">
        <f>COUNTBLANK(metadata!B859:E859)=COLUMNS(metadata!B859:E859)</f>
        <v>0</v>
      </c>
      <c r="N859">
        <v>0</v>
      </c>
      <c r="P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Q859">
        <f>AND(IF(metadata!C859="",FALSE,TRUE),exact(metadata!C859,"other"))</f>
        <v>0</v>
      </c>
      <c r="R859">
        <f>AND(IF(metadata!D859="",FALSE,TRUE),exact(metadata!D859,"metagenome"))</f>
        <v>0</v>
      </c>
      <c r="S859">
        <f>AND(IF(metadata!E859="",FALSE,TRUE),exact(metadata!E859,"256318"))</f>
        <v>0</v>
      </c>
    </row>
    <row r="860" spans="1:19">
      <c r="A860" s="4">
        <f>IF(B860=" "," ",HYPERLINK(CONCATENATE("#metadata!",ADDRESS(INDEX($K$2:$K$1001,MATCH(ROWS($I$2:I860),$I$2:$I$1001,0),0),1)),INDEX($N$2:$N$1001,MATCH(ROWS($I$2:I860),$I$2:$I$1001,0),0)))</f>
        <v>0</v>
      </c>
      <c r="B860" s="3">
        <f>IF(OR(INDEX($J$2:$J$1001,MATCH(ROWS($I$2:I860),$I$2:$I$1001,0),1)&gt;=100000,INDEX($P$1005:$S$1005,1,MATCH(COLUMNS($P$1006:P1006),$P$1006:$S$1006,0))&gt;=100000), " ",IF(INDEX($P$2:$S$1001,MATCH(ROWS($I$2:I860),$I$2:$I$1001,0),MATCH(COLUMNS($P$1006:P1006),$P$1006:$S$1006,0)), HYPERLINK("#",""), HYPERLINK(CONCATENATE("#metadata!", ADDRESS(INDEX($K$2:$K$1001,MATCH(ROWS($I$2:I860),$I$2:$I$1001,0),0), INDEX($P$1004:$S$1004,1,MATCH(COLUMNS($P$1006:P1006),$P$1006:$S$1006,0)))),"Fix")))</f>
        <v>0</v>
      </c>
      <c r="C860" s="3">
        <f>IF(OR(INDEX($J$2:$J$1001,MATCH(ROWS($I$2:I860),$I$2:$I$1001,0),1)&gt;=100000,INDEX($P$1005:$S$1005,1,MATCH(COLUMNS($P$1006:Q1006),$P$1006:$S$1006,0))&gt;=100000), " ",IF(INDEX($P$2:$S$1001,MATCH(ROWS($I$2:I860),$I$2:$I$1001,0),MATCH(COLUMNS($P$1006:Q1006),$P$1006:$S$1006,0)), HYPERLINK("#",""), HYPERLINK(CONCATENATE("#metadata!", ADDRESS(INDEX($K$2:$K$1001,MATCH(ROWS($I$2:I860),$I$2:$I$1001,0),0), INDEX($P$1004:$S$1004,1,MATCH(COLUMNS($P$1006:Q1006),$P$1006:$S$1006,0)))),"Fix")))</f>
        <v>0</v>
      </c>
      <c r="D860" s="3">
        <f>IF(OR(INDEX($J$2:$J$1001,MATCH(ROWS($I$2:I860),$I$2:$I$1001,0),1)&gt;=100000,INDEX($P$1005:$S$1005,1,MATCH(COLUMNS($P$1006:R1006),$P$1006:$S$1006,0))&gt;=100000), " ",IF(INDEX($P$2:$S$1001,MATCH(ROWS($I$2:I860),$I$2:$I$1001,0),MATCH(COLUMNS($P$1006:R1006),$P$1006:$S$1006,0)), HYPERLINK("#",""), HYPERLINK(CONCATENATE("#metadata!", ADDRESS(INDEX($K$2:$K$1001,MATCH(ROWS($I$2:I860),$I$2:$I$1001,0),0), INDEX($P$1004:$S$1004,1,MATCH(COLUMNS($P$1006:R1006),$P$1006:$S$1006,0)))),"Fix")))</f>
        <v>0</v>
      </c>
      <c r="E860" s="3">
        <f>IF(OR(INDEX($J$2:$J$1001,MATCH(ROWS($I$2:I860),$I$2:$I$1001,0),1)&gt;=100000,INDEX($P$1005:$S$1005,1,MATCH(COLUMNS($P$1006:S1006),$P$1006:$S$1006,0))&gt;=100000), " ",IF(INDEX($P$2:$S$1001,MATCH(ROWS($I$2:I860),$I$2:$I$1001,0),MATCH(COLUMNS($P$1006:S1006),$P$1006:$S$1006,0)), HYPERLINK("#",""), HYPERLINK(CONCATENATE("#metadata!", ADDRESS(INDEX($K$2:$K$1001,MATCH(ROWS($I$2:I860),$I$2:$I$1001,0),0), INDEX($P$1004:$S$1004,1,MATCH(COLUMNS($P$1006:S1006),$P$1006:$S$1006,0)))),"Fix")))</f>
        <v>0</v>
      </c>
      <c r="I860">
        <v>0</v>
      </c>
      <c r="J860">
        <v>0</v>
      </c>
      <c r="K860">
        <v>0</v>
      </c>
      <c r="L860">
        <f>IF(M860,TRUE,AND(P860:S860))</f>
        <v>0</v>
      </c>
      <c r="M860">
        <f>COUNTBLANK(metadata!B860:E860)=COLUMNS(metadata!B860:E860)</f>
        <v>0</v>
      </c>
      <c r="N860">
        <v>0</v>
      </c>
      <c r="P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Q860">
        <f>AND(IF(metadata!C860="",FALSE,TRUE),exact(metadata!C860,"other"))</f>
        <v>0</v>
      </c>
      <c r="R860">
        <f>AND(IF(metadata!D860="",FALSE,TRUE),exact(metadata!D860,"metagenome"))</f>
        <v>0</v>
      </c>
      <c r="S860">
        <f>AND(IF(metadata!E860="",FALSE,TRUE),exact(metadata!E860,"256318"))</f>
        <v>0</v>
      </c>
    </row>
    <row r="861" spans="1:19">
      <c r="A861" s="4">
        <f>IF(B861=" "," ",HYPERLINK(CONCATENATE("#metadata!",ADDRESS(INDEX($K$2:$K$1001,MATCH(ROWS($I$2:I861),$I$2:$I$1001,0),0),1)),INDEX($N$2:$N$1001,MATCH(ROWS($I$2:I861),$I$2:$I$1001,0),0)))</f>
        <v>0</v>
      </c>
      <c r="B861" s="3">
        <f>IF(OR(INDEX($J$2:$J$1001,MATCH(ROWS($I$2:I861),$I$2:$I$1001,0),1)&gt;=100000,INDEX($P$1005:$S$1005,1,MATCH(COLUMNS($P$1006:P1006),$P$1006:$S$1006,0))&gt;=100000), " ",IF(INDEX($P$2:$S$1001,MATCH(ROWS($I$2:I861),$I$2:$I$1001,0),MATCH(COLUMNS($P$1006:P1006),$P$1006:$S$1006,0)), HYPERLINK("#",""), HYPERLINK(CONCATENATE("#metadata!", ADDRESS(INDEX($K$2:$K$1001,MATCH(ROWS($I$2:I861),$I$2:$I$1001,0),0), INDEX($P$1004:$S$1004,1,MATCH(COLUMNS($P$1006:P1006),$P$1006:$S$1006,0)))),"Fix")))</f>
        <v>0</v>
      </c>
      <c r="C861" s="3">
        <f>IF(OR(INDEX($J$2:$J$1001,MATCH(ROWS($I$2:I861),$I$2:$I$1001,0),1)&gt;=100000,INDEX($P$1005:$S$1005,1,MATCH(COLUMNS($P$1006:Q1006),$P$1006:$S$1006,0))&gt;=100000), " ",IF(INDEX($P$2:$S$1001,MATCH(ROWS($I$2:I861),$I$2:$I$1001,0),MATCH(COLUMNS($P$1006:Q1006),$P$1006:$S$1006,0)), HYPERLINK("#",""), HYPERLINK(CONCATENATE("#metadata!", ADDRESS(INDEX($K$2:$K$1001,MATCH(ROWS($I$2:I861),$I$2:$I$1001,0),0), INDEX($P$1004:$S$1004,1,MATCH(COLUMNS($P$1006:Q1006),$P$1006:$S$1006,0)))),"Fix")))</f>
        <v>0</v>
      </c>
      <c r="D861" s="3">
        <f>IF(OR(INDEX($J$2:$J$1001,MATCH(ROWS($I$2:I861),$I$2:$I$1001,0),1)&gt;=100000,INDEX($P$1005:$S$1005,1,MATCH(COLUMNS($P$1006:R1006),$P$1006:$S$1006,0))&gt;=100000), " ",IF(INDEX($P$2:$S$1001,MATCH(ROWS($I$2:I861),$I$2:$I$1001,0),MATCH(COLUMNS($P$1006:R1006),$P$1006:$S$1006,0)), HYPERLINK("#",""), HYPERLINK(CONCATENATE("#metadata!", ADDRESS(INDEX($K$2:$K$1001,MATCH(ROWS($I$2:I861),$I$2:$I$1001,0),0), INDEX($P$1004:$S$1004,1,MATCH(COLUMNS($P$1006:R1006),$P$1006:$S$1006,0)))),"Fix")))</f>
        <v>0</v>
      </c>
      <c r="E861" s="3">
        <f>IF(OR(INDEX($J$2:$J$1001,MATCH(ROWS($I$2:I861),$I$2:$I$1001,0),1)&gt;=100000,INDEX($P$1005:$S$1005,1,MATCH(COLUMNS($P$1006:S1006),$P$1006:$S$1006,0))&gt;=100000), " ",IF(INDEX($P$2:$S$1001,MATCH(ROWS($I$2:I861),$I$2:$I$1001,0),MATCH(COLUMNS($P$1006:S1006),$P$1006:$S$1006,0)), HYPERLINK("#",""), HYPERLINK(CONCATENATE("#metadata!", ADDRESS(INDEX($K$2:$K$1001,MATCH(ROWS($I$2:I861),$I$2:$I$1001,0),0), INDEX($P$1004:$S$1004,1,MATCH(COLUMNS($P$1006:S1006),$P$1006:$S$1006,0)))),"Fix")))</f>
        <v>0</v>
      </c>
      <c r="I861">
        <v>0</v>
      </c>
      <c r="J861">
        <v>0</v>
      </c>
      <c r="K861">
        <v>0</v>
      </c>
      <c r="L861">
        <f>IF(M861,TRUE,AND(P861:S861))</f>
        <v>0</v>
      </c>
      <c r="M861">
        <f>COUNTBLANK(metadata!B861:E861)=COLUMNS(metadata!B861:E861)</f>
        <v>0</v>
      </c>
      <c r="N861">
        <v>0</v>
      </c>
      <c r="P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Q861">
        <f>AND(IF(metadata!C861="",FALSE,TRUE),exact(metadata!C861,"other"))</f>
        <v>0</v>
      </c>
      <c r="R861">
        <f>AND(IF(metadata!D861="",FALSE,TRUE),exact(metadata!D861,"metagenome"))</f>
        <v>0</v>
      </c>
      <c r="S861">
        <f>AND(IF(metadata!E861="",FALSE,TRUE),exact(metadata!E861,"256318"))</f>
        <v>0</v>
      </c>
    </row>
    <row r="862" spans="1:19">
      <c r="A862" s="4">
        <f>IF(B862=" "," ",HYPERLINK(CONCATENATE("#metadata!",ADDRESS(INDEX($K$2:$K$1001,MATCH(ROWS($I$2:I862),$I$2:$I$1001,0),0),1)),INDEX($N$2:$N$1001,MATCH(ROWS($I$2:I862),$I$2:$I$1001,0),0)))</f>
        <v>0</v>
      </c>
      <c r="B862" s="3">
        <f>IF(OR(INDEX($J$2:$J$1001,MATCH(ROWS($I$2:I862),$I$2:$I$1001,0),1)&gt;=100000,INDEX($P$1005:$S$1005,1,MATCH(COLUMNS($P$1006:P1006),$P$1006:$S$1006,0))&gt;=100000), " ",IF(INDEX($P$2:$S$1001,MATCH(ROWS($I$2:I862),$I$2:$I$1001,0),MATCH(COLUMNS($P$1006:P1006),$P$1006:$S$1006,0)), HYPERLINK("#",""), HYPERLINK(CONCATENATE("#metadata!", ADDRESS(INDEX($K$2:$K$1001,MATCH(ROWS($I$2:I862),$I$2:$I$1001,0),0), INDEX($P$1004:$S$1004,1,MATCH(COLUMNS($P$1006:P1006),$P$1006:$S$1006,0)))),"Fix")))</f>
        <v>0</v>
      </c>
      <c r="C862" s="3">
        <f>IF(OR(INDEX($J$2:$J$1001,MATCH(ROWS($I$2:I862),$I$2:$I$1001,0),1)&gt;=100000,INDEX($P$1005:$S$1005,1,MATCH(COLUMNS($P$1006:Q1006),$P$1006:$S$1006,0))&gt;=100000), " ",IF(INDEX($P$2:$S$1001,MATCH(ROWS($I$2:I862),$I$2:$I$1001,0),MATCH(COLUMNS($P$1006:Q1006),$P$1006:$S$1006,0)), HYPERLINK("#",""), HYPERLINK(CONCATENATE("#metadata!", ADDRESS(INDEX($K$2:$K$1001,MATCH(ROWS($I$2:I862),$I$2:$I$1001,0),0), INDEX($P$1004:$S$1004,1,MATCH(COLUMNS($P$1006:Q1006),$P$1006:$S$1006,0)))),"Fix")))</f>
        <v>0</v>
      </c>
      <c r="D862" s="3">
        <f>IF(OR(INDEX($J$2:$J$1001,MATCH(ROWS($I$2:I862),$I$2:$I$1001,0),1)&gt;=100000,INDEX($P$1005:$S$1005,1,MATCH(COLUMNS($P$1006:R1006),$P$1006:$S$1006,0))&gt;=100000), " ",IF(INDEX($P$2:$S$1001,MATCH(ROWS($I$2:I862),$I$2:$I$1001,0),MATCH(COLUMNS($P$1006:R1006),$P$1006:$S$1006,0)), HYPERLINK("#",""), HYPERLINK(CONCATENATE("#metadata!", ADDRESS(INDEX($K$2:$K$1001,MATCH(ROWS($I$2:I862),$I$2:$I$1001,0),0), INDEX($P$1004:$S$1004,1,MATCH(COLUMNS($P$1006:R1006),$P$1006:$S$1006,0)))),"Fix")))</f>
        <v>0</v>
      </c>
      <c r="E862" s="3">
        <f>IF(OR(INDEX($J$2:$J$1001,MATCH(ROWS($I$2:I862),$I$2:$I$1001,0),1)&gt;=100000,INDEX($P$1005:$S$1005,1,MATCH(COLUMNS($P$1006:S1006),$P$1006:$S$1006,0))&gt;=100000), " ",IF(INDEX($P$2:$S$1001,MATCH(ROWS($I$2:I862),$I$2:$I$1001,0),MATCH(COLUMNS($P$1006:S1006),$P$1006:$S$1006,0)), HYPERLINK("#",""), HYPERLINK(CONCATENATE("#metadata!", ADDRESS(INDEX($K$2:$K$1001,MATCH(ROWS($I$2:I862),$I$2:$I$1001,0),0), INDEX($P$1004:$S$1004,1,MATCH(COLUMNS($P$1006:S1006),$P$1006:$S$1006,0)))),"Fix")))</f>
        <v>0</v>
      </c>
      <c r="I862">
        <v>0</v>
      </c>
      <c r="J862">
        <v>0</v>
      </c>
      <c r="K862">
        <v>0</v>
      </c>
      <c r="L862">
        <f>IF(M862,TRUE,AND(P862:S862))</f>
        <v>0</v>
      </c>
      <c r="M862">
        <f>COUNTBLANK(metadata!B862:E862)=COLUMNS(metadata!B862:E862)</f>
        <v>0</v>
      </c>
      <c r="N862">
        <v>0</v>
      </c>
      <c r="P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Q862">
        <f>AND(IF(metadata!C862="",FALSE,TRUE),exact(metadata!C862,"other"))</f>
        <v>0</v>
      </c>
      <c r="R862">
        <f>AND(IF(metadata!D862="",FALSE,TRUE),exact(metadata!D862,"metagenome"))</f>
        <v>0</v>
      </c>
      <c r="S862">
        <f>AND(IF(metadata!E862="",FALSE,TRUE),exact(metadata!E862,"256318"))</f>
        <v>0</v>
      </c>
    </row>
    <row r="863" spans="1:19">
      <c r="A863" s="4">
        <f>IF(B863=" "," ",HYPERLINK(CONCATENATE("#metadata!",ADDRESS(INDEX($K$2:$K$1001,MATCH(ROWS($I$2:I863),$I$2:$I$1001,0),0),1)),INDEX($N$2:$N$1001,MATCH(ROWS($I$2:I863),$I$2:$I$1001,0),0)))</f>
        <v>0</v>
      </c>
      <c r="B863" s="3">
        <f>IF(OR(INDEX($J$2:$J$1001,MATCH(ROWS($I$2:I863),$I$2:$I$1001,0),1)&gt;=100000,INDEX($P$1005:$S$1005,1,MATCH(COLUMNS($P$1006:P1006),$P$1006:$S$1006,0))&gt;=100000), " ",IF(INDEX($P$2:$S$1001,MATCH(ROWS($I$2:I863),$I$2:$I$1001,0),MATCH(COLUMNS($P$1006:P1006),$P$1006:$S$1006,0)), HYPERLINK("#",""), HYPERLINK(CONCATENATE("#metadata!", ADDRESS(INDEX($K$2:$K$1001,MATCH(ROWS($I$2:I863),$I$2:$I$1001,0),0), INDEX($P$1004:$S$1004,1,MATCH(COLUMNS($P$1006:P1006),$P$1006:$S$1006,0)))),"Fix")))</f>
        <v>0</v>
      </c>
      <c r="C863" s="3">
        <f>IF(OR(INDEX($J$2:$J$1001,MATCH(ROWS($I$2:I863),$I$2:$I$1001,0),1)&gt;=100000,INDEX($P$1005:$S$1005,1,MATCH(COLUMNS($P$1006:Q1006),$P$1006:$S$1006,0))&gt;=100000), " ",IF(INDEX($P$2:$S$1001,MATCH(ROWS($I$2:I863),$I$2:$I$1001,0),MATCH(COLUMNS($P$1006:Q1006),$P$1006:$S$1006,0)), HYPERLINK("#",""), HYPERLINK(CONCATENATE("#metadata!", ADDRESS(INDEX($K$2:$K$1001,MATCH(ROWS($I$2:I863),$I$2:$I$1001,0),0), INDEX($P$1004:$S$1004,1,MATCH(COLUMNS($P$1006:Q1006),$P$1006:$S$1006,0)))),"Fix")))</f>
        <v>0</v>
      </c>
      <c r="D863" s="3">
        <f>IF(OR(INDEX($J$2:$J$1001,MATCH(ROWS($I$2:I863),$I$2:$I$1001,0),1)&gt;=100000,INDEX($P$1005:$S$1005,1,MATCH(COLUMNS($P$1006:R1006),$P$1006:$S$1006,0))&gt;=100000), " ",IF(INDEX($P$2:$S$1001,MATCH(ROWS($I$2:I863),$I$2:$I$1001,0),MATCH(COLUMNS($P$1006:R1006),$P$1006:$S$1006,0)), HYPERLINK("#",""), HYPERLINK(CONCATENATE("#metadata!", ADDRESS(INDEX($K$2:$K$1001,MATCH(ROWS($I$2:I863),$I$2:$I$1001,0),0), INDEX($P$1004:$S$1004,1,MATCH(COLUMNS($P$1006:R1006),$P$1006:$S$1006,0)))),"Fix")))</f>
        <v>0</v>
      </c>
      <c r="E863" s="3">
        <f>IF(OR(INDEX($J$2:$J$1001,MATCH(ROWS($I$2:I863),$I$2:$I$1001,0),1)&gt;=100000,INDEX($P$1005:$S$1005,1,MATCH(COLUMNS($P$1006:S1006),$P$1006:$S$1006,0))&gt;=100000), " ",IF(INDEX($P$2:$S$1001,MATCH(ROWS($I$2:I863),$I$2:$I$1001,0),MATCH(COLUMNS($P$1006:S1006),$P$1006:$S$1006,0)), HYPERLINK("#",""), HYPERLINK(CONCATENATE("#metadata!", ADDRESS(INDEX($K$2:$K$1001,MATCH(ROWS($I$2:I863),$I$2:$I$1001,0),0), INDEX($P$1004:$S$1004,1,MATCH(COLUMNS($P$1006:S1006),$P$1006:$S$1006,0)))),"Fix")))</f>
        <v>0</v>
      </c>
      <c r="I863">
        <v>0</v>
      </c>
      <c r="J863">
        <v>0</v>
      </c>
      <c r="K863">
        <v>0</v>
      </c>
      <c r="L863">
        <f>IF(M863,TRUE,AND(P863:S863))</f>
        <v>0</v>
      </c>
      <c r="M863">
        <f>COUNTBLANK(metadata!B863:E863)=COLUMNS(metadata!B863:E863)</f>
        <v>0</v>
      </c>
      <c r="N863">
        <v>0</v>
      </c>
      <c r="P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Q863">
        <f>AND(IF(metadata!C863="",FALSE,TRUE),exact(metadata!C863,"other"))</f>
        <v>0</v>
      </c>
      <c r="R863">
        <f>AND(IF(metadata!D863="",FALSE,TRUE),exact(metadata!D863,"metagenome"))</f>
        <v>0</v>
      </c>
      <c r="S863">
        <f>AND(IF(metadata!E863="",FALSE,TRUE),exact(metadata!E863,"256318"))</f>
        <v>0</v>
      </c>
    </row>
    <row r="864" spans="1:19">
      <c r="A864" s="4">
        <f>IF(B864=" "," ",HYPERLINK(CONCATENATE("#metadata!",ADDRESS(INDEX($K$2:$K$1001,MATCH(ROWS($I$2:I864),$I$2:$I$1001,0),0),1)),INDEX($N$2:$N$1001,MATCH(ROWS($I$2:I864),$I$2:$I$1001,0),0)))</f>
        <v>0</v>
      </c>
      <c r="B864" s="3">
        <f>IF(OR(INDEX($J$2:$J$1001,MATCH(ROWS($I$2:I864),$I$2:$I$1001,0),1)&gt;=100000,INDEX($P$1005:$S$1005,1,MATCH(COLUMNS($P$1006:P1006),$P$1006:$S$1006,0))&gt;=100000), " ",IF(INDEX($P$2:$S$1001,MATCH(ROWS($I$2:I864),$I$2:$I$1001,0),MATCH(COLUMNS($P$1006:P1006),$P$1006:$S$1006,0)), HYPERLINK("#",""), HYPERLINK(CONCATENATE("#metadata!", ADDRESS(INDEX($K$2:$K$1001,MATCH(ROWS($I$2:I864),$I$2:$I$1001,0),0), INDEX($P$1004:$S$1004,1,MATCH(COLUMNS($P$1006:P1006),$P$1006:$S$1006,0)))),"Fix")))</f>
        <v>0</v>
      </c>
      <c r="C864" s="3">
        <f>IF(OR(INDEX($J$2:$J$1001,MATCH(ROWS($I$2:I864),$I$2:$I$1001,0),1)&gt;=100000,INDEX($P$1005:$S$1005,1,MATCH(COLUMNS($P$1006:Q1006),$P$1006:$S$1006,0))&gt;=100000), " ",IF(INDEX($P$2:$S$1001,MATCH(ROWS($I$2:I864),$I$2:$I$1001,0),MATCH(COLUMNS($P$1006:Q1006),$P$1006:$S$1006,0)), HYPERLINK("#",""), HYPERLINK(CONCATENATE("#metadata!", ADDRESS(INDEX($K$2:$K$1001,MATCH(ROWS($I$2:I864),$I$2:$I$1001,0),0), INDEX($P$1004:$S$1004,1,MATCH(COLUMNS($P$1006:Q1006),$P$1006:$S$1006,0)))),"Fix")))</f>
        <v>0</v>
      </c>
      <c r="D864" s="3">
        <f>IF(OR(INDEX($J$2:$J$1001,MATCH(ROWS($I$2:I864),$I$2:$I$1001,0),1)&gt;=100000,INDEX($P$1005:$S$1005,1,MATCH(COLUMNS($P$1006:R1006),$P$1006:$S$1006,0))&gt;=100000), " ",IF(INDEX($P$2:$S$1001,MATCH(ROWS($I$2:I864),$I$2:$I$1001,0),MATCH(COLUMNS($P$1006:R1006),$P$1006:$S$1006,0)), HYPERLINK("#",""), HYPERLINK(CONCATENATE("#metadata!", ADDRESS(INDEX($K$2:$K$1001,MATCH(ROWS($I$2:I864),$I$2:$I$1001,0),0), INDEX($P$1004:$S$1004,1,MATCH(COLUMNS($P$1006:R1006),$P$1006:$S$1006,0)))),"Fix")))</f>
        <v>0</v>
      </c>
      <c r="E864" s="3">
        <f>IF(OR(INDEX($J$2:$J$1001,MATCH(ROWS($I$2:I864),$I$2:$I$1001,0),1)&gt;=100000,INDEX($P$1005:$S$1005,1,MATCH(COLUMNS($P$1006:S1006),$P$1006:$S$1006,0))&gt;=100000), " ",IF(INDEX($P$2:$S$1001,MATCH(ROWS($I$2:I864),$I$2:$I$1001,0),MATCH(COLUMNS($P$1006:S1006),$P$1006:$S$1006,0)), HYPERLINK("#",""), HYPERLINK(CONCATENATE("#metadata!", ADDRESS(INDEX($K$2:$K$1001,MATCH(ROWS($I$2:I864),$I$2:$I$1001,0),0), INDEX($P$1004:$S$1004,1,MATCH(COLUMNS($P$1006:S1006),$P$1006:$S$1006,0)))),"Fix")))</f>
        <v>0</v>
      </c>
      <c r="I864">
        <v>0</v>
      </c>
      <c r="J864">
        <v>0</v>
      </c>
      <c r="K864">
        <v>0</v>
      </c>
      <c r="L864">
        <f>IF(M864,TRUE,AND(P864:S864))</f>
        <v>0</v>
      </c>
      <c r="M864">
        <f>COUNTBLANK(metadata!B864:E864)=COLUMNS(metadata!B864:E864)</f>
        <v>0</v>
      </c>
      <c r="N864">
        <v>0</v>
      </c>
      <c r="P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Q864">
        <f>AND(IF(metadata!C864="",FALSE,TRUE),exact(metadata!C864,"other"))</f>
        <v>0</v>
      </c>
      <c r="R864">
        <f>AND(IF(metadata!D864="",FALSE,TRUE),exact(metadata!D864,"metagenome"))</f>
        <v>0</v>
      </c>
      <c r="S864">
        <f>AND(IF(metadata!E864="",FALSE,TRUE),exact(metadata!E864,"256318"))</f>
        <v>0</v>
      </c>
    </row>
    <row r="865" spans="1:19">
      <c r="A865" s="4">
        <f>IF(B865=" "," ",HYPERLINK(CONCATENATE("#metadata!",ADDRESS(INDEX($K$2:$K$1001,MATCH(ROWS($I$2:I865),$I$2:$I$1001,0),0),1)),INDEX($N$2:$N$1001,MATCH(ROWS($I$2:I865),$I$2:$I$1001,0),0)))</f>
        <v>0</v>
      </c>
      <c r="B865" s="3">
        <f>IF(OR(INDEX($J$2:$J$1001,MATCH(ROWS($I$2:I865),$I$2:$I$1001,0),1)&gt;=100000,INDEX($P$1005:$S$1005,1,MATCH(COLUMNS($P$1006:P1006),$P$1006:$S$1006,0))&gt;=100000), " ",IF(INDEX($P$2:$S$1001,MATCH(ROWS($I$2:I865),$I$2:$I$1001,0),MATCH(COLUMNS($P$1006:P1006),$P$1006:$S$1006,0)), HYPERLINK("#",""), HYPERLINK(CONCATENATE("#metadata!", ADDRESS(INDEX($K$2:$K$1001,MATCH(ROWS($I$2:I865),$I$2:$I$1001,0),0), INDEX($P$1004:$S$1004,1,MATCH(COLUMNS($P$1006:P1006),$P$1006:$S$1006,0)))),"Fix")))</f>
        <v>0</v>
      </c>
      <c r="C865" s="3">
        <f>IF(OR(INDEX($J$2:$J$1001,MATCH(ROWS($I$2:I865),$I$2:$I$1001,0),1)&gt;=100000,INDEX($P$1005:$S$1005,1,MATCH(COLUMNS($P$1006:Q1006),$P$1006:$S$1006,0))&gt;=100000), " ",IF(INDEX($P$2:$S$1001,MATCH(ROWS($I$2:I865),$I$2:$I$1001,0),MATCH(COLUMNS($P$1006:Q1006),$P$1006:$S$1006,0)), HYPERLINK("#",""), HYPERLINK(CONCATENATE("#metadata!", ADDRESS(INDEX($K$2:$K$1001,MATCH(ROWS($I$2:I865),$I$2:$I$1001,0),0), INDEX($P$1004:$S$1004,1,MATCH(COLUMNS($P$1006:Q1006),$P$1006:$S$1006,0)))),"Fix")))</f>
        <v>0</v>
      </c>
      <c r="D865" s="3">
        <f>IF(OR(INDEX($J$2:$J$1001,MATCH(ROWS($I$2:I865),$I$2:$I$1001,0),1)&gt;=100000,INDEX($P$1005:$S$1005,1,MATCH(COLUMNS($P$1006:R1006),$P$1006:$S$1006,0))&gt;=100000), " ",IF(INDEX($P$2:$S$1001,MATCH(ROWS($I$2:I865),$I$2:$I$1001,0),MATCH(COLUMNS($P$1006:R1006),$P$1006:$S$1006,0)), HYPERLINK("#",""), HYPERLINK(CONCATENATE("#metadata!", ADDRESS(INDEX($K$2:$K$1001,MATCH(ROWS($I$2:I865),$I$2:$I$1001,0),0), INDEX($P$1004:$S$1004,1,MATCH(COLUMNS($P$1006:R1006),$P$1006:$S$1006,0)))),"Fix")))</f>
        <v>0</v>
      </c>
      <c r="E865" s="3">
        <f>IF(OR(INDEX($J$2:$J$1001,MATCH(ROWS($I$2:I865),$I$2:$I$1001,0),1)&gt;=100000,INDEX($P$1005:$S$1005,1,MATCH(COLUMNS($P$1006:S1006),$P$1006:$S$1006,0))&gt;=100000), " ",IF(INDEX($P$2:$S$1001,MATCH(ROWS($I$2:I865),$I$2:$I$1001,0),MATCH(COLUMNS($P$1006:S1006),$P$1006:$S$1006,0)), HYPERLINK("#",""), HYPERLINK(CONCATENATE("#metadata!", ADDRESS(INDEX($K$2:$K$1001,MATCH(ROWS($I$2:I865),$I$2:$I$1001,0),0), INDEX($P$1004:$S$1004,1,MATCH(COLUMNS($P$1006:S1006),$P$1006:$S$1006,0)))),"Fix")))</f>
        <v>0</v>
      </c>
      <c r="I865">
        <v>0</v>
      </c>
      <c r="J865">
        <v>0</v>
      </c>
      <c r="K865">
        <v>0</v>
      </c>
      <c r="L865">
        <f>IF(M865,TRUE,AND(P865:S865))</f>
        <v>0</v>
      </c>
      <c r="M865">
        <f>COUNTBLANK(metadata!B865:E865)=COLUMNS(metadata!B865:E865)</f>
        <v>0</v>
      </c>
      <c r="N865">
        <v>0</v>
      </c>
      <c r="P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Q865">
        <f>AND(IF(metadata!C865="",FALSE,TRUE),exact(metadata!C865,"other"))</f>
        <v>0</v>
      </c>
      <c r="R865">
        <f>AND(IF(metadata!D865="",FALSE,TRUE),exact(metadata!D865,"metagenome"))</f>
        <v>0</v>
      </c>
      <c r="S865">
        <f>AND(IF(metadata!E865="",FALSE,TRUE),exact(metadata!E865,"256318"))</f>
        <v>0</v>
      </c>
    </row>
    <row r="866" spans="1:19">
      <c r="A866" s="4">
        <f>IF(B866=" "," ",HYPERLINK(CONCATENATE("#metadata!",ADDRESS(INDEX($K$2:$K$1001,MATCH(ROWS($I$2:I866),$I$2:$I$1001,0),0),1)),INDEX($N$2:$N$1001,MATCH(ROWS($I$2:I866),$I$2:$I$1001,0),0)))</f>
        <v>0</v>
      </c>
      <c r="B866" s="3">
        <f>IF(OR(INDEX($J$2:$J$1001,MATCH(ROWS($I$2:I866),$I$2:$I$1001,0),1)&gt;=100000,INDEX($P$1005:$S$1005,1,MATCH(COLUMNS($P$1006:P1006),$P$1006:$S$1006,0))&gt;=100000), " ",IF(INDEX($P$2:$S$1001,MATCH(ROWS($I$2:I866),$I$2:$I$1001,0),MATCH(COLUMNS($P$1006:P1006),$P$1006:$S$1006,0)), HYPERLINK("#",""), HYPERLINK(CONCATENATE("#metadata!", ADDRESS(INDEX($K$2:$K$1001,MATCH(ROWS($I$2:I866),$I$2:$I$1001,0),0), INDEX($P$1004:$S$1004,1,MATCH(COLUMNS($P$1006:P1006),$P$1006:$S$1006,0)))),"Fix")))</f>
        <v>0</v>
      </c>
      <c r="C866" s="3">
        <f>IF(OR(INDEX($J$2:$J$1001,MATCH(ROWS($I$2:I866),$I$2:$I$1001,0),1)&gt;=100000,INDEX($P$1005:$S$1005,1,MATCH(COLUMNS($P$1006:Q1006),$P$1006:$S$1006,0))&gt;=100000), " ",IF(INDEX($P$2:$S$1001,MATCH(ROWS($I$2:I866),$I$2:$I$1001,0),MATCH(COLUMNS($P$1006:Q1006),$P$1006:$S$1006,0)), HYPERLINK("#",""), HYPERLINK(CONCATENATE("#metadata!", ADDRESS(INDEX($K$2:$K$1001,MATCH(ROWS($I$2:I866),$I$2:$I$1001,0),0), INDEX($P$1004:$S$1004,1,MATCH(COLUMNS($P$1006:Q1006),$P$1006:$S$1006,0)))),"Fix")))</f>
        <v>0</v>
      </c>
      <c r="D866" s="3">
        <f>IF(OR(INDEX($J$2:$J$1001,MATCH(ROWS($I$2:I866),$I$2:$I$1001,0),1)&gt;=100000,INDEX($P$1005:$S$1005,1,MATCH(COLUMNS($P$1006:R1006),$P$1006:$S$1006,0))&gt;=100000), " ",IF(INDEX($P$2:$S$1001,MATCH(ROWS($I$2:I866),$I$2:$I$1001,0),MATCH(COLUMNS($P$1006:R1006),$P$1006:$S$1006,0)), HYPERLINK("#",""), HYPERLINK(CONCATENATE("#metadata!", ADDRESS(INDEX($K$2:$K$1001,MATCH(ROWS($I$2:I866),$I$2:$I$1001,0),0), INDEX($P$1004:$S$1004,1,MATCH(COLUMNS($P$1006:R1006),$P$1006:$S$1006,0)))),"Fix")))</f>
        <v>0</v>
      </c>
      <c r="E866" s="3">
        <f>IF(OR(INDEX($J$2:$J$1001,MATCH(ROWS($I$2:I866),$I$2:$I$1001,0),1)&gt;=100000,INDEX($P$1005:$S$1005,1,MATCH(COLUMNS($P$1006:S1006),$P$1006:$S$1006,0))&gt;=100000), " ",IF(INDEX($P$2:$S$1001,MATCH(ROWS($I$2:I866),$I$2:$I$1001,0),MATCH(COLUMNS($P$1006:S1006),$P$1006:$S$1006,0)), HYPERLINK("#",""), HYPERLINK(CONCATENATE("#metadata!", ADDRESS(INDEX($K$2:$K$1001,MATCH(ROWS($I$2:I866),$I$2:$I$1001,0),0), INDEX($P$1004:$S$1004,1,MATCH(COLUMNS($P$1006:S1006),$P$1006:$S$1006,0)))),"Fix")))</f>
        <v>0</v>
      </c>
      <c r="I866">
        <v>0</v>
      </c>
      <c r="J866">
        <v>0</v>
      </c>
      <c r="K866">
        <v>0</v>
      </c>
      <c r="L866">
        <f>IF(M866,TRUE,AND(P866:S866))</f>
        <v>0</v>
      </c>
      <c r="M866">
        <f>COUNTBLANK(metadata!B866:E866)=COLUMNS(metadata!B866:E866)</f>
        <v>0</v>
      </c>
      <c r="N866">
        <v>0</v>
      </c>
      <c r="P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Q866">
        <f>AND(IF(metadata!C866="",FALSE,TRUE),exact(metadata!C866,"other"))</f>
        <v>0</v>
      </c>
      <c r="R866">
        <f>AND(IF(metadata!D866="",FALSE,TRUE),exact(metadata!D866,"metagenome"))</f>
        <v>0</v>
      </c>
      <c r="S866">
        <f>AND(IF(metadata!E866="",FALSE,TRUE),exact(metadata!E866,"256318"))</f>
        <v>0</v>
      </c>
    </row>
    <row r="867" spans="1:19">
      <c r="A867" s="4">
        <f>IF(B867=" "," ",HYPERLINK(CONCATENATE("#metadata!",ADDRESS(INDEX($K$2:$K$1001,MATCH(ROWS($I$2:I867),$I$2:$I$1001,0),0),1)),INDEX($N$2:$N$1001,MATCH(ROWS($I$2:I867),$I$2:$I$1001,0),0)))</f>
        <v>0</v>
      </c>
      <c r="B867" s="3">
        <f>IF(OR(INDEX($J$2:$J$1001,MATCH(ROWS($I$2:I867),$I$2:$I$1001,0),1)&gt;=100000,INDEX($P$1005:$S$1005,1,MATCH(COLUMNS($P$1006:P1006),$P$1006:$S$1006,0))&gt;=100000), " ",IF(INDEX($P$2:$S$1001,MATCH(ROWS($I$2:I867),$I$2:$I$1001,0),MATCH(COLUMNS($P$1006:P1006),$P$1006:$S$1006,0)), HYPERLINK("#",""), HYPERLINK(CONCATENATE("#metadata!", ADDRESS(INDEX($K$2:$K$1001,MATCH(ROWS($I$2:I867),$I$2:$I$1001,0),0), INDEX($P$1004:$S$1004,1,MATCH(COLUMNS($P$1006:P1006),$P$1006:$S$1006,0)))),"Fix")))</f>
        <v>0</v>
      </c>
      <c r="C867" s="3">
        <f>IF(OR(INDEX($J$2:$J$1001,MATCH(ROWS($I$2:I867),$I$2:$I$1001,0),1)&gt;=100000,INDEX($P$1005:$S$1005,1,MATCH(COLUMNS($P$1006:Q1006),$P$1006:$S$1006,0))&gt;=100000), " ",IF(INDEX($P$2:$S$1001,MATCH(ROWS($I$2:I867),$I$2:$I$1001,0),MATCH(COLUMNS($P$1006:Q1006),$P$1006:$S$1006,0)), HYPERLINK("#",""), HYPERLINK(CONCATENATE("#metadata!", ADDRESS(INDEX($K$2:$K$1001,MATCH(ROWS($I$2:I867),$I$2:$I$1001,0),0), INDEX($P$1004:$S$1004,1,MATCH(COLUMNS($P$1006:Q1006),$P$1006:$S$1006,0)))),"Fix")))</f>
        <v>0</v>
      </c>
      <c r="D867" s="3">
        <f>IF(OR(INDEX($J$2:$J$1001,MATCH(ROWS($I$2:I867),$I$2:$I$1001,0),1)&gt;=100000,INDEX($P$1005:$S$1005,1,MATCH(COLUMNS($P$1006:R1006),$P$1006:$S$1006,0))&gt;=100000), " ",IF(INDEX($P$2:$S$1001,MATCH(ROWS($I$2:I867),$I$2:$I$1001,0),MATCH(COLUMNS($P$1006:R1006),$P$1006:$S$1006,0)), HYPERLINK("#",""), HYPERLINK(CONCATENATE("#metadata!", ADDRESS(INDEX($K$2:$K$1001,MATCH(ROWS($I$2:I867),$I$2:$I$1001,0),0), INDEX($P$1004:$S$1004,1,MATCH(COLUMNS($P$1006:R1006),$P$1006:$S$1006,0)))),"Fix")))</f>
        <v>0</v>
      </c>
      <c r="E867" s="3">
        <f>IF(OR(INDEX($J$2:$J$1001,MATCH(ROWS($I$2:I867),$I$2:$I$1001,0),1)&gt;=100000,INDEX($P$1005:$S$1005,1,MATCH(COLUMNS($P$1006:S1006),$P$1006:$S$1006,0))&gt;=100000), " ",IF(INDEX($P$2:$S$1001,MATCH(ROWS($I$2:I867),$I$2:$I$1001,0),MATCH(COLUMNS($P$1006:S1006),$P$1006:$S$1006,0)), HYPERLINK("#",""), HYPERLINK(CONCATENATE("#metadata!", ADDRESS(INDEX($K$2:$K$1001,MATCH(ROWS($I$2:I867),$I$2:$I$1001,0),0), INDEX($P$1004:$S$1004,1,MATCH(COLUMNS($P$1006:S1006),$P$1006:$S$1006,0)))),"Fix")))</f>
        <v>0</v>
      </c>
      <c r="I867">
        <v>0</v>
      </c>
      <c r="J867">
        <v>0</v>
      </c>
      <c r="K867">
        <v>0</v>
      </c>
      <c r="L867">
        <f>IF(M867,TRUE,AND(P867:S867))</f>
        <v>0</v>
      </c>
      <c r="M867">
        <f>COUNTBLANK(metadata!B867:E867)=COLUMNS(metadata!B867:E867)</f>
        <v>0</v>
      </c>
      <c r="N867">
        <v>0</v>
      </c>
      <c r="P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Q867">
        <f>AND(IF(metadata!C867="",FALSE,TRUE),exact(metadata!C867,"other"))</f>
        <v>0</v>
      </c>
      <c r="R867">
        <f>AND(IF(metadata!D867="",FALSE,TRUE),exact(metadata!D867,"metagenome"))</f>
        <v>0</v>
      </c>
      <c r="S867">
        <f>AND(IF(metadata!E867="",FALSE,TRUE),exact(metadata!E867,"256318"))</f>
        <v>0</v>
      </c>
    </row>
    <row r="868" spans="1:19">
      <c r="A868" s="4">
        <f>IF(B868=" "," ",HYPERLINK(CONCATENATE("#metadata!",ADDRESS(INDEX($K$2:$K$1001,MATCH(ROWS($I$2:I868),$I$2:$I$1001,0),0),1)),INDEX($N$2:$N$1001,MATCH(ROWS($I$2:I868),$I$2:$I$1001,0),0)))</f>
        <v>0</v>
      </c>
      <c r="B868" s="3">
        <f>IF(OR(INDEX($J$2:$J$1001,MATCH(ROWS($I$2:I868),$I$2:$I$1001,0),1)&gt;=100000,INDEX($P$1005:$S$1005,1,MATCH(COLUMNS($P$1006:P1006),$P$1006:$S$1006,0))&gt;=100000), " ",IF(INDEX($P$2:$S$1001,MATCH(ROWS($I$2:I868),$I$2:$I$1001,0),MATCH(COLUMNS($P$1006:P1006),$P$1006:$S$1006,0)), HYPERLINK("#",""), HYPERLINK(CONCATENATE("#metadata!", ADDRESS(INDEX($K$2:$K$1001,MATCH(ROWS($I$2:I868),$I$2:$I$1001,0),0), INDEX($P$1004:$S$1004,1,MATCH(COLUMNS($P$1006:P1006),$P$1006:$S$1006,0)))),"Fix")))</f>
        <v>0</v>
      </c>
      <c r="C868" s="3">
        <f>IF(OR(INDEX($J$2:$J$1001,MATCH(ROWS($I$2:I868),$I$2:$I$1001,0),1)&gt;=100000,INDEX($P$1005:$S$1005,1,MATCH(COLUMNS($P$1006:Q1006),$P$1006:$S$1006,0))&gt;=100000), " ",IF(INDEX($P$2:$S$1001,MATCH(ROWS($I$2:I868),$I$2:$I$1001,0),MATCH(COLUMNS($P$1006:Q1006),$P$1006:$S$1006,0)), HYPERLINK("#",""), HYPERLINK(CONCATENATE("#metadata!", ADDRESS(INDEX($K$2:$K$1001,MATCH(ROWS($I$2:I868),$I$2:$I$1001,0),0), INDEX($P$1004:$S$1004,1,MATCH(COLUMNS($P$1006:Q1006),$P$1006:$S$1006,0)))),"Fix")))</f>
        <v>0</v>
      </c>
      <c r="D868" s="3">
        <f>IF(OR(INDEX($J$2:$J$1001,MATCH(ROWS($I$2:I868),$I$2:$I$1001,0),1)&gt;=100000,INDEX($P$1005:$S$1005,1,MATCH(COLUMNS($P$1006:R1006),$P$1006:$S$1006,0))&gt;=100000), " ",IF(INDEX($P$2:$S$1001,MATCH(ROWS($I$2:I868),$I$2:$I$1001,0),MATCH(COLUMNS($P$1006:R1006),$P$1006:$S$1006,0)), HYPERLINK("#",""), HYPERLINK(CONCATENATE("#metadata!", ADDRESS(INDEX($K$2:$K$1001,MATCH(ROWS($I$2:I868),$I$2:$I$1001,0),0), INDEX($P$1004:$S$1004,1,MATCH(COLUMNS($P$1006:R1006),$P$1006:$S$1006,0)))),"Fix")))</f>
        <v>0</v>
      </c>
      <c r="E868" s="3">
        <f>IF(OR(INDEX($J$2:$J$1001,MATCH(ROWS($I$2:I868),$I$2:$I$1001,0),1)&gt;=100000,INDEX($P$1005:$S$1005,1,MATCH(COLUMNS($P$1006:S1006),$P$1006:$S$1006,0))&gt;=100000), " ",IF(INDEX($P$2:$S$1001,MATCH(ROWS($I$2:I868),$I$2:$I$1001,0),MATCH(COLUMNS($P$1006:S1006),$P$1006:$S$1006,0)), HYPERLINK("#",""), HYPERLINK(CONCATENATE("#metadata!", ADDRESS(INDEX($K$2:$K$1001,MATCH(ROWS($I$2:I868),$I$2:$I$1001,0),0), INDEX($P$1004:$S$1004,1,MATCH(COLUMNS($P$1006:S1006),$P$1006:$S$1006,0)))),"Fix")))</f>
        <v>0</v>
      </c>
      <c r="I868">
        <v>0</v>
      </c>
      <c r="J868">
        <v>0</v>
      </c>
      <c r="K868">
        <v>0</v>
      </c>
      <c r="L868">
        <f>IF(M868,TRUE,AND(P868:S868))</f>
        <v>0</v>
      </c>
      <c r="M868">
        <f>COUNTBLANK(metadata!B868:E868)=COLUMNS(metadata!B868:E868)</f>
        <v>0</v>
      </c>
      <c r="N868">
        <v>0</v>
      </c>
      <c r="P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Q868">
        <f>AND(IF(metadata!C868="",FALSE,TRUE),exact(metadata!C868,"other"))</f>
        <v>0</v>
      </c>
      <c r="R868">
        <f>AND(IF(metadata!D868="",FALSE,TRUE),exact(metadata!D868,"metagenome"))</f>
        <v>0</v>
      </c>
      <c r="S868">
        <f>AND(IF(metadata!E868="",FALSE,TRUE),exact(metadata!E868,"256318"))</f>
        <v>0</v>
      </c>
    </row>
    <row r="869" spans="1:19">
      <c r="A869" s="4">
        <f>IF(B869=" "," ",HYPERLINK(CONCATENATE("#metadata!",ADDRESS(INDEX($K$2:$K$1001,MATCH(ROWS($I$2:I869),$I$2:$I$1001,0),0),1)),INDEX($N$2:$N$1001,MATCH(ROWS($I$2:I869),$I$2:$I$1001,0),0)))</f>
        <v>0</v>
      </c>
      <c r="B869" s="3">
        <f>IF(OR(INDEX($J$2:$J$1001,MATCH(ROWS($I$2:I869),$I$2:$I$1001,0),1)&gt;=100000,INDEX($P$1005:$S$1005,1,MATCH(COLUMNS($P$1006:P1006),$P$1006:$S$1006,0))&gt;=100000), " ",IF(INDEX($P$2:$S$1001,MATCH(ROWS($I$2:I869),$I$2:$I$1001,0),MATCH(COLUMNS($P$1006:P1006),$P$1006:$S$1006,0)), HYPERLINK("#",""), HYPERLINK(CONCATENATE("#metadata!", ADDRESS(INDEX($K$2:$K$1001,MATCH(ROWS($I$2:I869),$I$2:$I$1001,0),0), INDEX($P$1004:$S$1004,1,MATCH(COLUMNS($P$1006:P1006),$P$1006:$S$1006,0)))),"Fix")))</f>
        <v>0</v>
      </c>
      <c r="C869" s="3">
        <f>IF(OR(INDEX($J$2:$J$1001,MATCH(ROWS($I$2:I869),$I$2:$I$1001,0),1)&gt;=100000,INDEX($P$1005:$S$1005,1,MATCH(COLUMNS($P$1006:Q1006),$P$1006:$S$1006,0))&gt;=100000), " ",IF(INDEX($P$2:$S$1001,MATCH(ROWS($I$2:I869),$I$2:$I$1001,0),MATCH(COLUMNS($P$1006:Q1006),$P$1006:$S$1006,0)), HYPERLINK("#",""), HYPERLINK(CONCATENATE("#metadata!", ADDRESS(INDEX($K$2:$K$1001,MATCH(ROWS($I$2:I869),$I$2:$I$1001,0),0), INDEX($P$1004:$S$1004,1,MATCH(COLUMNS($P$1006:Q1006),$P$1006:$S$1006,0)))),"Fix")))</f>
        <v>0</v>
      </c>
      <c r="D869" s="3">
        <f>IF(OR(INDEX($J$2:$J$1001,MATCH(ROWS($I$2:I869),$I$2:$I$1001,0),1)&gt;=100000,INDEX($P$1005:$S$1005,1,MATCH(COLUMNS($P$1006:R1006),$P$1006:$S$1006,0))&gt;=100000), " ",IF(INDEX($P$2:$S$1001,MATCH(ROWS($I$2:I869),$I$2:$I$1001,0),MATCH(COLUMNS($P$1006:R1006),$P$1006:$S$1006,0)), HYPERLINK("#",""), HYPERLINK(CONCATENATE("#metadata!", ADDRESS(INDEX($K$2:$K$1001,MATCH(ROWS($I$2:I869),$I$2:$I$1001,0),0), INDEX($P$1004:$S$1004,1,MATCH(COLUMNS($P$1006:R1006),$P$1006:$S$1006,0)))),"Fix")))</f>
        <v>0</v>
      </c>
      <c r="E869" s="3">
        <f>IF(OR(INDEX($J$2:$J$1001,MATCH(ROWS($I$2:I869),$I$2:$I$1001,0),1)&gt;=100000,INDEX($P$1005:$S$1005,1,MATCH(COLUMNS($P$1006:S1006),$P$1006:$S$1006,0))&gt;=100000), " ",IF(INDEX($P$2:$S$1001,MATCH(ROWS($I$2:I869),$I$2:$I$1001,0),MATCH(COLUMNS($P$1006:S1006),$P$1006:$S$1006,0)), HYPERLINK("#",""), HYPERLINK(CONCATENATE("#metadata!", ADDRESS(INDEX($K$2:$K$1001,MATCH(ROWS($I$2:I869),$I$2:$I$1001,0),0), INDEX($P$1004:$S$1004,1,MATCH(COLUMNS($P$1006:S1006),$P$1006:$S$1006,0)))),"Fix")))</f>
        <v>0</v>
      </c>
      <c r="I869">
        <v>0</v>
      </c>
      <c r="J869">
        <v>0</v>
      </c>
      <c r="K869">
        <v>0</v>
      </c>
      <c r="L869">
        <f>IF(M869,TRUE,AND(P869:S869))</f>
        <v>0</v>
      </c>
      <c r="M869">
        <f>COUNTBLANK(metadata!B869:E869)=COLUMNS(metadata!B869:E869)</f>
        <v>0</v>
      </c>
      <c r="N869">
        <v>0</v>
      </c>
      <c r="P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Q869">
        <f>AND(IF(metadata!C869="",FALSE,TRUE),exact(metadata!C869,"other"))</f>
        <v>0</v>
      </c>
      <c r="R869">
        <f>AND(IF(metadata!D869="",FALSE,TRUE),exact(metadata!D869,"metagenome"))</f>
        <v>0</v>
      </c>
      <c r="S869">
        <f>AND(IF(metadata!E869="",FALSE,TRUE),exact(metadata!E869,"256318"))</f>
        <v>0</v>
      </c>
    </row>
    <row r="870" spans="1:19">
      <c r="A870" s="4">
        <f>IF(B870=" "," ",HYPERLINK(CONCATENATE("#metadata!",ADDRESS(INDEX($K$2:$K$1001,MATCH(ROWS($I$2:I870),$I$2:$I$1001,0),0),1)),INDEX($N$2:$N$1001,MATCH(ROWS($I$2:I870),$I$2:$I$1001,0),0)))</f>
        <v>0</v>
      </c>
      <c r="B870" s="3">
        <f>IF(OR(INDEX($J$2:$J$1001,MATCH(ROWS($I$2:I870),$I$2:$I$1001,0),1)&gt;=100000,INDEX($P$1005:$S$1005,1,MATCH(COLUMNS($P$1006:P1006),$P$1006:$S$1006,0))&gt;=100000), " ",IF(INDEX($P$2:$S$1001,MATCH(ROWS($I$2:I870),$I$2:$I$1001,0),MATCH(COLUMNS($P$1006:P1006),$P$1006:$S$1006,0)), HYPERLINK("#",""), HYPERLINK(CONCATENATE("#metadata!", ADDRESS(INDEX($K$2:$K$1001,MATCH(ROWS($I$2:I870),$I$2:$I$1001,0),0), INDEX($P$1004:$S$1004,1,MATCH(COLUMNS($P$1006:P1006),$P$1006:$S$1006,0)))),"Fix")))</f>
        <v>0</v>
      </c>
      <c r="C870" s="3">
        <f>IF(OR(INDEX($J$2:$J$1001,MATCH(ROWS($I$2:I870),$I$2:$I$1001,0),1)&gt;=100000,INDEX($P$1005:$S$1005,1,MATCH(COLUMNS($P$1006:Q1006),$P$1006:$S$1006,0))&gt;=100000), " ",IF(INDEX($P$2:$S$1001,MATCH(ROWS($I$2:I870),$I$2:$I$1001,0),MATCH(COLUMNS($P$1006:Q1006),$P$1006:$S$1006,0)), HYPERLINK("#",""), HYPERLINK(CONCATENATE("#metadata!", ADDRESS(INDEX($K$2:$K$1001,MATCH(ROWS($I$2:I870),$I$2:$I$1001,0),0), INDEX($P$1004:$S$1004,1,MATCH(COLUMNS($P$1006:Q1006),$P$1006:$S$1006,0)))),"Fix")))</f>
        <v>0</v>
      </c>
      <c r="D870" s="3">
        <f>IF(OR(INDEX($J$2:$J$1001,MATCH(ROWS($I$2:I870),$I$2:$I$1001,0),1)&gt;=100000,INDEX($P$1005:$S$1005,1,MATCH(COLUMNS($P$1006:R1006),$P$1006:$S$1006,0))&gt;=100000), " ",IF(INDEX($P$2:$S$1001,MATCH(ROWS($I$2:I870),$I$2:$I$1001,0),MATCH(COLUMNS($P$1006:R1006),$P$1006:$S$1006,0)), HYPERLINK("#",""), HYPERLINK(CONCATENATE("#metadata!", ADDRESS(INDEX($K$2:$K$1001,MATCH(ROWS($I$2:I870),$I$2:$I$1001,0),0), INDEX($P$1004:$S$1004,1,MATCH(COLUMNS($P$1006:R1006),$P$1006:$S$1006,0)))),"Fix")))</f>
        <v>0</v>
      </c>
      <c r="E870" s="3">
        <f>IF(OR(INDEX($J$2:$J$1001,MATCH(ROWS($I$2:I870),$I$2:$I$1001,0),1)&gt;=100000,INDEX($P$1005:$S$1005,1,MATCH(COLUMNS($P$1006:S1006),$P$1006:$S$1006,0))&gt;=100000), " ",IF(INDEX($P$2:$S$1001,MATCH(ROWS($I$2:I870),$I$2:$I$1001,0),MATCH(COLUMNS($P$1006:S1006),$P$1006:$S$1006,0)), HYPERLINK("#",""), HYPERLINK(CONCATENATE("#metadata!", ADDRESS(INDEX($K$2:$K$1001,MATCH(ROWS($I$2:I870),$I$2:$I$1001,0),0), INDEX($P$1004:$S$1004,1,MATCH(COLUMNS($P$1006:S1006),$P$1006:$S$1006,0)))),"Fix")))</f>
        <v>0</v>
      </c>
      <c r="I870">
        <v>0</v>
      </c>
      <c r="J870">
        <v>0</v>
      </c>
      <c r="K870">
        <v>0</v>
      </c>
      <c r="L870">
        <f>IF(M870,TRUE,AND(P870:S870))</f>
        <v>0</v>
      </c>
      <c r="M870">
        <f>COUNTBLANK(metadata!B870:E870)=COLUMNS(metadata!B870:E870)</f>
        <v>0</v>
      </c>
      <c r="N870">
        <v>0</v>
      </c>
      <c r="P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Q870">
        <f>AND(IF(metadata!C870="",FALSE,TRUE),exact(metadata!C870,"other"))</f>
        <v>0</v>
      </c>
      <c r="R870">
        <f>AND(IF(metadata!D870="",FALSE,TRUE),exact(metadata!D870,"metagenome"))</f>
        <v>0</v>
      </c>
      <c r="S870">
        <f>AND(IF(metadata!E870="",FALSE,TRUE),exact(metadata!E870,"256318"))</f>
        <v>0</v>
      </c>
    </row>
    <row r="871" spans="1:19">
      <c r="A871" s="4">
        <f>IF(B871=" "," ",HYPERLINK(CONCATENATE("#metadata!",ADDRESS(INDEX($K$2:$K$1001,MATCH(ROWS($I$2:I871),$I$2:$I$1001,0),0),1)),INDEX($N$2:$N$1001,MATCH(ROWS($I$2:I871),$I$2:$I$1001,0),0)))</f>
        <v>0</v>
      </c>
      <c r="B871" s="3">
        <f>IF(OR(INDEX($J$2:$J$1001,MATCH(ROWS($I$2:I871),$I$2:$I$1001,0),1)&gt;=100000,INDEX($P$1005:$S$1005,1,MATCH(COLUMNS($P$1006:P1006),$P$1006:$S$1006,0))&gt;=100000), " ",IF(INDEX($P$2:$S$1001,MATCH(ROWS($I$2:I871),$I$2:$I$1001,0),MATCH(COLUMNS($P$1006:P1006),$P$1006:$S$1006,0)), HYPERLINK("#",""), HYPERLINK(CONCATENATE("#metadata!", ADDRESS(INDEX($K$2:$K$1001,MATCH(ROWS($I$2:I871),$I$2:$I$1001,0),0), INDEX($P$1004:$S$1004,1,MATCH(COLUMNS($P$1006:P1006),$P$1006:$S$1006,0)))),"Fix")))</f>
        <v>0</v>
      </c>
      <c r="C871" s="3">
        <f>IF(OR(INDEX($J$2:$J$1001,MATCH(ROWS($I$2:I871),$I$2:$I$1001,0),1)&gt;=100000,INDEX($P$1005:$S$1005,1,MATCH(COLUMNS($P$1006:Q1006),$P$1006:$S$1006,0))&gt;=100000), " ",IF(INDEX($P$2:$S$1001,MATCH(ROWS($I$2:I871),$I$2:$I$1001,0),MATCH(COLUMNS($P$1006:Q1006),$P$1006:$S$1006,0)), HYPERLINK("#",""), HYPERLINK(CONCATENATE("#metadata!", ADDRESS(INDEX($K$2:$K$1001,MATCH(ROWS($I$2:I871),$I$2:$I$1001,0),0), INDEX($P$1004:$S$1004,1,MATCH(COLUMNS($P$1006:Q1006),$P$1006:$S$1006,0)))),"Fix")))</f>
        <v>0</v>
      </c>
      <c r="D871" s="3">
        <f>IF(OR(INDEX($J$2:$J$1001,MATCH(ROWS($I$2:I871),$I$2:$I$1001,0),1)&gt;=100000,INDEX($P$1005:$S$1005,1,MATCH(COLUMNS($P$1006:R1006),$P$1006:$S$1006,0))&gt;=100000), " ",IF(INDEX($P$2:$S$1001,MATCH(ROWS($I$2:I871),$I$2:$I$1001,0),MATCH(COLUMNS($P$1006:R1006),$P$1006:$S$1006,0)), HYPERLINK("#",""), HYPERLINK(CONCATENATE("#metadata!", ADDRESS(INDEX($K$2:$K$1001,MATCH(ROWS($I$2:I871),$I$2:$I$1001,0),0), INDEX($P$1004:$S$1004,1,MATCH(COLUMNS($P$1006:R1006),$P$1006:$S$1006,0)))),"Fix")))</f>
        <v>0</v>
      </c>
      <c r="E871" s="3">
        <f>IF(OR(INDEX($J$2:$J$1001,MATCH(ROWS($I$2:I871),$I$2:$I$1001,0),1)&gt;=100000,INDEX($P$1005:$S$1005,1,MATCH(COLUMNS($P$1006:S1006),$P$1006:$S$1006,0))&gt;=100000), " ",IF(INDEX($P$2:$S$1001,MATCH(ROWS($I$2:I871),$I$2:$I$1001,0),MATCH(COLUMNS($P$1006:S1006),$P$1006:$S$1006,0)), HYPERLINK("#",""), HYPERLINK(CONCATENATE("#metadata!", ADDRESS(INDEX($K$2:$K$1001,MATCH(ROWS($I$2:I871),$I$2:$I$1001,0),0), INDEX($P$1004:$S$1004,1,MATCH(COLUMNS($P$1006:S1006),$P$1006:$S$1006,0)))),"Fix")))</f>
        <v>0</v>
      </c>
      <c r="I871">
        <v>0</v>
      </c>
      <c r="J871">
        <v>0</v>
      </c>
      <c r="K871">
        <v>0</v>
      </c>
      <c r="L871">
        <f>IF(M871,TRUE,AND(P871:S871))</f>
        <v>0</v>
      </c>
      <c r="M871">
        <f>COUNTBLANK(metadata!B871:E871)=COLUMNS(metadata!B871:E871)</f>
        <v>0</v>
      </c>
      <c r="N871">
        <v>0</v>
      </c>
      <c r="P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Q871">
        <f>AND(IF(metadata!C871="",FALSE,TRUE),exact(metadata!C871,"other"))</f>
        <v>0</v>
      </c>
      <c r="R871">
        <f>AND(IF(metadata!D871="",FALSE,TRUE),exact(metadata!D871,"metagenome"))</f>
        <v>0</v>
      </c>
      <c r="S871">
        <f>AND(IF(metadata!E871="",FALSE,TRUE),exact(metadata!E871,"256318"))</f>
        <v>0</v>
      </c>
    </row>
    <row r="872" spans="1:19">
      <c r="A872" s="4">
        <f>IF(B872=" "," ",HYPERLINK(CONCATENATE("#metadata!",ADDRESS(INDEX($K$2:$K$1001,MATCH(ROWS($I$2:I872),$I$2:$I$1001,0),0),1)),INDEX($N$2:$N$1001,MATCH(ROWS($I$2:I872),$I$2:$I$1001,0),0)))</f>
        <v>0</v>
      </c>
      <c r="B872" s="3">
        <f>IF(OR(INDEX($J$2:$J$1001,MATCH(ROWS($I$2:I872),$I$2:$I$1001,0),1)&gt;=100000,INDEX($P$1005:$S$1005,1,MATCH(COLUMNS($P$1006:P1006),$P$1006:$S$1006,0))&gt;=100000), " ",IF(INDEX($P$2:$S$1001,MATCH(ROWS($I$2:I872),$I$2:$I$1001,0),MATCH(COLUMNS($P$1006:P1006),$P$1006:$S$1006,0)), HYPERLINK("#",""), HYPERLINK(CONCATENATE("#metadata!", ADDRESS(INDEX($K$2:$K$1001,MATCH(ROWS($I$2:I872),$I$2:$I$1001,0),0), INDEX($P$1004:$S$1004,1,MATCH(COLUMNS($P$1006:P1006),$P$1006:$S$1006,0)))),"Fix")))</f>
        <v>0</v>
      </c>
      <c r="C872" s="3">
        <f>IF(OR(INDEX($J$2:$J$1001,MATCH(ROWS($I$2:I872),$I$2:$I$1001,0),1)&gt;=100000,INDEX($P$1005:$S$1005,1,MATCH(COLUMNS($P$1006:Q1006),$P$1006:$S$1006,0))&gt;=100000), " ",IF(INDEX($P$2:$S$1001,MATCH(ROWS($I$2:I872),$I$2:$I$1001,0),MATCH(COLUMNS($P$1006:Q1006),$P$1006:$S$1006,0)), HYPERLINK("#",""), HYPERLINK(CONCATENATE("#metadata!", ADDRESS(INDEX($K$2:$K$1001,MATCH(ROWS($I$2:I872),$I$2:$I$1001,0),0), INDEX($P$1004:$S$1004,1,MATCH(COLUMNS($P$1006:Q1006),$P$1006:$S$1006,0)))),"Fix")))</f>
        <v>0</v>
      </c>
      <c r="D872" s="3">
        <f>IF(OR(INDEX($J$2:$J$1001,MATCH(ROWS($I$2:I872),$I$2:$I$1001,0),1)&gt;=100000,INDEX($P$1005:$S$1005,1,MATCH(COLUMNS($P$1006:R1006),$P$1006:$S$1006,0))&gt;=100000), " ",IF(INDEX($P$2:$S$1001,MATCH(ROWS($I$2:I872),$I$2:$I$1001,0),MATCH(COLUMNS($P$1006:R1006),$P$1006:$S$1006,0)), HYPERLINK("#",""), HYPERLINK(CONCATENATE("#metadata!", ADDRESS(INDEX($K$2:$K$1001,MATCH(ROWS($I$2:I872),$I$2:$I$1001,0),0), INDEX($P$1004:$S$1004,1,MATCH(COLUMNS($P$1006:R1006),$P$1006:$S$1006,0)))),"Fix")))</f>
        <v>0</v>
      </c>
      <c r="E872" s="3">
        <f>IF(OR(INDEX($J$2:$J$1001,MATCH(ROWS($I$2:I872),$I$2:$I$1001,0),1)&gt;=100000,INDEX($P$1005:$S$1005,1,MATCH(COLUMNS($P$1006:S1006),$P$1006:$S$1006,0))&gt;=100000), " ",IF(INDEX($P$2:$S$1001,MATCH(ROWS($I$2:I872),$I$2:$I$1001,0),MATCH(COLUMNS($P$1006:S1006),$P$1006:$S$1006,0)), HYPERLINK("#",""), HYPERLINK(CONCATENATE("#metadata!", ADDRESS(INDEX($K$2:$K$1001,MATCH(ROWS($I$2:I872),$I$2:$I$1001,0),0), INDEX($P$1004:$S$1004,1,MATCH(COLUMNS($P$1006:S1006),$P$1006:$S$1006,0)))),"Fix")))</f>
        <v>0</v>
      </c>
      <c r="I872">
        <v>0</v>
      </c>
      <c r="J872">
        <v>0</v>
      </c>
      <c r="K872">
        <v>0</v>
      </c>
      <c r="L872">
        <f>IF(M872,TRUE,AND(P872:S872))</f>
        <v>0</v>
      </c>
      <c r="M872">
        <f>COUNTBLANK(metadata!B872:E872)=COLUMNS(metadata!B872:E872)</f>
        <v>0</v>
      </c>
      <c r="N872">
        <v>0</v>
      </c>
      <c r="P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Q872">
        <f>AND(IF(metadata!C872="",FALSE,TRUE),exact(metadata!C872,"other"))</f>
        <v>0</v>
      </c>
      <c r="R872">
        <f>AND(IF(metadata!D872="",FALSE,TRUE),exact(metadata!D872,"metagenome"))</f>
        <v>0</v>
      </c>
      <c r="S872">
        <f>AND(IF(metadata!E872="",FALSE,TRUE),exact(metadata!E872,"256318"))</f>
        <v>0</v>
      </c>
    </row>
    <row r="873" spans="1:19">
      <c r="A873" s="4">
        <f>IF(B873=" "," ",HYPERLINK(CONCATENATE("#metadata!",ADDRESS(INDEX($K$2:$K$1001,MATCH(ROWS($I$2:I873),$I$2:$I$1001,0),0),1)),INDEX($N$2:$N$1001,MATCH(ROWS($I$2:I873),$I$2:$I$1001,0),0)))</f>
        <v>0</v>
      </c>
      <c r="B873" s="3">
        <f>IF(OR(INDEX($J$2:$J$1001,MATCH(ROWS($I$2:I873),$I$2:$I$1001,0),1)&gt;=100000,INDEX($P$1005:$S$1005,1,MATCH(COLUMNS($P$1006:P1006),$P$1006:$S$1006,0))&gt;=100000), " ",IF(INDEX($P$2:$S$1001,MATCH(ROWS($I$2:I873),$I$2:$I$1001,0),MATCH(COLUMNS($P$1006:P1006),$P$1006:$S$1006,0)), HYPERLINK("#",""), HYPERLINK(CONCATENATE("#metadata!", ADDRESS(INDEX($K$2:$K$1001,MATCH(ROWS($I$2:I873),$I$2:$I$1001,0),0), INDEX($P$1004:$S$1004,1,MATCH(COLUMNS($P$1006:P1006),$P$1006:$S$1006,0)))),"Fix")))</f>
        <v>0</v>
      </c>
      <c r="C873" s="3">
        <f>IF(OR(INDEX($J$2:$J$1001,MATCH(ROWS($I$2:I873),$I$2:$I$1001,0),1)&gt;=100000,INDEX($P$1005:$S$1005,1,MATCH(COLUMNS($P$1006:Q1006),$P$1006:$S$1006,0))&gt;=100000), " ",IF(INDEX($P$2:$S$1001,MATCH(ROWS($I$2:I873),$I$2:$I$1001,0),MATCH(COLUMNS($P$1006:Q1006),$P$1006:$S$1006,0)), HYPERLINK("#",""), HYPERLINK(CONCATENATE("#metadata!", ADDRESS(INDEX($K$2:$K$1001,MATCH(ROWS($I$2:I873),$I$2:$I$1001,0),0), INDEX($P$1004:$S$1004,1,MATCH(COLUMNS($P$1006:Q1006),$P$1006:$S$1006,0)))),"Fix")))</f>
        <v>0</v>
      </c>
      <c r="D873" s="3">
        <f>IF(OR(INDEX($J$2:$J$1001,MATCH(ROWS($I$2:I873),$I$2:$I$1001,0),1)&gt;=100000,INDEX($P$1005:$S$1005,1,MATCH(COLUMNS($P$1006:R1006),$P$1006:$S$1006,0))&gt;=100000), " ",IF(INDEX($P$2:$S$1001,MATCH(ROWS($I$2:I873),$I$2:$I$1001,0),MATCH(COLUMNS($P$1006:R1006),$P$1006:$S$1006,0)), HYPERLINK("#",""), HYPERLINK(CONCATENATE("#metadata!", ADDRESS(INDEX($K$2:$K$1001,MATCH(ROWS($I$2:I873),$I$2:$I$1001,0),0), INDEX($P$1004:$S$1004,1,MATCH(COLUMNS($P$1006:R1006),$P$1006:$S$1006,0)))),"Fix")))</f>
        <v>0</v>
      </c>
      <c r="E873" s="3">
        <f>IF(OR(INDEX($J$2:$J$1001,MATCH(ROWS($I$2:I873),$I$2:$I$1001,0),1)&gt;=100000,INDEX($P$1005:$S$1005,1,MATCH(COLUMNS($P$1006:S1006),$P$1006:$S$1006,0))&gt;=100000), " ",IF(INDEX($P$2:$S$1001,MATCH(ROWS($I$2:I873),$I$2:$I$1001,0),MATCH(COLUMNS($P$1006:S1006),$P$1006:$S$1006,0)), HYPERLINK("#",""), HYPERLINK(CONCATENATE("#metadata!", ADDRESS(INDEX($K$2:$K$1001,MATCH(ROWS($I$2:I873),$I$2:$I$1001,0),0), INDEX($P$1004:$S$1004,1,MATCH(COLUMNS($P$1006:S1006),$P$1006:$S$1006,0)))),"Fix")))</f>
        <v>0</v>
      </c>
      <c r="I873">
        <v>0</v>
      </c>
      <c r="J873">
        <v>0</v>
      </c>
      <c r="K873">
        <v>0</v>
      </c>
      <c r="L873">
        <f>IF(M873,TRUE,AND(P873:S873))</f>
        <v>0</v>
      </c>
      <c r="M873">
        <f>COUNTBLANK(metadata!B873:E873)=COLUMNS(metadata!B873:E873)</f>
        <v>0</v>
      </c>
      <c r="N873">
        <v>0</v>
      </c>
      <c r="P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Q873">
        <f>AND(IF(metadata!C873="",FALSE,TRUE),exact(metadata!C873,"other"))</f>
        <v>0</v>
      </c>
      <c r="R873">
        <f>AND(IF(metadata!D873="",FALSE,TRUE),exact(metadata!D873,"metagenome"))</f>
        <v>0</v>
      </c>
      <c r="S873">
        <f>AND(IF(metadata!E873="",FALSE,TRUE),exact(metadata!E873,"256318"))</f>
        <v>0</v>
      </c>
    </row>
    <row r="874" spans="1:19">
      <c r="A874" s="4">
        <f>IF(B874=" "," ",HYPERLINK(CONCATENATE("#metadata!",ADDRESS(INDEX($K$2:$K$1001,MATCH(ROWS($I$2:I874),$I$2:$I$1001,0),0),1)),INDEX($N$2:$N$1001,MATCH(ROWS($I$2:I874),$I$2:$I$1001,0),0)))</f>
        <v>0</v>
      </c>
      <c r="B874" s="3">
        <f>IF(OR(INDEX($J$2:$J$1001,MATCH(ROWS($I$2:I874),$I$2:$I$1001,0),1)&gt;=100000,INDEX($P$1005:$S$1005,1,MATCH(COLUMNS($P$1006:P1006),$P$1006:$S$1006,0))&gt;=100000), " ",IF(INDEX($P$2:$S$1001,MATCH(ROWS($I$2:I874),$I$2:$I$1001,0),MATCH(COLUMNS($P$1006:P1006),$P$1006:$S$1006,0)), HYPERLINK("#",""), HYPERLINK(CONCATENATE("#metadata!", ADDRESS(INDEX($K$2:$K$1001,MATCH(ROWS($I$2:I874),$I$2:$I$1001,0),0), INDEX($P$1004:$S$1004,1,MATCH(COLUMNS($P$1006:P1006),$P$1006:$S$1006,0)))),"Fix")))</f>
        <v>0</v>
      </c>
      <c r="C874" s="3">
        <f>IF(OR(INDEX($J$2:$J$1001,MATCH(ROWS($I$2:I874),$I$2:$I$1001,0),1)&gt;=100000,INDEX($P$1005:$S$1005,1,MATCH(COLUMNS($P$1006:Q1006),$P$1006:$S$1006,0))&gt;=100000), " ",IF(INDEX($P$2:$S$1001,MATCH(ROWS($I$2:I874),$I$2:$I$1001,0),MATCH(COLUMNS($P$1006:Q1006),$P$1006:$S$1006,0)), HYPERLINK("#",""), HYPERLINK(CONCATENATE("#metadata!", ADDRESS(INDEX($K$2:$K$1001,MATCH(ROWS($I$2:I874),$I$2:$I$1001,0),0), INDEX($P$1004:$S$1004,1,MATCH(COLUMNS($P$1006:Q1006),$P$1006:$S$1006,0)))),"Fix")))</f>
        <v>0</v>
      </c>
      <c r="D874" s="3">
        <f>IF(OR(INDEX($J$2:$J$1001,MATCH(ROWS($I$2:I874),$I$2:$I$1001,0),1)&gt;=100000,INDEX($P$1005:$S$1005,1,MATCH(COLUMNS($P$1006:R1006),$P$1006:$S$1006,0))&gt;=100000), " ",IF(INDEX($P$2:$S$1001,MATCH(ROWS($I$2:I874),$I$2:$I$1001,0),MATCH(COLUMNS($P$1006:R1006),$P$1006:$S$1006,0)), HYPERLINK("#",""), HYPERLINK(CONCATENATE("#metadata!", ADDRESS(INDEX($K$2:$K$1001,MATCH(ROWS($I$2:I874),$I$2:$I$1001,0),0), INDEX($P$1004:$S$1004,1,MATCH(COLUMNS($P$1006:R1006),$P$1006:$S$1006,0)))),"Fix")))</f>
        <v>0</v>
      </c>
      <c r="E874" s="3">
        <f>IF(OR(INDEX($J$2:$J$1001,MATCH(ROWS($I$2:I874),$I$2:$I$1001,0),1)&gt;=100000,INDEX($P$1005:$S$1005,1,MATCH(COLUMNS($P$1006:S1006),$P$1006:$S$1006,0))&gt;=100000), " ",IF(INDEX($P$2:$S$1001,MATCH(ROWS($I$2:I874),$I$2:$I$1001,0),MATCH(COLUMNS($P$1006:S1006),$P$1006:$S$1006,0)), HYPERLINK("#",""), HYPERLINK(CONCATENATE("#metadata!", ADDRESS(INDEX($K$2:$K$1001,MATCH(ROWS($I$2:I874),$I$2:$I$1001,0),0), INDEX($P$1004:$S$1004,1,MATCH(COLUMNS($P$1006:S1006),$P$1006:$S$1006,0)))),"Fix")))</f>
        <v>0</v>
      </c>
      <c r="I874">
        <v>0</v>
      </c>
      <c r="J874">
        <v>0</v>
      </c>
      <c r="K874">
        <v>0</v>
      </c>
      <c r="L874">
        <f>IF(M874,TRUE,AND(P874:S874))</f>
        <v>0</v>
      </c>
      <c r="M874">
        <f>COUNTBLANK(metadata!B874:E874)=COLUMNS(metadata!B874:E874)</f>
        <v>0</v>
      </c>
      <c r="N874">
        <v>0</v>
      </c>
      <c r="P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Q874">
        <f>AND(IF(metadata!C874="",FALSE,TRUE),exact(metadata!C874,"other"))</f>
        <v>0</v>
      </c>
      <c r="R874">
        <f>AND(IF(metadata!D874="",FALSE,TRUE),exact(metadata!D874,"metagenome"))</f>
        <v>0</v>
      </c>
      <c r="S874">
        <f>AND(IF(metadata!E874="",FALSE,TRUE),exact(metadata!E874,"256318"))</f>
        <v>0</v>
      </c>
    </row>
    <row r="875" spans="1:19">
      <c r="A875" s="4">
        <f>IF(B875=" "," ",HYPERLINK(CONCATENATE("#metadata!",ADDRESS(INDEX($K$2:$K$1001,MATCH(ROWS($I$2:I875),$I$2:$I$1001,0),0),1)),INDEX($N$2:$N$1001,MATCH(ROWS($I$2:I875),$I$2:$I$1001,0),0)))</f>
        <v>0</v>
      </c>
      <c r="B875" s="3">
        <f>IF(OR(INDEX($J$2:$J$1001,MATCH(ROWS($I$2:I875),$I$2:$I$1001,0),1)&gt;=100000,INDEX($P$1005:$S$1005,1,MATCH(COLUMNS($P$1006:P1006),$P$1006:$S$1006,0))&gt;=100000), " ",IF(INDEX($P$2:$S$1001,MATCH(ROWS($I$2:I875),$I$2:$I$1001,0),MATCH(COLUMNS($P$1006:P1006),$P$1006:$S$1006,0)), HYPERLINK("#",""), HYPERLINK(CONCATENATE("#metadata!", ADDRESS(INDEX($K$2:$K$1001,MATCH(ROWS($I$2:I875),$I$2:$I$1001,0),0), INDEX($P$1004:$S$1004,1,MATCH(COLUMNS($P$1006:P1006),$P$1006:$S$1006,0)))),"Fix")))</f>
        <v>0</v>
      </c>
      <c r="C875" s="3">
        <f>IF(OR(INDEX($J$2:$J$1001,MATCH(ROWS($I$2:I875),$I$2:$I$1001,0),1)&gt;=100000,INDEX($P$1005:$S$1005,1,MATCH(COLUMNS($P$1006:Q1006),$P$1006:$S$1006,0))&gt;=100000), " ",IF(INDEX($P$2:$S$1001,MATCH(ROWS($I$2:I875),$I$2:$I$1001,0),MATCH(COLUMNS($P$1006:Q1006),$P$1006:$S$1006,0)), HYPERLINK("#",""), HYPERLINK(CONCATENATE("#metadata!", ADDRESS(INDEX($K$2:$K$1001,MATCH(ROWS($I$2:I875),$I$2:$I$1001,0),0), INDEX($P$1004:$S$1004,1,MATCH(COLUMNS($P$1006:Q1006),$P$1006:$S$1006,0)))),"Fix")))</f>
        <v>0</v>
      </c>
      <c r="D875" s="3">
        <f>IF(OR(INDEX($J$2:$J$1001,MATCH(ROWS($I$2:I875),$I$2:$I$1001,0),1)&gt;=100000,INDEX($P$1005:$S$1005,1,MATCH(COLUMNS($P$1006:R1006),$P$1006:$S$1006,0))&gt;=100000), " ",IF(INDEX($P$2:$S$1001,MATCH(ROWS($I$2:I875),$I$2:$I$1001,0),MATCH(COLUMNS($P$1006:R1006),$P$1006:$S$1006,0)), HYPERLINK("#",""), HYPERLINK(CONCATENATE("#metadata!", ADDRESS(INDEX($K$2:$K$1001,MATCH(ROWS($I$2:I875),$I$2:$I$1001,0),0), INDEX($P$1004:$S$1004,1,MATCH(COLUMNS($P$1006:R1006),$P$1006:$S$1006,0)))),"Fix")))</f>
        <v>0</v>
      </c>
      <c r="E875" s="3">
        <f>IF(OR(INDEX($J$2:$J$1001,MATCH(ROWS($I$2:I875),$I$2:$I$1001,0),1)&gt;=100000,INDEX($P$1005:$S$1005,1,MATCH(COLUMNS($P$1006:S1006),$P$1006:$S$1006,0))&gt;=100000), " ",IF(INDEX($P$2:$S$1001,MATCH(ROWS($I$2:I875),$I$2:$I$1001,0),MATCH(COLUMNS($P$1006:S1006),$P$1006:$S$1006,0)), HYPERLINK("#",""), HYPERLINK(CONCATENATE("#metadata!", ADDRESS(INDEX($K$2:$K$1001,MATCH(ROWS($I$2:I875),$I$2:$I$1001,0),0), INDEX($P$1004:$S$1004,1,MATCH(COLUMNS($P$1006:S1006),$P$1006:$S$1006,0)))),"Fix")))</f>
        <v>0</v>
      </c>
      <c r="I875">
        <v>0</v>
      </c>
      <c r="J875">
        <v>0</v>
      </c>
      <c r="K875">
        <v>0</v>
      </c>
      <c r="L875">
        <f>IF(M875,TRUE,AND(P875:S875))</f>
        <v>0</v>
      </c>
      <c r="M875">
        <f>COUNTBLANK(metadata!B875:E875)=COLUMNS(metadata!B875:E875)</f>
        <v>0</v>
      </c>
      <c r="N875">
        <v>0</v>
      </c>
      <c r="P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Q875">
        <f>AND(IF(metadata!C875="",FALSE,TRUE),exact(metadata!C875,"other"))</f>
        <v>0</v>
      </c>
      <c r="R875">
        <f>AND(IF(metadata!D875="",FALSE,TRUE),exact(metadata!D875,"metagenome"))</f>
        <v>0</v>
      </c>
      <c r="S875">
        <f>AND(IF(metadata!E875="",FALSE,TRUE),exact(metadata!E875,"256318"))</f>
        <v>0</v>
      </c>
    </row>
    <row r="876" spans="1:19">
      <c r="A876" s="4">
        <f>IF(B876=" "," ",HYPERLINK(CONCATENATE("#metadata!",ADDRESS(INDEX($K$2:$K$1001,MATCH(ROWS($I$2:I876),$I$2:$I$1001,0),0),1)),INDEX($N$2:$N$1001,MATCH(ROWS($I$2:I876),$I$2:$I$1001,0),0)))</f>
        <v>0</v>
      </c>
      <c r="B876" s="3">
        <f>IF(OR(INDEX($J$2:$J$1001,MATCH(ROWS($I$2:I876),$I$2:$I$1001,0),1)&gt;=100000,INDEX($P$1005:$S$1005,1,MATCH(COLUMNS($P$1006:P1006),$P$1006:$S$1006,0))&gt;=100000), " ",IF(INDEX($P$2:$S$1001,MATCH(ROWS($I$2:I876),$I$2:$I$1001,0),MATCH(COLUMNS($P$1006:P1006),$P$1006:$S$1006,0)), HYPERLINK("#",""), HYPERLINK(CONCATENATE("#metadata!", ADDRESS(INDEX($K$2:$K$1001,MATCH(ROWS($I$2:I876),$I$2:$I$1001,0),0), INDEX($P$1004:$S$1004,1,MATCH(COLUMNS($P$1006:P1006),$P$1006:$S$1006,0)))),"Fix")))</f>
        <v>0</v>
      </c>
      <c r="C876" s="3">
        <f>IF(OR(INDEX($J$2:$J$1001,MATCH(ROWS($I$2:I876),$I$2:$I$1001,0),1)&gt;=100000,INDEX($P$1005:$S$1005,1,MATCH(COLUMNS($P$1006:Q1006),$P$1006:$S$1006,0))&gt;=100000), " ",IF(INDEX($P$2:$S$1001,MATCH(ROWS($I$2:I876),$I$2:$I$1001,0),MATCH(COLUMNS($P$1006:Q1006),$P$1006:$S$1006,0)), HYPERLINK("#",""), HYPERLINK(CONCATENATE("#metadata!", ADDRESS(INDEX($K$2:$K$1001,MATCH(ROWS($I$2:I876),$I$2:$I$1001,0),0), INDEX($P$1004:$S$1004,1,MATCH(COLUMNS($P$1006:Q1006),$P$1006:$S$1006,0)))),"Fix")))</f>
        <v>0</v>
      </c>
      <c r="D876" s="3">
        <f>IF(OR(INDEX($J$2:$J$1001,MATCH(ROWS($I$2:I876),$I$2:$I$1001,0),1)&gt;=100000,INDEX($P$1005:$S$1005,1,MATCH(COLUMNS($P$1006:R1006),$P$1006:$S$1006,0))&gt;=100000), " ",IF(INDEX($P$2:$S$1001,MATCH(ROWS($I$2:I876),$I$2:$I$1001,0),MATCH(COLUMNS($P$1006:R1006),$P$1006:$S$1006,0)), HYPERLINK("#",""), HYPERLINK(CONCATENATE("#metadata!", ADDRESS(INDEX($K$2:$K$1001,MATCH(ROWS($I$2:I876),$I$2:$I$1001,0),0), INDEX($P$1004:$S$1004,1,MATCH(COLUMNS($P$1006:R1006),$P$1006:$S$1006,0)))),"Fix")))</f>
        <v>0</v>
      </c>
      <c r="E876" s="3">
        <f>IF(OR(INDEX($J$2:$J$1001,MATCH(ROWS($I$2:I876),$I$2:$I$1001,0),1)&gt;=100000,INDEX($P$1005:$S$1005,1,MATCH(COLUMNS($P$1006:S1006),$P$1006:$S$1006,0))&gt;=100000), " ",IF(INDEX($P$2:$S$1001,MATCH(ROWS($I$2:I876),$I$2:$I$1001,0),MATCH(COLUMNS($P$1006:S1006),$P$1006:$S$1006,0)), HYPERLINK("#",""), HYPERLINK(CONCATENATE("#metadata!", ADDRESS(INDEX($K$2:$K$1001,MATCH(ROWS($I$2:I876),$I$2:$I$1001,0),0), INDEX($P$1004:$S$1004,1,MATCH(COLUMNS($P$1006:S1006),$P$1006:$S$1006,0)))),"Fix")))</f>
        <v>0</v>
      </c>
      <c r="I876">
        <v>0</v>
      </c>
      <c r="J876">
        <v>0</v>
      </c>
      <c r="K876">
        <v>0</v>
      </c>
      <c r="L876">
        <f>IF(M876,TRUE,AND(P876:S876))</f>
        <v>0</v>
      </c>
      <c r="M876">
        <f>COUNTBLANK(metadata!B876:E876)=COLUMNS(metadata!B876:E876)</f>
        <v>0</v>
      </c>
      <c r="N876">
        <v>0</v>
      </c>
      <c r="P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Q876">
        <f>AND(IF(metadata!C876="",FALSE,TRUE),exact(metadata!C876,"other"))</f>
        <v>0</v>
      </c>
      <c r="R876">
        <f>AND(IF(metadata!D876="",FALSE,TRUE),exact(metadata!D876,"metagenome"))</f>
        <v>0</v>
      </c>
      <c r="S876">
        <f>AND(IF(metadata!E876="",FALSE,TRUE),exact(metadata!E876,"256318"))</f>
        <v>0</v>
      </c>
    </row>
    <row r="877" spans="1:19">
      <c r="A877" s="4">
        <f>IF(B877=" "," ",HYPERLINK(CONCATENATE("#metadata!",ADDRESS(INDEX($K$2:$K$1001,MATCH(ROWS($I$2:I877),$I$2:$I$1001,0),0),1)),INDEX($N$2:$N$1001,MATCH(ROWS($I$2:I877),$I$2:$I$1001,0),0)))</f>
        <v>0</v>
      </c>
      <c r="B877" s="3">
        <f>IF(OR(INDEX($J$2:$J$1001,MATCH(ROWS($I$2:I877),$I$2:$I$1001,0),1)&gt;=100000,INDEX($P$1005:$S$1005,1,MATCH(COLUMNS($P$1006:P1006),$P$1006:$S$1006,0))&gt;=100000), " ",IF(INDEX($P$2:$S$1001,MATCH(ROWS($I$2:I877),$I$2:$I$1001,0),MATCH(COLUMNS($P$1006:P1006),$P$1006:$S$1006,0)), HYPERLINK("#",""), HYPERLINK(CONCATENATE("#metadata!", ADDRESS(INDEX($K$2:$K$1001,MATCH(ROWS($I$2:I877),$I$2:$I$1001,0),0), INDEX($P$1004:$S$1004,1,MATCH(COLUMNS($P$1006:P1006),$P$1006:$S$1006,0)))),"Fix")))</f>
        <v>0</v>
      </c>
      <c r="C877" s="3">
        <f>IF(OR(INDEX($J$2:$J$1001,MATCH(ROWS($I$2:I877),$I$2:$I$1001,0),1)&gt;=100000,INDEX($P$1005:$S$1005,1,MATCH(COLUMNS($P$1006:Q1006),$P$1006:$S$1006,0))&gt;=100000), " ",IF(INDEX($P$2:$S$1001,MATCH(ROWS($I$2:I877),$I$2:$I$1001,0),MATCH(COLUMNS($P$1006:Q1006),$P$1006:$S$1006,0)), HYPERLINK("#",""), HYPERLINK(CONCATENATE("#metadata!", ADDRESS(INDEX($K$2:$K$1001,MATCH(ROWS($I$2:I877),$I$2:$I$1001,0),0), INDEX($P$1004:$S$1004,1,MATCH(COLUMNS($P$1006:Q1006),$P$1006:$S$1006,0)))),"Fix")))</f>
        <v>0</v>
      </c>
      <c r="D877" s="3">
        <f>IF(OR(INDEX($J$2:$J$1001,MATCH(ROWS($I$2:I877),$I$2:$I$1001,0),1)&gt;=100000,INDEX($P$1005:$S$1005,1,MATCH(COLUMNS($P$1006:R1006),$P$1006:$S$1006,0))&gt;=100000), " ",IF(INDEX($P$2:$S$1001,MATCH(ROWS($I$2:I877),$I$2:$I$1001,0),MATCH(COLUMNS($P$1006:R1006),$P$1006:$S$1006,0)), HYPERLINK("#",""), HYPERLINK(CONCATENATE("#metadata!", ADDRESS(INDEX($K$2:$K$1001,MATCH(ROWS($I$2:I877),$I$2:$I$1001,0),0), INDEX($P$1004:$S$1004,1,MATCH(COLUMNS($P$1006:R1006),$P$1006:$S$1006,0)))),"Fix")))</f>
        <v>0</v>
      </c>
      <c r="E877" s="3">
        <f>IF(OR(INDEX($J$2:$J$1001,MATCH(ROWS($I$2:I877),$I$2:$I$1001,0),1)&gt;=100000,INDEX($P$1005:$S$1005,1,MATCH(COLUMNS($P$1006:S1006),$P$1006:$S$1006,0))&gt;=100000), " ",IF(INDEX($P$2:$S$1001,MATCH(ROWS($I$2:I877),$I$2:$I$1001,0),MATCH(COLUMNS($P$1006:S1006),$P$1006:$S$1006,0)), HYPERLINK("#",""), HYPERLINK(CONCATENATE("#metadata!", ADDRESS(INDEX($K$2:$K$1001,MATCH(ROWS($I$2:I877),$I$2:$I$1001,0),0), INDEX($P$1004:$S$1004,1,MATCH(COLUMNS($P$1006:S1006),$P$1006:$S$1006,0)))),"Fix")))</f>
        <v>0</v>
      </c>
      <c r="I877">
        <v>0</v>
      </c>
      <c r="J877">
        <v>0</v>
      </c>
      <c r="K877">
        <v>0</v>
      </c>
      <c r="L877">
        <f>IF(M877,TRUE,AND(P877:S877))</f>
        <v>0</v>
      </c>
      <c r="M877">
        <f>COUNTBLANK(metadata!B877:E877)=COLUMNS(metadata!B877:E877)</f>
        <v>0</v>
      </c>
      <c r="N877">
        <v>0</v>
      </c>
      <c r="P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Q877">
        <f>AND(IF(metadata!C877="",FALSE,TRUE),exact(metadata!C877,"other"))</f>
        <v>0</v>
      </c>
      <c r="R877">
        <f>AND(IF(metadata!D877="",FALSE,TRUE),exact(metadata!D877,"metagenome"))</f>
        <v>0</v>
      </c>
      <c r="S877">
        <f>AND(IF(metadata!E877="",FALSE,TRUE),exact(metadata!E877,"256318"))</f>
        <v>0</v>
      </c>
    </row>
    <row r="878" spans="1:19">
      <c r="A878" s="4">
        <f>IF(B878=" "," ",HYPERLINK(CONCATENATE("#metadata!",ADDRESS(INDEX($K$2:$K$1001,MATCH(ROWS($I$2:I878),$I$2:$I$1001,0),0),1)),INDEX($N$2:$N$1001,MATCH(ROWS($I$2:I878),$I$2:$I$1001,0),0)))</f>
        <v>0</v>
      </c>
      <c r="B878" s="3">
        <f>IF(OR(INDEX($J$2:$J$1001,MATCH(ROWS($I$2:I878),$I$2:$I$1001,0),1)&gt;=100000,INDEX($P$1005:$S$1005,1,MATCH(COLUMNS($P$1006:P1006),$P$1006:$S$1006,0))&gt;=100000), " ",IF(INDEX($P$2:$S$1001,MATCH(ROWS($I$2:I878),$I$2:$I$1001,0),MATCH(COLUMNS($P$1006:P1006),$P$1006:$S$1006,0)), HYPERLINK("#",""), HYPERLINK(CONCATENATE("#metadata!", ADDRESS(INDEX($K$2:$K$1001,MATCH(ROWS($I$2:I878),$I$2:$I$1001,0),0), INDEX($P$1004:$S$1004,1,MATCH(COLUMNS($P$1006:P1006),$P$1006:$S$1006,0)))),"Fix")))</f>
        <v>0</v>
      </c>
      <c r="C878" s="3">
        <f>IF(OR(INDEX($J$2:$J$1001,MATCH(ROWS($I$2:I878),$I$2:$I$1001,0),1)&gt;=100000,INDEX($P$1005:$S$1005,1,MATCH(COLUMNS($P$1006:Q1006),$P$1006:$S$1006,0))&gt;=100000), " ",IF(INDEX($P$2:$S$1001,MATCH(ROWS($I$2:I878),$I$2:$I$1001,0),MATCH(COLUMNS($P$1006:Q1006),$P$1006:$S$1006,0)), HYPERLINK("#",""), HYPERLINK(CONCATENATE("#metadata!", ADDRESS(INDEX($K$2:$K$1001,MATCH(ROWS($I$2:I878),$I$2:$I$1001,0),0), INDEX($P$1004:$S$1004,1,MATCH(COLUMNS($P$1006:Q1006),$P$1006:$S$1006,0)))),"Fix")))</f>
        <v>0</v>
      </c>
      <c r="D878" s="3">
        <f>IF(OR(INDEX($J$2:$J$1001,MATCH(ROWS($I$2:I878),$I$2:$I$1001,0),1)&gt;=100000,INDEX($P$1005:$S$1005,1,MATCH(COLUMNS($P$1006:R1006),$P$1006:$S$1006,0))&gt;=100000), " ",IF(INDEX($P$2:$S$1001,MATCH(ROWS($I$2:I878),$I$2:$I$1001,0),MATCH(COLUMNS($P$1006:R1006),$P$1006:$S$1006,0)), HYPERLINK("#",""), HYPERLINK(CONCATENATE("#metadata!", ADDRESS(INDEX($K$2:$K$1001,MATCH(ROWS($I$2:I878),$I$2:$I$1001,0),0), INDEX($P$1004:$S$1004,1,MATCH(COLUMNS($P$1006:R1006),$P$1006:$S$1006,0)))),"Fix")))</f>
        <v>0</v>
      </c>
      <c r="E878" s="3">
        <f>IF(OR(INDEX($J$2:$J$1001,MATCH(ROWS($I$2:I878),$I$2:$I$1001,0),1)&gt;=100000,INDEX($P$1005:$S$1005,1,MATCH(COLUMNS($P$1006:S1006),$P$1006:$S$1006,0))&gt;=100000), " ",IF(INDEX($P$2:$S$1001,MATCH(ROWS($I$2:I878),$I$2:$I$1001,0),MATCH(COLUMNS($P$1006:S1006),$P$1006:$S$1006,0)), HYPERLINK("#",""), HYPERLINK(CONCATENATE("#metadata!", ADDRESS(INDEX($K$2:$K$1001,MATCH(ROWS($I$2:I878),$I$2:$I$1001,0),0), INDEX($P$1004:$S$1004,1,MATCH(COLUMNS($P$1006:S1006),$P$1006:$S$1006,0)))),"Fix")))</f>
        <v>0</v>
      </c>
      <c r="I878">
        <v>0</v>
      </c>
      <c r="J878">
        <v>0</v>
      </c>
      <c r="K878">
        <v>0</v>
      </c>
      <c r="L878">
        <f>IF(M878,TRUE,AND(P878:S878))</f>
        <v>0</v>
      </c>
      <c r="M878">
        <f>COUNTBLANK(metadata!B878:E878)=COLUMNS(metadata!B878:E878)</f>
        <v>0</v>
      </c>
      <c r="N878">
        <v>0</v>
      </c>
      <c r="P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Q878">
        <f>AND(IF(metadata!C878="",FALSE,TRUE),exact(metadata!C878,"other"))</f>
        <v>0</v>
      </c>
      <c r="R878">
        <f>AND(IF(metadata!D878="",FALSE,TRUE),exact(metadata!D878,"metagenome"))</f>
        <v>0</v>
      </c>
      <c r="S878">
        <f>AND(IF(metadata!E878="",FALSE,TRUE),exact(metadata!E878,"256318"))</f>
        <v>0</v>
      </c>
    </row>
    <row r="879" spans="1:19">
      <c r="A879" s="4">
        <f>IF(B879=" "," ",HYPERLINK(CONCATENATE("#metadata!",ADDRESS(INDEX($K$2:$K$1001,MATCH(ROWS($I$2:I879),$I$2:$I$1001,0),0),1)),INDEX($N$2:$N$1001,MATCH(ROWS($I$2:I879),$I$2:$I$1001,0),0)))</f>
        <v>0</v>
      </c>
      <c r="B879" s="3">
        <f>IF(OR(INDEX($J$2:$J$1001,MATCH(ROWS($I$2:I879),$I$2:$I$1001,0),1)&gt;=100000,INDEX($P$1005:$S$1005,1,MATCH(COLUMNS($P$1006:P1006),$P$1006:$S$1006,0))&gt;=100000), " ",IF(INDEX($P$2:$S$1001,MATCH(ROWS($I$2:I879),$I$2:$I$1001,0),MATCH(COLUMNS($P$1006:P1006),$P$1006:$S$1006,0)), HYPERLINK("#",""), HYPERLINK(CONCATENATE("#metadata!", ADDRESS(INDEX($K$2:$K$1001,MATCH(ROWS($I$2:I879),$I$2:$I$1001,0),0), INDEX($P$1004:$S$1004,1,MATCH(COLUMNS($P$1006:P1006),$P$1006:$S$1006,0)))),"Fix")))</f>
        <v>0</v>
      </c>
      <c r="C879" s="3">
        <f>IF(OR(INDEX($J$2:$J$1001,MATCH(ROWS($I$2:I879),$I$2:$I$1001,0),1)&gt;=100000,INDEX($P$1005:$S$1005,1,MATCH(COLUMNS($P$1006:Q1006),$P$1006:$S$1006,0))&gt;=100000), " ",IF(INDEX($P$2:$S$1001,MATCH(ROWS($I$2:I879),$I$2:$I$1001,0),MATCH(COLUMNS($P$1006:Q1006),$P$1006:$S$1006,0)), HYPERLINK("#",""), HYPERLINK(CONCATENATE("#metadata!", ADDRESS(INDEX($K$2:$K$1001,MATCH(ROWS($I$2:I879),$I$2:$I$1001,0),0), INDEX($P$1004:$S$1004,1,MATCH(COLUMNS($P$1006:Q1006),$P$1006:$S$1006,0)))),"Fix")))</f>
        <v>0</v>
      </c>
      <c r="D879" s="3">
        <f>IF(OR(INDEX($J$2:$J$1001,MATCH(ROWS($I$2:I879),$I$2:$I$1001,0),1)&gt;=100000,INDEX($P$1005:$S$1005,1,MATCH(COLUMNS($P$1006:R1006),$P$1006:$S$1006,0))&gt;=100000), " ",IF(INDEX($P$2:$S$1001,MATCH(ROWS($I$2:I879),$I$2:$I$1001,0),MATCH(COLUMNS($P$1006:R1006),$P$1006:$S$1006,0)), HYPERLINK("#",""), HYPERLINK(CONCATENATE("#metadata!", ADDRESS(INDEX($K$2:$K$1001,MATCH(ROWS($I$2:I879),$I$2:$I$1001,0),0), INDEX($P$1004:$S$1004,1,MATCH(COLUMNS($P$1006:R1006),$P$1006:$S$1006,0)))),"Fix")))</f>
        <v>0</v>
      </c>
      <c r="E879" s="3">
        <f>IF(OR(INDEX($J$2:$J$1001,MATCH(ROWS($I$2:I879),$I$2:$I$1001,0),1)&gt;=100000,INDEX($P$1005:$S$1005,1,MATCH(COLUMNS($P$1006:S1006),$P$1006:$S$1006,0))&gt;=100000), " ",IF(INDEX($P$2:$S$1001,MATCH(ROWS($I$2:I879),$I$2:$I$1001,0),MATCH(COLUMNS($P$1006:S1006),$P$1006:$S$1006,0)), HYPERLINK("#",""), HYPERLINK(CONCATENATE("#metadata!", ADDRESS(INDEX($K$2:$K$1001,MATCH(ROWS($I$2:I879),$I$2:$I$1001,0),0), INDEX($P$1004:$S$1004,1,MATCH(COLUMNS($P$1006:S1006),$P$1006:$S$1006,0)))),"Fix")))</f>
        <v>0</v>
      </c>
      <c r="I879">
        <v>0</v>
      </c>
      <c r="J879">
        <v>0</v>
      </c>
      <c r="K879">
        <v>0</v>
      </c>
      <c r="L879">
        <f>IF(M879,TRUE,AND(P879:S879))</f>
        <v>0</v>
      </c>
      <c r="M879">
        <f>COUNTBLANK(metadata!B879:E879)=COLUMNS(metadata!B879:E879)</f>
        <v>0</v>
      </c>
      <c r="N879">
        <v>0</v>
      </c>
      <c r="P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Q879">
        <f>AND(IF(metadata!C879="",FALSE,TRUE),exact(metadata!C879,"other"))</f>
        <v>0</v>
      </c>
      <c r="R879">
        <f>AND(IF(metadata!D879="",FALSE,TRUE),exact(metadata!D879,"metagenome"))</f>
        <v>0</v>
      </c>
      <c r="S879">
        <f>AND(IF(metadata!E879="",FALSE,TRUE),exact(metadata!E879,"256318"))</f>
        <v>0</v>
      </c>
    </row>
    <row r="880" spans="1:19">
      <c r="A880" s="4">
        <f>IF(B880=" "," ",HYPERLINK(CONCATENATE("#metadata!",ADDRESS(INDEX($K$2:$K$1001,MATCH(ROWS($I$2:I880),$I$2:$I$1001,0),0),1)),INDEX($N$2:$N$1001,MATCH(ROWS($I$2:I880),$I$2:$I$1001,0),0)))</f>
        <v>0</v>
      </c>
      <c r="B880" s="3">
        <f>IF(OR(INDEX($J$2:$J$1001,MATCH(ROWS($I$2:I880),$I$2:$I$1001,0),1)&gt;=100000,INDEX($P$1005:$S$1005,1,MATCH(COLUMNS($P$1006:P1006),$P$1006:$S$1006,0))&gt;=100000), " ",IF(INDEX($P$2:$S$1001,MATCH(ROWS($I$2:I880),$I$2:$I$1001,0),MATCH(COLUMNS($P$1006:P1006),$P$1006:$S$1006,0)), HYPERLINK("#",""), HYPERLINK(CONCATENATE("#metadata!", ADDRESS(INDEX($K$2:$K$1001,MATCH(ROWS($I$2:I880),$I$2:$I$1001,0),0), INDEX($P$1004:$S$1004,1,MATCH(COLUMNS($P$1006:P1006),$P$1006:$S$1006,0)))),"Fix")))</f>
        <v>0</v>
      </c>
      <c r="C880" s="3">
        <f>IF(OR(INDEX($J$2:$J$1001,MATCH(ROWS($I$2:I880),$I$2:$I$1001,0),1)&gt;=100000,INDEX($P$1005:$S$1005,1,MATCH(COLUMNS($P$1006:Q1006),$P$1006:$S$1006,0))&gt;=100000), " ",IF(INDEX($P$2:$S$1001,MATCH(ROWS($I$2:I880),$I$2:$I$1001,0),MATCH(COLUMNS($P$1006:Q1006),$P$1006:$S$1006,0)), HYPERLINK("#",""), HYPERLINK(CONCATENATE("#metadata!", ADDRESS(INDEX($K$2:$K$1001,MATCH(ROWS($I$2:I880),$I$2:$I$1001,0),0), INDEX($P$1004:$S$1004,1,MATCH(COLUMNS($P$1006:Q1006),$P$1006:$S$1006,0)))),"Fix")))</f>
        <v>0</v>
      </c>
      <c r="D880" s="3">
        <f>IF(OR(INDEX($J$2:$J$1001,MATCH(ROWS($I$2:I880),$I$2:$I$1001,0),1)&gt;=100000,INDEX($P$1005:$S$1005,1,MATCH(COLUMNS($P$1006:R1006),$P$1006:$S$1006,0))&gt;=100000), " ",IF(INDEX($P$2:$S$1001,MATCH(ROWS($I$2:I880),$I$2:$I$1001,0),MATCH(COLUMNS($P$1006:R1006),$P$1006:$S$1006,0)), HYPERLINK("#",""), HYPERLINK(CONCATENATE("#metadata!", ADDRESS(INDEX($K$2:$K$1001,MATCH(ROWS($I$2:I880),$I$2:$I$1001,0),0), INDEX($P$1004:$S$1004,1,MATCH(COLUMNS($P$1006:R1006),$P$1006:$S$1006,0)))),"Fix")))</f>
        <v>0</v>
      </c>
      <c r="E880" s="3">
        <f>IF(OR(INDEX($J$2:$J$1001,MATCH(ROWS($I$2:I880),$I$2:$I$1001,0),1)&gt;=100000,INDEX($P$1005:$S$1005,1,MATCH(COLUMNS($P$1006:S1006),$P$1006:$S$1006,0))&gt;=100000), " ",IF(INDEX($P$2:$S$1001,MATCH(ROWS($I$2:I880),$I$2:$I$1001,0),MATCH(COLUMNS($P$1006:S1006),$P$1006:$S$1006,0)), HYPERLINK("#",""), HYPERLINK(CONCATENATE("#metadata!", ADDRESS(INDEX($K$2:$K$1001,MATCH(ROWS($I$2:I880),$I$2:$I$1001,0),0), INDEX($P$1004:$S$1004,1,MATCH(COLUMNS($P$1006:S1006),$P$1006:$S$1006,0)))),"Fix")))</f>
        <v>0</v>
      </c>
      <c r="I880">
        <v>0</v>
      </c>
      <c r="J880">
        <v>0</v>
      </c>
      <c r="K880">
        <v>0</v>
      </c>
      <c r="L880">
        <f>IF(M880,TRUE,AND(P880:S880))</f>
        <v>0</v>
      </c>
      <c r="M880">
        <f>COUNTBLANK(metadata!B880:E880)=COLUMNS(metadata!B880:E880)</f>
        <v>0</v>
      </c>
      <c r="N880">
        <v>0</v>
      </c>
      <c r="P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Q880">
        <f>AND(IF(metadata!C880="",FALSE,TRUE),exact(metadata!C880,"other"))</f>
        <v>0</v>
      </c>
      <c r="R880">
        <f>AND(IF(metadata!D880="",FALSE,TRUE),exact(metadata!D880,"metagenome"))</f>
        <v>0</v>
      </c>
      <c r="S880">
        <f>AND(IF(metadata!E880="",FALSE,TRUE),exact(metadata!E880,"256318"))</f>
        <v>0</v>
      </c>
    </row>
    <row r="881" spans="1:19">
      <c r="A881" s="4">
        <f>IF(B881=" "," ",HYPERLINK(CONCATENATE("#metadata!",ADDRESS(INDEX($K$2:$K$1001,MATCH(ROWS($I$2:I881),$I$2:$I$1001,0),0),1)),INDEX($N$2:$N$1001,MATCH(ROWS($I$2:I881),$I$2:$I$1001,0),0)))</f>
        <v>0</v>
      </c>
      <c r="B881" s="3">
        <f>IF(OR(INDEX($J$2:$J$1001,MATCH(ROWS($I$2:I881),$I$2:$I$1001,0),1)&gt;=100000,INDEX($P$1005:$S$1005,1,MATCH(COLUMNS($P$1006:P1006),$P$1006:$S$1006,0))&gt;=100000), " ",IF(INDEX($P$2:$S$1001,MATCH(ROWS($I$2:I881),$I$2:$I$1001,0),MATCH(COLUMNS($P$1006:P1006),$P$1006:$S$1006,0)), HYPERLINK("#",""), HYPERLINK(CONCATENATE("#metadata!", ADDRESS(INDEX($K$2:$K$1001,MATCH(ROWS($I$2:I881),$I$2:$I$1001,0),0), INDEX($P$1004:$S$1004,1,MATCH(COLUMNS($P$1006:P1006),$P$1006:$S$1006,0)))),"Fix")))</f>
        <v>0</v>
      </c>
      <c r="C881" s="3">
        <f>IF(OR(INDEX($J$2:$J$1001,MATCH(ROWS($I$2:I881),$I$2:$I$1001,0),1)&gt;=100000,INDEX($P$1005:$S$1005,1,MATCH(COLUMNS($P$1006:Q1006),$P$1006:$S$1006,0))&gt;=100000), " ",IF(INDEX($P$2:$S$1001,MATCH(ROWS($I$2:I881),$I$2:$I$1001,0),MATCH(COLUMNS($P$1006:Q1006),$P$1006:$S$1006,0)), HYPERLINK("#",""), HYPERLINK(CONCATENATE("#metadata!", ADDRESS(INDEX($K$2:$K$1001,MATCH(ROWS($I$2:I881),$I$2:$I$1001,0),0), INDEX($P$1004:$S$1004,1,MATCH(COLUMNS($P$1006:Q1006),$P$1006:$S$1006,0)))),"Fix")))</f>
        <v>0</v>
      </c>
      <c r="D881" s="3">
        <f>IF(OR(INDEX($J$2:$J$1001,MATCH(ROWS($I$2:I881),$I$2:$I$1001,0),1)&gt;=100000,INDEX($P$1005:$S$1005,1,MATCH(COLUMNS($P$1006:R1006),$P$1006:$S$1006,0))&gt;=100000), " ",IF(INDEX($P$2:$S$1001,MATCH(ROWS($I$2:I881),$I$2:$I$1001,0),MATCH(COLUMNS($P$1006:R1006),$P$1006:$S$1006,0)), HYPERLINK("#",""), HYPERLINK(CONCATENATE("#metadata!", ADDRESS(INDEX($K$2:$K$1001,MATCH(ROWS($I$2:I881),$I$2:$I$1001,0),0), INDEX($P$1004:$S$1004,1,MATCH(COLUMNS($P$1006:R1006),$P$1006:$S$1006,0)))),"Fix")))</f>
        <v>0</v>
      </c>
      <c r="E881" s="3">
        <f>IF(OR(INDEX($J$2:$J$1001,MATCH(ROWS($I$2:I881),$I$2:$I$1001,0),1)&gt;=100000,INDEX($P$1005:$S$1005,1,MATCH(COLUMNS($P$1006:S1006),$P$1006:$S$1006,0))&gt;=100000), " ",IF(INDEX($P$2:$S$1001,MATCH(ROWS($I$2:I881),$I$2:$I$1001,0),MATCH(COLUMNS($P$1006:S1006),$P$1006:$S$1006,0)), HYPERLINK("#",""), HYPERLINK(CONCATENATE("#metadata!", ADDRESS(INDEX($K$2:$K$1001,MATCH(ROWS($I$2:I881),$I$2:$I$1001,0),0), INDEX($P$1004:$S$1004,1,MATCH(COLUMNS($P$1006:S1006),$P$1006:$S$1006,0)))),"Fix")))</f>
        <v>0</v>
      </c>
      <c r="I881">
        <v>0</v>
      </c>
      <c r="J881">
        <v>0</v>
      </c>
      <c r="K881">
        <v>0</v>
      </c>
      <c r="L881">
        <f>IF(M881,TRUE,AND(P881:S881))</f>
        <v>0</v>
      </c>
      <c r="M881">
        <f>COUNTBLANK(metadata!B881:E881)=COLUMNS(metadata!B881:E881)</f>
        <v>0</v>
      </c>
      <c r="N881">
        <v>0</v>
      </c>
      <c r="P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Q881">
        <f>AND(IF(metadata!C881="",FALSE,TRUE),exact(metadata!C881,"other"))</f>
        <v>0</v>
      </c>
      <c r="R881">
        <f>AND(IF(metadata!D881="",FALSE,TRUE),exact(metadata!D881,"metagenome"))</f>
        <v>0</v>
      </c>
      <c r="S881">
        <f>AND(IF(metadata!E881="",FALSE,TRUE),exact(metadata!E881,"256318"))</f>
        <v>0</v>
      </c>
    </row>
    <row r="882" spans="1:19">
      <c r="A882" s="4">
        <f>IF(B882=" "," ",HYPERLINK(CONCATENATE("#metadata!",ADDRESS(INDEX($K$2:$K$1001,MATCH(ROWS($I$2:I882),$I$2:$I$1001,0),0),1)),INDEX($N$2:$N$1001,MATCH(ROWS($I$2:I882),$I$2:$I$1001,0),0)))</f>
        <v>0</v>
      </c>
      <c r="B882" s="3">
        <f>IF(OR(INDEX($J$2:$J$1001,MATCH(ROWS($I$2:I882),$I$2:$I$1001,0),1)&gt;=100000,INDEX($P$1005:$S$1005,1,MATCH(COLUMNS($P$1006:P1006),$P$1006:$S$1006,0))&gt;=100000), " ",IF(INDEX($P$2:$S$1001,MATCH(ROWS($I$2:I882),$I$2:$I$1001,0),MATCH(COLUMNS($P$1006:P1006),$P$1006:$S$1006,0)), HYPERLINK("#",""), HYPERLINK(CONCATENATE("#metadata!", ADDRESS(INDEX($K$2:$K$1001,MATCH(ROWS($I$2:I882),$I$2:$I$1001,0),0), INDEX($P$1004:$S$1004,1,MATCH(COLUMNS($P$1006:P1006),$P$1006:$S$1006,0)))),"Fix")))</f>
        <v>0</v>
      </c>
      <c r="C882" s="3">
        <f>IF(OR(INDEX($J$2:$J$1001,MATCH(ROWS($I$2:I882),$I$2:$I$1001,0),1)&gt;=100000,INDEX($P$1005:$S$1005,1,MATCH(COLUMNS($P$1006:Q1006),$P$1006:$S$1006,0))&gt;=100000), " ",IF(INDEX($P$2:$S$1001,MATCH(ROWS($I$2:I882),$I$2:$I$1001,0),MATCH(COLUMNS($P$1006:Q1006),$P$1006:$S$1006,0)), HYPERLINK("#",""), HYPERLINK(CONCATENATE("#metadata!", ADDRESS(INDEX($K$2:$K$1001,MATCH(ROWS($I$2:I882),$I$2:$I$1001,0),0), INDEX($P$1004:$S$1004,1,MATCH(COLUMNS($P$1006:Q1006),$P$1006:$S$1006,0)))),"Fix")))</f>
        <v>0</v>
      </c>
      <c r="D882" s="3">
        <f>IF(OR(INDEX($J$2:$J$1001,MATCH(ROWS($I$2:I882),$I$2:$I$1001,0),1)&gt;=100000,INDEX($P$1005:$S$1005,1,MATCH(COLUMNS($P$1006:R1006),$P$1006:$S$1006,0))&gt;=100000), " ",IF(INDEX($P$2:$S$1001,MATCH(ROWS($I$2:I882),$I$2:$I$1001,0),MATCH(COLUMNS($P$1006:R1006),$P$1006:$S$1006,0)), HYPERLINK("#",""), HYPERLINK(CONCATENATE("#metadata!", ADDRESS(INDEX($K$2:$K$1001,MATCH(ROWS($I$2:I882),$I$2:$I$1001,0),0), INDEX($P$1004:$S$1004,1,MATCH(COLUMNS($P$1006:R1006),$P$1006:$S$1006,0)))),"Fix")))</f>
        <v>0</v>
      </c>
      <c r="E882" s="3">
        <f>IF(OR(INDEX($J$2:$J$1001,MATCH(ROWS($I$2:I882),$I$2:$I$1001,0),1)&gt;=100000,INDEX($P$1005:$S$1005,1,MATCH(COLUMNS($P$1006:S1006),$P$1006:$S$1006,0))&gt;=100000), " ",IF(INDEX($P$2:$S$1001,MATCH(ROWS($I$2:I882),$I$2:$I$1001,0),MATCH(COLUMNS($P$1006:S1006),$P$1006:$S$1006,0)), HYPERLINK("#",""), HYPERLINK(CONCATENATE("#metadata!", ADDRESS(INDEX($K$2:$K$1001,MATCH(ROWS($I$2:I882),$I$2:$I$1001,0),0), INDEX($P$1004:$S$1004,1,MATCH(COLUMNS($P$1006:S1006),$P$1006:$S$1006,0)))),"Fix")))</f>
        <v>0</v>
      </c>
      <c r="I882">
        <v>0</v>
      </c>
      <c r="J882">
        <v>0</v>
      </c>
      <c r="K882">
        <v>0</v>
      </c>
      <c r="L882">
        <f>IF(M882,TRUE,AND(P882:S882))</f>
        <v>0</v>
      </c>
      <c r="M882">
        <f>COUNTBLANK(metadata!B882:E882)=COLUMNS(metadata!B882:E882)</f>
        <v>0</v>
      </c>
      <c r="N882">
        <v>0</v>
      </c>
      <c r="P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Q882">
        <f>AND(IF(metadata!C882="",FALSE,TRUE),exact(metadata!C882,"other"))</f>
        <v>0</v>
      </c>
      <c r="R882">
        <f>AND(IF(metadata!D882="",FALSE,TRUE),exact(metadata!D882,"metagenome"))</f>
        <v>0</v>
      </c>
      <c r="S882">
        <f>AND(IF(metadata!E882="",FALSE,TRUE),exact(metadata!E882,"256318"))</f>
        <v>0</v>
      </c>
    </row>
    <row r="883" spans="1:19">
      <c r="A883" s="4">
        <f>IF(B883=" "," ",HYPERLINK(CONCATENATE("#metadata!",ADDRESS(INDEX($K$2:$K$1001,MATCH(ROWS($I$2:I883),$I$2:$I$1001,0),0),1)),INDEX($N$2:$N$1001,MATCH(ROWS($I$2:I883),$I$2:$I$1001,0),0)))</f>
        <v>0</v>
      </c>
      <c r="B883" s="3">
        <f>IF(OR(INDEX($J$2:$J$1001,MATCH(ROWS($I$2:I883),$I$2:$I$1001,0),1)&gt;=100000,INDEX($P$1005:$S$1005,1,MATCH(COLUMNS($P$1006:P1006),$P$1006:$S$1006,0))&gt;=100000), " ",IF(INDEX($P$2:$S$1001,MATCH(ROWS($I$2:I883),$I$2:$I$1001,0),MATCH(COLUMNS($P$1006:P1006),$P$1006:$S$1006,0)), HYPERLINK("#",""), HYPERLINK(CONCATENATE("#metadata!", ADDRESS(INDEX($K$2:$K$1001,MATCH(ROWS($I$2:I883),$I$2:$I$1001,0),0), INDEX($P$1004:$S$1004,1,MATCH(COLUMNS($P$1006:P1006),$P$1006:$S$1006,0)))),"Fix")))</f>
        <v>0</v>
      </c>
      <c r="C883" s="3">
        <f>IF(OR(INDEX($J$2:$J$1001,MATCH(ROWS($I$2:I883),$I$2:$I$1001,0),1)&gt;=100000,INDEX($P$1005:$S$1005,1,MATCH(COLUMNS($P$1006:Q1006),$P$1006:$S$1006,0))&gt;=100000), " ",IF(INDEX($P$2:$S$1001,MATCH(ROWS($I$2:I883),$I$2:$I$1001,0),MATCH(COLUMNS($P$1006:Q1006),$P$1006:$S$1006,0)), HYPERLINK("#",""), HYPERLINK(CONCATENATE("#metadata!", ADDRESS(INDEX($K$2:$K$1001,MATCH(ROWS($I$2:I883),$I$2:$I$1001,0),0), INDEX($P$1004:$S$1004,1,MATCH(COLUMNS($P$1006:Q1006),$P$1006:$S$1006,0)))),"Fix")))</f>
        <v>0</v>
      </c>
      <c r="D883" s="3">
        <f>IF(OR(INDEX($J$2:$J$1001,MATCH(ROWS($I$2:I883),$I$2:$I$1001,0),1)&gt;=100000,INDEX($P$1005:$S$1005,1,MATCH(COLUMNS($P$1006:R1006),$P$1006:$S$1006,0))&gt;=100000), " ",IF(INDEX($P$2:$S$1001,MATCH(ROWS($I$2:I883),$I$2:$I$1001,0),MATCH(COLUMNS($P$1006:R1006),$P$1006:$S$1006,0)), HYPERLINK("#",""), HYPERLINK(CONCATENATE("#metadata!", ADDRESS(INDEX($K$2:$K$1001,MATCH(ROWS($I$2:I883),$I$2:$I$1001,0),0), INDEX($P$1004:$S$1004,1,MATCH(COLUMNS($P$1006:R1006),$P$1006:$S$1006,0)))),"Fix")))</f>
        <v>0</v>
      </c>
      <c r="E883" s="3">
        <f>IF(OR(INDEX($J$2:$J$1001,MATCH(ROWS($I$2:I883),$I$2:$I$1001,0),1)&gt;=100000,INDEX($P$1005:$S$1005,1,MATCH(COLUMNS($P$1006:S1006),$P$1006:$S$1006,0))&gt;=100000), " ",IF(INDEX($P$2:$S$1001,MATCH(ROWS($I$2:I883),$I$2:$I$1001,0),MATCH(COLUMNS($P$1006:S1006),$P$1006:$S$1006,0)), HYPERLINK("#",""), HYPERLINK(CONCATENATE("#metadata!", ADDRESS(INDEX($K$2:$K$1001,MATCH(ROWS($I$2:I883),$I$2:$I$1001,0),0), INDEX($P$1004:$S$1004,1,MATCH(COLUMNS($P$1006:S1006),$P$1006:$S$1006,0)))),"Fix")))</f>
        <v>0</v>
      </c>
      <c r="I883">
        <v>0</v>
      </c>
      <c r="J883">
        <v>0</v>
      </c>
      <c r="K883">
        <v>0</v>
      </c>
      <c r="L883">
        <f>IF(M883,TRUE,AND(P883:S883))</f>
        <v>0</v>
      </c>
      <c r="M883">
        <f>COUNTBLANK(metadata!B883:E883)=COLUMNS(metadata!B883:E883)</f>
        <v>0</v>
      </c>
      <c r="N883">
        <v>0</v>
      </c>
      <c r="P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Q883">
        <f>AND(IF(metadata!C883="",FALSE,TRUE),exact(metadata!C883,"other"))</f>
        <v>0</v>
      </c>
      <c r="R883">
        <f>AND(IF(metadata!D883="",FALSE,TRUE),exact(metadata!D883,"metagenome"))</f>
        <v>0</v>
      </c>
      <c r="S883">
        <f>AND(IF(metadata!E883="",FALSE,TRUE),exact(metadata!E883,"256318"))</f>
        <v>0</v>
      </c>
    </row>
    <row r="884" spans="1:19">
      <c r="A884" s="4">
        <f>IF(B884=" "," ",HYPERLINK(CONCATENATE("#metadata!",ADDRESS(INDEX($K$2:$K$1001,MATCH(ROWS($I$2:I884),$I$2:$I$1001,0),0),1)),INDEX($N$2:$N$1001,MATCH(ROWS($I$2:I884),$I$2:$I$1001,0),0)))</f>
        <v>0</v>
      </c>
      <c r="B884" s="3">
        <f>IF(OR(INDEX($J$2:$J$1001,MATCH(ROWS($I$2:I884),$I$2:$I$1001,0),1)&gt;=100000,INDEX($P$1005:$S$1005,1,MATCH(COLUMNS($P$1006:P1006),$P$1006:$S$1006,0))&gt;=100000), " ",IF(INDEX($P$2:$S$1001,MATCH(ROWS($I$2:I884),$I$2:$I$1001,0),MATCH(COLUMNS($P$1006:P1006),$P$1006:$S$1006,0)), HYPERLINK("#",""), HYPERLINK(CONCATENATE("#metadata!", ADDRESS(INDEX($K$2:$K$1001,MATCH(ROWS($I$2:I884),$I$2:$I$1001,0),0), INDEX($P$1004:$S$1004,1,MATCH(COLUMNS($P$1006:P1006),$P$1006:$S$1006,0)))),"Fix")))</f>
        <v>0</v>
      </c>
      <c r="C884" s="3">
        <f>IF(OR(INDEX($J$2:$J$1001,MATCH(ROWS($I$2:I884),$I$2:$I$1001,0),1)&gt;=100000,INDEX($P$1005:$S$1005,1,MATCH(COLUMNS($P$1006:Q1006),$P$1006:$S$1006,0))&gt;=100000), " ",IF(INDEX($P$2:$S$1001,MATCH(ROWS($I$2:I884),$I$2:$I$1001,0),MATCH(COLUMNS($P$1006:Q1006),$P$1006:$S$1006,0)), HYPERLINK("#",""), HYPERLINK(CONCATENATE("#metadata!", ADDRESS(INDEX($K$2:$K$1001,MATCH(ROWS($I$2:I884),$I$2:$I$1001,0),0), INDEX($P$1004:$S$1004,1,MATCH(COLUMNS($P$1006:Q1006),$P$1006:$S$1006,0)))),"Fix")))</f>
        <v>0</v>
      </c>
      <c r="D884" s="3">
        <f>IF(OR(INDEX($J$2:$J$1001,MATCH(ROWS($I$2:I884),$I$2:$I$1001,0),1)&gt;=100000,INDEX($P$1005:$S$1005,1,MATCH(COLUMNS($P$1006:R1006),$P$1006:$S$1006,0))&gt;=100000), " ",IF(INDEX($P$2:$S$1001,MATCH(ROWS($I$2:I884),$I$2:$I$1001,0),MATCH(COLUMNS($P$1006:R1006),$P$1006:$S$1006,0)), HYPERLINK("#",""), HYPERLINK(CONCATENATE("#metadata!", ADDRESS(INDEX($K$2:$K$1001,MATCH(ROWS($I$2:I884),$I$2:$I$1001,0),0), INDEX($P$1004:$S$1004,1,MATCH(COLUMNS($P$1006:R1006),$P$1006:$S$1006,0)))),"Fix")))</f>
        <v>0</v>
      </c>
      <c r="E884" s="3">
        <f>IF(OR(INDEX($J$2:$J$1001,MATCH(ROWS($I$2:I884),$I$2:$I$1001,0),1)&gt;=100000,INDEX($P$1005:$S$1005,1,MATCH(COLUMNS($P$1006:S1006),$P$1006:$S$1006,0))&gt;=100000), " ",IF(INDEX($P$2:$S$1001,MATCH(ROWS($I$2:I884),$I$2:$I$1001,0),MATCH(COLUMNS($P$1006:S1006),$P$1006:$S$1006,0)), HYPERLINK("#",""), HYPERLINK(CONCATENATE("#metadata!", ADDRESS(INDEX($K$2:$K$1001,MATCH(ROWS($I$2:I884),$I$2:$I$1001,0),0), INDEX($P$1004:$S$1004,1,MATCH(COLUMNS($P$1006:S1006),$P$1006:$S$1006,0)))),"Fix")))</f>
        <v>0</v>
      </c>
      <c r="I884">
        <v>0</v>
      </c>
      <c r="J884">
        <v>0</v>
      </c>
      <c r="K884">
        <v>0</v>
      </c>
      <c r="L884">
        <f>IF(M884,TRUE,AND(P884:S884))</f>
        <v>0</v>
      </c>
      <c r="M884">
        <f>COUNTBLANK(metadata!B884:E884)=COLUMNS(metadata!B884:E884)</f>
        <v>0</v>
      </c>
      <c r="N884">
        <v>0</v>
      </c>
      <c r="P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Q884">
        <f>AND(IF(metadata!C884="",FALSE,TRUE),exact(metadata!C884,"other"))</f>
        <v>0</v>
      </c>
      <c r="R884">
        <f>AND(IF(metadata!D884="",FALSE,TRUE),exact(metadata!D884,"metagenome"))</f>
        <v>0</v>
      </c>
      <c r="S884">
        <f>AND(IF(metadata!E884="",FALSE,TRUE),exact(metadata!E884,"256318"))</f>
        <v>0</v>
      </c>
    </row>
    <row r="885" spans="1:19">
      <c r="A885" s="4">
        <f>IF(B885=" "," ",HYPERLINK(CONCATENATE("#metadata!",ADDRESS(INDEX($K$2:$K$1001,MATCH(ROWS($I$2:I885),$I$2:$I$1001,0),0),1)),INDEX($N$2:$N$1001,MATCH(ROWS($I$2:I885),$I$2:$I$1001,0),0)))</f>
        <v>0</v>
      </c>
      <c r="B885" s="3">
        <f>IF(OR(INDEX($J$2:$J$1001,MATCH(ROWS($I$2:I885),$I$2:$I$1001,0),1)&gt;=100000,INDEX($P$1005:$S$1005,1,MATCH(COLUMNS($P$1006:P1006),$P$1006:$S$1006,0))&gt;=100000), " ",IF(INDEX($P$2:$S$1001,MATCH(ROWS($I$2:I885),$I$2:$I$1001,0),MATCH(COLUMNS($P$1006:P1006),$P$1006:$S$1006,0)), HYPERLINK("#",""), HYPERLINK(CONCATENATE("#metadata!", ADDRESS(INDEX($K$2:$K$1001,MATCH(ROWS($I$2:I885),$I$2:$I$1001,0),0), INDEX($P$1004:$S$1004,1,MATCH(COLUMNS($P$1006:P1006),$P$1006:$S$1006,0)))),"Fix")))</f>
        <v>0</v>
      </c>
      <c r="C885" s="3">
        <f>IF(OR(INDEX($J$2:$J$1001,MATCH(ROWS($I$2:I885),$I$2:$I$1001,0),1)&gt;=100000,INDEX($P$1005:$S$1005,1,MATCH(COLUMNS($P$1006:Q1006),$P$1006:$S$1006,0))&gt;=100000), " ",IF(INDEX($P$2:$S$1001,MATCH(ROWS($I$2:I885),$I$2:$I$1001,0),MATCH(COLUMNS($P$1006:Q1006),$P$1006:$S$1006,0)), HYPERLINK("#",""), HYPERLINK(CONCATENATE("#metadata!", ADDRESS(INDEX($K$2:$K$1001,MATCH(ROWS($I$2:I885),$I$2:$I$1001,0),0), INDEX($P$1004:$S$1004,1,MATCH(COLUMNS($P$1006:Q1006),$P$1006:$S$1006,0)))),"Fix")))</f>
        <v>0</v>
      </c>
      <c r="D885" s="3">
        <f>IF(OR(INDEX($J$2:$J$1001,MATCH(ROWS($I$2:I885),$I$2:$I$1001,0),1)&gt;=100000,INDEX($P$1005:$S$1005,1,MATCH(COLUMNS($P$1006:R1006),$P$1006:$S$1006,0))&gt;=100000), " ",IF(INDEX($P$2:$S$1001,MATCH(ROWS($I$2:I885),$I$2:$I$1001,0),MATCH(COLUMNS($P$1006:R1006),$P$1006:$S$1006,0)), HYPERLINK("#",""), HYPERLINK(CONCATENATE("#metadata!", ADDRESS(INDEX($K$2:$K$1001,MATCH(ROWS($I$2:I885),$I$2:$I$1001,0),0), INDEX($P$1004:$S$1004,1,MATCH(COLUMNS($P$1006:R1006),$P$1006:$S$1006,0)))),"Fix")))</f>
        <v>0</v>
      </c>
      <c r="E885" s="3">
        <f>IF(OR(INDEX($J$2:$J$1001,MATCH(ROWS($I$2:I885),$I$2:$I$1001,0),1)&gt;=100000,INDEX($P$1005:$S$1005,1,MATCH(COLUMNS($P$1006:S1006),$P$1006:$S$1006,0))&gt;=100000), " ",IF(INDEX($P$2:$S$1001,MATCH(ROWS($I$2:I885),$I$2:$I$1001,0),MATCH(COLUMNS($P$1006:S1006),$P$1006:$S$1006,0)), HYPERLINK("#",""), HYPERLINK(CONCATENATE("#metadata!", ADDRESS(INDEX($K$2:$K$1001,MATCH(ROWS($I$2:I885),$I$2:$I$1001,0),0), INDEX($P$1004:$S$1004,1,MATCH(COLUMNS($P$1006:S1006),$P$1006:$S$1006,0)))),"Fix")))</f>
        <v>0</v>
      </c>
      <c r="I885">
        <v>0</v>
      </c>
      <c r="J885">
        <v>0</v>
      </c>
      <c r="K885">
        <v>0</v>
      </c>
      <c r="L885">
        <f>IF(M885,TRUE,AND(P885:S885))</f>
        <v>0</v>
      </c>
      <c r="M885">
        <f>COUNTBLANK(metadata!B885:E885)=COLUMNS(metadata!B885:E885)</f>
        <v>0</v>
      </c>
      <c r="N885">
        <v>0</v>
      </c>
      <c r="P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Q885">
        <f>AND(IF(metadata!C885="",FALSE,TRUE),exact(metadata!C885,"other"))</f>
        <v>0</v>
      </c>
      <c r="R885">
        <f>AND(IF(metadata!D885="",FALSE,TRUE),exact(metadata!D885,"metagenome"))</f>
        <v>0</v>
      </c>
      <c r="S885">
        <f>AND(IF(metadata!E885="",FALSE,TRUE),exact(metadata!E885,"256318"))</f>
        <v>0</v>
      </c>
    </row>
    <row r="886" spans="1:19">
      <c r="A886" s="4">
        <f>IF(B886=" "," ",HYPERLINK(CONCATENATE("#metadata!",ADDRESS(INDEX($K$2:$K$1001,MATCH(ROWS($I$2:I886),$I$2:$I$1001,0),0),1)),INDEX($N$2:$N$1001,MATCH(ROWS($I$2:I886),$I$2:$I$1001,0),0)))</f>
        <v>0</v>
      </c>
      <c r="B886" s="3">
        <f>IF(OR(INDEX($J$2:$J$1001,MATCH(ROWS($I$2:I886),$I$2:$I$1001,0),1)&gt;=100000,INDEX($P$1005:$S$1005,1,MATCH(COLUMNS($P$1006:P1006),$P$1006:$S$1006,0))&gt;=100000), " ",IF(INDEX($P$2:$S$1001,MATCH(ROWS($I$2:I886),$I$2:$I$1001,0),MATCH(COLUMNS($P$1006:P1006),$P$1006:$S$1006,0)), HYPERLINK("#",""), HYPERLINK(CONCATENATE("#metadata!", ADDRESS(INDEX($K$2:$K$1001,MATCH(ROWS($I$2:I886),$I$2:$I$1001,0),0), INDEX($P$1004:$S$1004,1,MATCH(COLUMNS($P$1006:P1006),$P$1006:$S$1006,0)))),"Fix")))</f>
        <v>0</v>
      </c>
      <c r="C886" s="3">
        <f>IF(OR(INDEX($J$2:$J$1001,MATCH(ROWS($I$2:I886),$I$2:$I$1001,0),1)&gt;=100000,INDEX($P$1005:$S$1005,1,MATCH(COLUMNS($P$1006:Q1006),$P$1006:$S$1006,0))&gt;=100000), " ",IF(INDEX($P$2:$S$1001,MATCH(ROWS($I$2:I886),$I$2:$I$1001,0),MATCH(COLUMNS($P$1006:Q1006),$P$1006:$S$1006,0)), HYPERLINK("#",""), HYPERLINK(CONCATENATE("#metadata!", ADDRESS(INDEX($K$2:$K$1001,MATCH(ROWS($I$2:I886),$I$2:$I$1001,0),0), INDEX($P$1004:$S$1004,1,MATCH(COLUMNS($P$1006:Q1006),$P$1006:$S$1006,0)))),"Fix")))</f>
        <v>0</v>
      </c>
      <c r="D886" s="3">
        <f>IF(OR(INDEX($J$2:$J$1001,MATCH(ROWS($I$2:I886),$I$2:$I$1001,0),1)&gt;=100000,INDEX($P$1005:$S$1005,1,MATCH(COLUMNS($P$1006:R1006),$P$1006:$S$1006,0))&gt;=100000), " ",IF(INDEX($P$2:$S$1001,MATCH(ROWS($I$2:I886),$I$2:$I$1001,0),MATCH(COLUMNS($P$1006:R1006),$P$1006:$S$1006,0)), HYPERLINK("#",""), HYPERLINK(CONCATENATE("#metadata!", ADDRESS(INDEX($K$2:$K$1001,MATCH(ROWS($I$2:I886),$I$2:$I$1001,0),0), INDEX($P$1004:$S$1004,1,MATCH(COLUMNS($P$1006:R1006),$P$1006:$S$1006,0)))),"Fix")))</f>
        <v>0</v>
      </c>
      <c r="E886" s="3">
        <f>IF(OR(INDEX($J$2:$J$1001,MATCH(ROWS($I$2:I886),$I$2:$I$1001,0),1)&gt;=100000,INDEX($P$1005:$S$1005,1,MATCH(COLUMNS($P$1006:S1006),$P$1006:$S$1006,0))&gt;=100000), " ",IF(INDEX($P$2:$S$1001,MATCH(ROWS($I$2:I886),$I$2:$I$1001,0),MATCH(COLUMNS($P$1006:S1006),$P$1006:$S$1006,0)), HYPERLINK("#",""), HYPERLINK(CONCATENATE("#metadata!", ADDRESS(INDEX($K$2:$K$1001,MATCH(ROWS($I$2:I886),$I$2:$I$1001,0),0), INDEX($P$1004:$S$1004,1,MATCH(COLUMNS($P$1006:S1006),$P$1006:$S$1006,0)))),"Fix")))</f>
        <v>0</v>
      </c>
      <c r="I886">
        <v>0</v>
      </c>
      <c r="J886">
        <v>0</v>
      </c>
      <c r="K886">
        <v>0</v>
      </c>
      <c r="L886">
        <f>IF(M886,TRUE,AND(P886:S886))</f>
        <v>0</v>
      </c>
      <c r="M886">
        <f>COUNTBLANK(metadata!B886:E886)=COLUMNS(metadata!B886:E886)</f>
        <v>0</v>
      </c>
      <c r="N886">
        <v>0</v>
      </c>
      <c r="P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Q886">
        <f>AND(IF(metadata!C886="",FALSE,TRUE),exact(metadata!C886,"other"))</f>
        <v>0</v>
      </c>
      <c r="R886">
        <f>AND(IF(metadata!D886="",FALSE,TRUE),exact(metadata!D886,"metagenome"))</f>
        <v>0</v>
      </c>
      <c r="S886">
        <f>AND(IF(metadata!E886="",FALSE,TRUE),exact(metadata!E886,"256318"))</f>
        <v>0</v>
      </c>
    </row>
    <row r="887" spans="1:19">
      <c r="A887" s="4">
        <f>IF(B887=" "," ",HYPERLINK(CONCATENATE("#metadata!",ADDRESS(INDEX($K$2:$K$1001,MATCH(ROWS($I$2:I887),$I$2:$I$1001,0),0),1)),INDEX($N$2:$N$1001,MATCH(ROWS($I$2:I887),$I$2:$I$1001,0),0)))</f>
        <v>0</v>
      </c>
      <c r="B887" s="3">
        <f>IF(OR(INDEX($J$2:$J$1001,MATCH(ROWS($I$2:I887),$I$2:$I$1001,0),1)&gt;=100000,INDEX($P$1005:$S$1005,1,MATCH(COLUMNS($P$1006:P1006),$P$1006:$S$1006,0))&gt;=100000), " ",IF(INDEX($P$2:$S$1001,MATCH(ROWS($I$2:I887),$I$2:$I$1001,0),MATCH(COLUMNS($P$1006:P1006),$P$1006:$S$1006,0)), HYPERLINK("#",""), HYPERLINK(CONCATENATE("#metadata!", ADDRESS(INDEX($K$2:$K$1001,MATCH(ROWS($I$2:I887),$I$2:$I$1001,0),0), INDEX($P$1004:$S$1004,1,MATCH(COLUMNS($P$1006:P1006),$P$1006:$S$1006,0)))),"Fix")))</f>
        <v>0</v>
      </c>
      <c r="C887" s="3">
        <f>IF(OR(INDEX($J$2:$J$1001,MATCH(ROWS($I$2:I887),$I$2:$I$1001,0),1)&gt;=100000,INDEX($P$1005:$S$1005,1,MATCH(COLUMNS($P$1006:Q1006),$P$1006:$S$1006,0))&gt;=100000), " ",IF(INDEX($P$2:$S$1001,MATCH(ROWS($I$2:I887),$I$2:$I$1001,0),MATCH(COLUMNS($P$1006:Q1006),$P$1006:$S$1006,0)), HYPERLINK("#",""), HYPERLINK(CONCATENATE("#metadata!", ADDRESS(INDEX($K$2:$K$1001,MATCH(ROWS($I$2:I887),$I$2:$I$1001,0),0), INDEX($P$1004:$S$1004,1,MATCH(COLUMNS($P$1006:Q1006),$P$1006:$S$1006,0)))),"Fix")))</f>
        <v>0</v>
      </c>
      <c r="D887" s="3">
        <f>IF(OR(INDEX($J$2:$J$1001,MATCH(ROWS($I$2:I887),$I$2:$I$1001,0),1)&gt;=100000,INDEX($P$1005:$S$1005,1,MATCH(COLUMNS($P$1006:R1006),$P$1006:$S$1006,0))&gt;=100000), " ",IF(INDEX($P$2:$S$1001,MATCH(ROWS($I$2:I887),$I$2:$I$1001,0),MATCH(COLUMNS($P$1006:R1006),$P$1006:$S$1006,0)), HYPERLINK("#",""), HYPERLINK(CONCATENATE("#metadata!", ADDRESS(INDEX($K$2:$K$1001,MATCH(ROWS($I$2:I887),$I$2:$I$1001,0),0), INDEX($P$1004:$S$1004,1,MATCH(COLUMNS($P$1006:R1006),$P$1006:$S$1006,0)))),"Fix")))</f>
        <v>0</v>
      </c>
      <c r="E887" s="3">
        <f>IF(OR(INDEX($J$2:$J$1001,MATCH(ROWS($I$2:I887),$I$2:$I$1001,0),1)&gt;=100000,INDEX($P$1005:$S$1005,1,MATCH(COLUMNS($P$1006:S1006),$P$1006:$S$1006,0))&gt;=100000), " ",IF(INDEX($P$2:$S$1001,MATCH(ROWS($I$2:I887),$I$2:$I$1001,0),MATCH(COLUMNS($P$1006:S1006),$P$1006:$S$1006,0)), HYPERLINK("#",""), HYPERLINK(CONCATENATE("#metadata!", ADDRESS(INDEX($K$2:$K$1001,MATCH(ROWS($I$2:I887),$I$2:$I$1001,0),0), INDEX($P$1004:$S$1004,1,MATCH(COLUMNS($P$1006:S1006),$P$1006:$S$1006,0)))),"Fix")))</f>
        <v>0</v>
      </c>
      <c r="I887">
        <v>0</v>
      </c>
      <c r="J887">
        <v>0</v>
      </c>
      <c r="K887">
        <v>0</v>
      </c>
      <c r="L887">
        <f>IF(M887,TRUE,AND(P887:S887))</f>
        <v>0</v>
      </c>
      <c r="M887">
        <f>COUNTBLANK(metadata!B887:E887)=COLUMNS(metadata!B887:E887)</f>
        <v>0</v>
      </c>
      <c r="N887">
        <v>0</v>
      </c>
      <c r="P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Q887">
        <f>AND(IF(metadata!C887="",FALSE,TRUE),exact(metadata!C887,"other"))</f>
        <v>0</v>
      </c>
      <c r="R887">
        <f>AND(IF(metadata!D887="",FALSE,TRUE),exact(metadata!D887,"metagenome"))</f>
        <v>0</v>
      </c>
      <c r="S887">
        <f>AND(IF(metadata!E887="",FALSE,TRUE),exact(metadata!E887,"256318"))</f>
        <v>0</v>
      </c>
    </row>
    <row r="888" spans="1:19">
      <c r="A888" s="4">
        <f>IF(B888=" "," ",HYPERLINK(CONCATENATE("#metadata!",ADDRESS(INDEX($K$2:$K$1001,MATCH(ROWS($I$2:I888),$I$2:$I$1001,0),0),1)),INDEX($N$2:$N$1001,MATCH(ROWS($I$2:I888),$I$2:$I$1001,0),0)))</f>
        <v>0</v>
      </c>
      <c r="B888" s="3">
        <f>IF(OR(INDEX($J$2:$J$1001,MATCH(ROWS($I$2:I888),$I$2:$I$1001,0),1)&gt;=100000,INDEX($P$1005:$S$1005,1,MATCH(COLUMNS($P$1006:P1006),$P$1006:$S$1006,0))&gt;=100000), " ",IF(INDEX($P$2:$S$1001,MATCH(ROWS($I$2:I888),$I$2:$I$1001,0),MATCH(COLUMNS($P$1006:P1006),$P$1006:$S$1006,0)), HYPERLINK("#",""), HYPERLINK(CONCATENATE("#metadata!", ADDRESS(INDEX($K$2:$K$1001,MATCH(ROWS($I$2:I888),$I$2:$I$1001,0),0), INDEX($P$1004:$S$1004,1,MATCH(COLUMNS($P$1006:P1006),$P$1006:$S$1006,0)))),"Fix")))</f>
        <v>0</v>
      </c>
      <c r="C888" s="3">
        <f>IF(OR(INDEX($J$2:$J$1001,MATCH(ROWS($I$2:I888),$I$2:$I$1001,0),1)&gt;=100000,INDEX($P$1005:$S$1005,1,MATCH(COLUMNS($P$1006:Q1006),$P$1006:$S$1006,0))&gt;=100000), " ",IF(INDEX($P$2:$S$1001,MATCH(ROWS($I$2:I888),$I$2:$I$1001,0),MATCH(COLUMNS($P$1006:Q1006),$P$1006:$S$1006,0)), HYPERLINK("#",""), HYPERLINK(CONCATENATE("#metadata!", ADDRESS(INDEX($K$2:$K$1001,MATCH(ROWS($I$2:I888),$I$2:$I$1001,0),0), INDEX($P$1004:$S$1004,1,MATCH(COLUMNS($P$1006:Q1006),$P$1006:$S$1006,0)))),"Fix")))</f>
        <v>0</v>
      </c>
      <c r="D888" s="3">
        <f>IF(OR(INDEX($J$2:$J$1001,MATCH(ROWS($I$2:I888),$I$2:$I$1001,0),1)&gt;=100000,INDEX($P$1005:$S$1005,1,MATCH(COLUMNS($P$1006:R1006),$P$1006:$S$1006,0))&gt;=100000), " ",IF(INDEX($P$2:$S$1001,MATCH(ROWS($I$2:I888),$I$2:$I$1001,0),MATCH(COLUMNS($P$1006:R1006),$P$1006:$S$1006,0)), HYPERLINK("#",""), HYPERLINK(CONCATENATE("#metadata!", ADDRESS(INDEX($K$2:$K$1001,MATCH(ROWS($I$2:I888),$I$2:$I$1001,0),0), INDEX($P$1004:$S$1004,1,MATCH(COLUMNS($P$1006:R1006),$P$1006:$S$1006,0)))),"Fix")))</f>
        <v>0</v>
      </c>
      <c r="E888" s="3">
        <f>IF(OR(INDEX($J$2:$J$1001,MATCH(ROWS($I$2:I888),$I$2:$I$1001,0),1)&gt;=100000,INDEX($P$1005:$S$1005,1,MATCH(COLUMNS($P$1006:S1006),$P$1006:$S$1006,0))&gt;=100000), " ",IF(INDEX($P$2:$S$1001,MATCH(ROWS($I$2:I888),$I$2:$I$1001,0),MATCH(COLUMNS($P$1006:S1006),$P$1006:$S$1006,0)), HYPERLINK("#",""), HYPERLINK(CONCATENATE("#metadata!", ADDRESS(INDEX($K$2:$K$1001,MATCH(ROWS($I$2:I888),$I$2:$I$1001,0),0), INDEX($P$1004:$S$1004,1,MATCH(COLUMNS($P$1006:S1006),$P$1006:$S$1006,0)))),"Fix")))</f>
        <v>0</v>
      </c>
      <c r="I888">
        <v>0</v>
      </c>
      <c r="J888">
        <v>0</v>
      </c>
      <c r="K888">
        <v>0</v>
      </c>
      <c r="L888">
        <f>IF(M888,TRUE,AND(P888:S888))</f>
        <v>0</v>
      </c>
      <c r="M888">
        <f>COUNTBLANK(metadata!B888:E888)=COLUMNS(metadata!B888:E888)</f>
        <v>0</v>
      </c>
      <c r="N888">
        <v>0</v>
      </c>
      <c r="P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Q888">
        <f>AND(IF(metadata!C888="",FALSE,TRUE),exact(metadata!C888,"other"))</f>
        <v>0</v>
      </c>
      <c r="R888">
        <f>AND(IF(metadata!D888="",FALSE,TRUE),exact(metadata!D888,"metagenome"))</f>
        <v>0</v>
      </c>
      <c r="S888">
        <f>AND(IF(metadata!E888="",FALSE,TRUE),exact(metadata!E888,"256318"))</f>
        <v>0</v>
      </c>
    </row>
    <row r="889" spans="1:19">
      <c r="A889" s="4">
        <f>IF(B889=" "," ",HYPERLINK(CONCATENATE("#metadata!",ADDRESS(INDEX($K$2:$K$1001,MATCH(ROWS($I$2:I889),$I$2:$I$1001,0),0),1)),INDEX($N$2:$N$1001,MATCH(ROWS($I$2:I889),$I$2:$I$1001,0),0)))</f>
        <v>0</v>
      </c>
      <c r="B889" s="3">
        <f>IF(OR(INDEX($J$2:$J$1001,MATCH(ROWS($I$2:I889),$I$2:$I$1001,0),1)&gt;=100000,INDEX($P$1005:$S$1005,1,MATCH(COLUMNS($P$1006:P1006),$P$1006:$S$1006,0))&gt;=100000), " ",IF(INDEX($P$2:$S$1001,MATCH(ROWS($I$2:I889),$I$2:$I$1001,0),MATCH(COLUMNS($P$1006:P1006),$P$1006:$S$1006,0)), HYPERLINK("#",""), HYPERLINK(CONCATENATE("#metadata!", ADDRESS(INDEX($K$2:$K$1001,MATCH(ROWS($I$2:I889),$I$2:$I$1001,0),0), INDEX($P$1004:$S$1004,1,MATCH(COLUMNS($P$1006:P1006),$P$1006:$S$1006,0)))),"Fix")))</f>
        <v>0</v>
      </c>
      <c r="C889" s="3">
        <f>IF(OR(INDEX($J$2:$J$1001,MATCH(ROWS($I$2:I889),$I$2:$I$1001,0),1)&gt;=100000,INDEX($P$1005:$S$1005,1,MATCH(COLUMNS($P$1006:Q1006),$P$1006:$S$1006,0))&gt;=100000), " ",IF(INDEX($P$2:$S$1001,MATCH(ROWS($I$2:I889),$I$2:$I$1001,0),MATCH(COLUMNS($P$1006:Q1006),$P$1006:$S$1006,0)), HYPERLINK("#",""), HYPERLINK(CONCATENATE("#metadata!", ADDRESS(INDEX($K$2:$K$1001,MATCH(ROWS($I$2:I889),$I$2:$I$1001,0),0), INDEX($P$1004:$S$1004,1,MATCH(COLUMNS($P$1006:Q1006),$P$1006:$S$1006,0)))),"Fix")))</f>
        <v>0</v>
      </c>
      <c r="D889" s="3">
        <f>IF(OR(INDEX($J$2:$J$1001,MATCH(ROWS($I$2:I889),$I$2:$I$1001,0),1)&gt;=100000,INDEX($P$1005:$S$1005,1,MATCH(COLUMNS($P$1006:R1006),$P$1006:$S$1006,0))&gt;=100000), " ",IF(INDEX($P$2:$S$1001,MATCH(ROWS($I$2:I889),$I$2:$I$1001,0),MATCH(COLUMNS($P$1006:R1006),$P$1006:$S$1006,0)), HYPERLINK("#",""), HYPERLINK(CONCATENATE("#metadata!", ADDRESS(INDEX($K$2:$K$1001,MATCH(ROWS($I$2:I889),$I$2:$I$1001,0),0), INDEX($P$1004:$S$1004,1,MATCH(COLUMNS($P$1006:R1006),$P$1006:$S$1006,0)))),"Fix")))</f>
        <v>0</v>
      </c>
      <c r="E889" s="3">
        <f>IF(OR(INDEX($J$2:$J$1001,MATCH(ROWS($I$2:I889),$I$2:$I$1001,0),1)&gt;=100000,INDEX($P$1005:$S$1005,1,MATCH(COLUMNS($P$1006:S1006),$P$1006:$S$1006,0))&gt;=100000), " ",IF(INDEX($P$2:$S$1001,MATCH(ROWS($I$2:I889),$I$2:$I$1001,0),MATCH(COLUMNS($P$1006:S1006),$P$1006:$S$1006,0)), HYPERLINK("#",""), HYPERLINK(CONCATENATE("#metadata!", ADDRESS(INDEX($K$2:$K$1001,MATCH(ROWS($I$2:I889),$I$2:$I$1001,0),0), INDEX($P$1004:$S$1004,1,MATCH(COLUMNS($P$1006:S1006),$P$1006:$S$1006,0)))),"Fix")))</f>
        <v>0</v>
      </c>
      <c r="I889">
        <v>0</v>
      </c>
      <c r="J889">
        <v>0</v>
      </c>
      <c r="K889">
        <v>0</v>
      </c>
      <c r="L889">
        <f>IF(M889,TRUE,AND(P889:S889))</f>
        <v>0</v>
      </c>
      <c r="M889">
        <f>COUNTBLANK(metadata!B889:E889)=COLUMNS(metadata!B889:E889)</f>
        <v>0</v>
      </c>
      <c r="N889">
        <v>0</v>
      </c>
      <c r="P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Q889">
        <f>AND(IF(metadata!C889="",FALSE,TRUE),exact(metadata!C889,"other"))</f>
        <v>0</v>
      </c>
      <c r="R889">
        <f>AND(IF(metadata!D889="",FALSE,TRUE),exact(metadata!D889,"metagenome"))</f>
        <v>0</v>
      </c>
      <c r="S889">
        <f>AND(IF(metadata!E889="",FALSE,TRUE),exact(metadata!E889,"256318"))</f>
        <v>0</v>
      </c>
    </row>
    <row r="890" spans="1:19">
      <c r="A890" s="4">
        <f>IF(B890=" "," ",HYPERLINK(CONCATENATE("#metadata!",ADDRESS(INDEX($K$2:$K$1001,MATCH(ROWS($I$2:I890),$I$2:$I$1001,0),0),1)),INDEX($N$2:$N$1001,MATCH(ROWS($I$2:I890),$I$2:$I$1001,0),0)))</f>
        <v>0</v>
      </c>
      <c r="B890" s="3">
        <f>IF(OR(INDEX($J$2:$J$1001,MATCH(ROWS($I$2:I890),$I$2:$I$1001,0),1)&gt;=100000,INDEX($P$1005:$S$1005,1,MATCH(COLUMNS($P$1006:P1006),$P$1006:$S$1006,0))&gt;=100000), " ",IF(INDEX($P$2:$S$1001,MATCH(ROWS($I$2:I890),$I$2:$I$1001,0),MATCH(COLUMNS($P$1006:P1006),$P$1006:$S$1006,0)), HYPERLINK("#",""), HYPERLINK(CONCATENATE("#metadata!", ADDRESS(INDEX($K$2:$K$1001,MATCH(ROWS($I$2:I890),$I$2:$I$1001,0),0), INDEX($P$1004:$S$1004,1,MATCH(COLUMNS($P$1006:P1006),$P$1006:$S$1006,0)))),"Fix")))</f>
        <v>0</v>
      </c>
      <c r="C890" s="3">
        <f>IF(OR(INDEX($J$2:$J$1001,MATCH(ROWS($I$2:I890),$I$2:$I$1001,0),1)&gt;=100000,INDEX($P$1005:$S$1005,1,MATCH(COLUMNS($P$1006:Q1006),$P$1006:$S$1006,0))&gt;=100000), " ",IF(INDEX($P$2:$S$1001,MATCH(ROWS($I$2:I890),$I$2:$I$1001,0),MATCH(COLUMNS($P$1006:Q1006),$P$1006:$S$1006,0)), HYPERLINK("#",""), HYPERLINK(CONCATENATE("#metadata!", ADDRESS(INDEX($K$2:$K$1001,MATCH(ROWS($I$2:I890),$I$2:$I$1001,0),0), INDEX($P$1004:$S$1004,1,MATCH(COLUMNS($P$1006:Q1006),$P$1006:$S$1006,0)))),"Fix")))</f>
        <v>0</v>
      </c>
      <c r="D890" s="3">
        <f>IF(OR(INDEX($J$2:$J$1001,MATCH(ROWS($I$2:I890),$I$2:$I$1001,0),1)&gt;=100000,INDEX($P$1005:$S$1005,1,MATCH(COLUMNS($P$1006:R1006),$P$1006:$S$1006,0))&gt;=100000), " ",IF(INDEX($P$2:$S$1001,MATCH(ROWS($I$2:I890),$I$2:$I$1001,0),MATCH(COLUMNS($P$1006:R1006),$P$1006:$S$1006,0)), HYPERLINK("#",""), HYPERLINK(CONCATENATE("#metadata!", ADDRESS(INDEX($K$2:$K$1001,MATCH(ROWS($I$2:I890),$I$2:$I$1001,0),0), INDEX($P$1004:$S$1004,1,MATCH(COLUMNS($P$1006:R1006),$P$1006:$S$1006,0)))),"Fix")))</f>
        <v>0</v>
      </c>
      <c r="E890" s="3">
        <f>IF(OR(INDEX($J$2:$J$1001,MATCH(ROWS($I$2:I890),$I$2:$I$1001,0),1)&gt;=100000,INDEX($P$1005:$S$1005,1,MATCH(COLUMNS($P$1006:S1006),$P$1006:$S$1006,0))&gt;=100000), " ",IF(INDEX($P$2:$S$1001,MATCH(ROWS($I$2:I890),$I$2:$I$1001,0),MATCH(COLUMNS($P$1006:S1006),$P$1006:$S$1006,0)), HYPERLINK("#",""), HYPERLINK(CONCATENATE("#metadata!", ADDRESS(INDEX($K$2:$K$1001,MATCH(ROWS($I$2:I890),$I$2:$I$1001,0),0), INDEX($P$1004:$S$1004,1,MATCH(COLUMNS($P$1006:S1006),$P$1006:$S$1006,0)))),"Fix")))</f>
        <v>0</v>
      </c>
      <c r="I890">
        <v>0</v>
      </c>
      <c r="J890">
        <v>0</v>
      </c>
      <c r="K890">
        <v>0</v>
      </c>
      <c r="L890">
        <f>IF(M890,TRUE,AND(P890:S890))</f>
        <v>0</v>
      </c>
      <c r="M890">
        <f>COUNTBLANK(metadata!B890:E890)=COLUMNS(metadata!B890:E890)</f>
        <v>0</v>
      </c>
      <c r="N890">
        <v>0</v>
      </c>
      <c r="P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Q890">
        <f>AND(IF(metadata!C890="",FALSE,TRUE),exact(metadata!C890,"other"))</f>
        <v>0</v>
      </c>
      <c r="R890">
        <f>AND(IF(metadata!D890="",FALSE,TRUE),exact(metadata!D890,"metagenome"))</f>
        <v>0</v>
      </c>
      <c r="S890">
        <f>AND(IF(metadata!E890="",FALSE,TRUE),exact(metadata!E890,"256318"))</f>
        <v>0</v>
      </c>
    </row>
    <row r="891" spans="1:19">
      <c r="A891" s="4">
        <f>IF(B891=" "," ",HYPERLINK(CONCATENATE("#metadata!",ADDRESS(INDEX($K$2:$K$1001,MATCH(ROWS($I$2:I891),$I$2:$I$1001,0),0),1)),INDEX($N$2:$N$1001,MATCH(ROWS($I$2:I891),$I$2:$I$1001,0),0)))</f>
        <v>0</v>
      </c>
      <c r="B891" s="3">
        <f>IF(OR(INDEX($J$2:$J$1001,MATCH(ROWS($I$2:I891),$I$2:$I$1001,0),1)&gt;=100000,INDEX($P$1005:$S$1005,1,MATCH(COLUMNS($P$1006:P1006),$P$1006:$S$1006,0))&gt;=100000), " ",IF(INDEX($P$2:$S$1001,MATCH(ROWS($I$2:I891),$I$2:$I$1001,0),MATCH(COLUMNS($P$1006:P1006),$P$1006:$S$1006,0)), HYPERLINK("#",""), HYPERLINK(CONCATENATE("#metadata!", ADDRESS(INDEX($K$2:$K$1001,MATCH(ROWS($I$2:I891),$I$2:$I$1001,0),0), INDEX($P$1004:$S$1004,1,MATCH(COLUMNS($P$1006:P1006),$P$1006:$S$1006,0)))),"Fix")))</f>
        <v>0</v>
      </c>
      <c r="C891" s="3">
        <f>IF(OR(INDEX($J$2:$J$1001,MATCH(ROWS($I$2:I891),$I$2:$I$1001,0),1)&gt;=100000,INDEX($P$1005:$S$1005,1,MATCH(COLUMNS($P$1006:Q1006),$P$1006:$S$1006,0))&gt;=100000), " ",IF(INDEX($P$2:$S$1001,MATCH(ROWS($I$2:I891),$I$2:$I$1001,0),MATCH(COLUMNS($P$1006:Q1006),$P$1006:$S$1006,0)), HYPERLINK("#",""), HYPERLINK(CONCATENATE("#metadata!", ADDRESS(INDEX($K$2:$K$1001,MATCH(ROWS($I$2:I891),$I$2:$I$1001,0),0), INDEX($P$1004:$S$1004,1,MATCH(COLUMNS($P$1006:Q1006),$P$1006:$S$1006,0)))),"Fix")))</f>
        <v>0</v>
      </c>
      <c r="D891" s="3">
        <f>IF(OR(INDEX($J$2:$J$1001,MATCH(ROWS($I$2:I891),$I$2:$I$1001,0),1)&gt;=100000,INDEX($P$1005:$S$1005,1,MATCH(COLUMNS($P$1006:R1006),$P$1006:$S$1006,0))&gt;=100000), " ",IF(INDEX($P$2:$S$1001,MATCH(ROWS($I$2:I891),$I$2:$I$1001,0),MATCH(COLUMNS($P$1006:R1006),$P$1006:$S$1006,0)), HYPERLINK("#",""), HYPERLINK(CONCATENATE("#metadata!", ADDRESS(INDEX($K$2:$K$1001,MATCH(ROWS($I$2:I891),$I$2:$I$1001,0),0), INDEX($P$1004:$S$1004,1,MATCH(COLUMNS($P$1006:R1006),$P$1006:$S$1006,0)))),"Fix")))</f>
        <v>0</v>
      </c>
      <c r="E891" s="3">
        <f>IF(OR(INDEX($J$2:$J$1001,MATCH(ROWS($I$2:I891),$I$2:$I$1001,0),1)&gt;=100000,INDEX($P$1005:$S$1005,1,MATCH(COLUMNS($P$1006:S1006),$P$1006:$S$1006,0))&gt;=100000), " ",IF(INDEX($P$2:$S$1001,MATCH(ROWS($I$2:I891),$I$2:$I$1001,0),MATCH(COLUMNS($P$1006:S1006),$P$1006:$S$1006,0)), HYPERLINK("#",""), HYPERLINK(CONCATENATE("#metadata!", ADDRESS(INDEX($K$2:$K$1001,MATCH(ROWS($I$2:I891),$I$2:$I$1001,0),0), INDEX($P$1004:$S$1004,1,MATCH(COLUMNS($P$1006:S1006),$P$1006:$S$1006,0)))),"Fix")))</f>
        <v>0</v>
      </c>
      <c r="I891">
        <v>0</v>
      </c>
      <c r="J891">
        <v>0</v>
      </c>
      <c r="K891">
        <v>0</v>
      </c>
      <c r="L891">
        <f>IF(M891,TRUE,AND(P891:S891))</f>
        <v>0</v>
      </c>
      <c r="M891">
        <f>COUNTBLANK(metadata!B891:E891)=COLUMNS(metadata!B891:E891)</f>
        <v>0</v>
      </c>
      <c r="N891">
        <v>0</v>
      </c>
      <c r="P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Q891">
        <f>AND(IF(metadata!C891="",FALSE,TRUE),exact(metadata!C891,"other"))</f>
        <v>0</v>
      </c>
      <c r="R891">
        <f>AND(IF(metadata!D891="",FALSE,TRUE),exact(metadata!D891,"metagenome"))</f>
        <v>0</v>
      </c>
      <c r="S891">
        <f>AND(IF(metadata!E891="",FALSE,TRUE),exact(metadata!E891,"256318"))</f>
        <v>0</v>
      </c>
    </row>
    <row r="892" spans="1:19">
      <c r="A892" s="4">
        <f>IF(B892=" "," ",HYPERLINK(CONCATENATE("#metadata!",ADDRESS(INDEX($K$2:$K$1001,MATCH(ROWS($I$2:I892),$I$2:$I$1001,0),0),1)),INDEX($N$2:$N$1001,MATCH(ROWS($I$2:I892),$I$2:$I$1001,0),0)))</f>
        <v>0</v>
      </c>
      <c r="B892" s="3">
        <f>IF(OR(INDEX($J$2:$J$1001,MATCH(ROWS($I$2:I892),$I$2:$I$1001,0),1)&gt;=100000,INDEX($P$1005:$S$1005,1,MATCH(COLUMNS($P$1006:P1006),$P$1006:$S$1006,0))&gt;=100000), " ",IF(INDEX($P$2:$S$1001,MATCH(ROWS($I$2:I892),$I$2:$I$1001,0),MATCH(COLUMNS($P$1006:P1006),$P$1006:$S$1006,0)), HYPERLINK("#",""), HYPERLINK(CONCATENATE("#metadata!", ADDRESS(INDEX($K$2:$K$1001,MATCH(ROWS($I$2:I892),$I$2:$I$1001,0),0), INDEX($P$1004:$S$1004,1,MATCH(COLUMNS($P$1006:P1006),$P$1006:$S$1006,0)))),"Fix")))</f>
        <v>0</v>
      </c>
      <c r="C892" s="3">
        <f>IF(OR(INDEX($J$2:$J$1001,MATCH(ROWS($I$2:I892),$I$2:$I$1001,0),1)&gt;=100000,INDEX($P$1005:$S$1005,1,MATCH(COLUMNS($P$1006:Q1006),$P$1006:$S$1006,0))&gt;=100000), " ",IF(INDEX($P$2:$S$1001,MATCH(ROWS($I$2:I892),$I$2:$I$1001,0),MATCH(COLUMNS($P$1006:Q1006),$P$1006:$S$1006,0)), HYPERLINK("#",""), HYPERLINK(CONCATENATE("#metadata!", ADDRESS(INDEX($K$2:$K$1001,MATCH(ROWS($I$2:I892),$I$2:$I$1001,0),0), INDEX($P$1004:$S$1004,1,MATCH(COLUMNS($P$1006:Q1006),$P$1006:$S$1006,0)))),"Fix")))</f>
        <v>0</v>
      </c>
      <c r="D892" s="3">
        <f>IF(OR(INDEX($J$2:$J$1001,MATCH(ROWS($I$2:I892),$I$2:$I$1001,0),1)&gt;=100000,INDEX($P$1005:$S$1005,1,MATCH(COLUMNS($P$1006:R1006),$P$1006:$S$1006,0))&gt;=100000), " ",IF(INDEX($P$2:$S$1001,MATCH(ROWS($I$2:I892),$I$2:$I$1001,0),MATCH(COLUMNS($P$1006:R1006),$P$1006:$S$1006,0)), HYPERLINK("#",""), HYPERLINK(CONCATENATE("#metadata!", ADDRESS(INDEX($K$2:$K$1001,MATCH(ROWS($I$2:I892),$I$2:$I$1001,0),0), INDEX($P$1004:$S$1004,1,MATCH(COLUMNS($P$1006:R1006),$P$1006:$S$1006,0)))),"Fix")))</f>
        <v>0</v>
      </c>
      <c r="E892" s="3">
        <f>IF(OR(INDEX($J$2:$J$1001,MATCH(ROWS($I$2:I892),$I$2:$I$1001,0),1)&gt;=100000,INDEX($P$1005:$S$1005,1,MATCH(COLUMNS($P$1006:S1006),$P$1006:$S$1006,0))&gt;=100000), " ",IF(INDEX($P$2:$S$1001,MATCH(ROWS($I$2:I892),$I$2:$I$1001,0),MATCH(COLUMNS($P$1006:S1006),$P$1006:$S$1006,0)), HYPERLINK("#",""), HYPERLINK(CONCATENATE("#metadata!", ADDRESS(INDEX($K$2:$K$1001,MATCH(ROWS($I$2:I892),$I$2:$I$1001,0),0), INDEX($P$1004:$S$1004,1,MATCH(COLUMNS($P$1006:S1006),$P$1006:$S$1006,0)))),"Fix")))</f>
        <v>0</v>
      </c>
      <c r="I892">
        <v>0</v>
      </c>
      <c r="J892">
        <v>0</v>
      </c>
      <c r="K892">
        <v>0</v>
      </c>
      <c r="L892">
        <f>IF(M892,TRUE,AND(P892:S892))</f>
        <v>0</v>
      </c>
      <c r="M892">
        <f>COUNTBLANK(metadata!B892:E892)=COLUMNS(metadata!B892:E892)</f>
        <v>0</v>
      </c>
      <c r="N892">
        <v>0</v>
      </c>
      <c r="P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Q892">
        <f>AND(IF(metadata!C892="",FALSE,TRUE),exact(metadata!C892,"other"))</f>
        <v>0</v>
      </c>
      <c r="R892">
        <f>AND(IF(metadata!D892="",FALSE,TRUE),exact(metadata!D892,"metagenome"))</f>
        <v>0</v>
      </c>
      <c r="S892">
        <f>AND(IF(metadata!E892="",FALSE,TRUE),exact(metadata!E892,"256318"))</f>
        <v>0</v>
      </c>
    </row>
    <row r="893" spans="1:19">
      <c r="A893" s="4">
        <f>IF(B893=" "," ",HYPERLINK(CONCATENATE("#metadata!",ADDRESS(INDEX($K$2:$K$1001,MATCH(ROWS($I$2:I893),$I$2:$I$1001,0),0),1)),INDEX($N$2:$N$1001,MATCH(ROWS($I$2:I893),$I$2:$I$1001,0),0)))</f>
        <v>0</v>
      </c>
      <c r="B893" s="3">
        <f>IF(OR(INDEX($J$2:$J$1001,MATCH(ROWS($I$2:I893),$I$2:$I$1001,0),1)&gt;=100000,INDEX($P$1005:$S$1005,1,MATCH(COLUMNS($P$1006:P1006),$P$1006:$S$1006,0))&gt;=100000), " ",IF(INDEX($P$2:$S$1001,MATCH(ROWS($I$2:I893),$I$2:$I$1001,0),MATCH(COLUMNS($P$1006:P1006),$P$1006:$S$1006,0)), HYPERLINK("#",""), HYPERLINK(CONCATENATE("#metadata!", ADDRESS(INDEX($K$2:$K$1001,MATCH(ROWS($I$2:I893),$I$2:$I$1001,0),0), INDEX($P$1004:$S$1004,1,MATCH(COLUMNS($P$1006:P1006),$P$1006:$S$1006,0)))),"Fix")))</f>
        <v>0</v>
      </c>
      <c r="C893" s="3">
        <f>IF(OR(INDEX($J$2:$J$1001,MATCH(ROWS($I$2:I893),$I$2:$I$1001,0),1)&gt;=100000,INDEX($P$1005:$S$1005,1,MATCH(COLUMNS($P$1006:Q1006),$P$1006:$S$1006,0))&gt;=100000), " ",IF(INDEX($P$2:$S$1001,MATCH(ROWS($I$2:I893),$I$2:$I$1001,0),MATCH(COLUMNS($P$1006:Q1006),$P$1006:$S$1006,0)), HYPERLINK("#",""), HYPERLINK(CONCATENATE("#metadata!", ADDRESS(INDEX($K$2:$K$1001,MATCH(ROWS($I$2:I893),$I$2:$I$1001,0),0), INDEX($P$1004:$S$1004,1,MATCH(COLUMNS($P$1006:Q1006),$P$1006:$S$1006,0)))),"Fix")))</f>
        <v>0</v>
      </c>
      <c r="D893" s="3">
        <f>IF(OR(INDEX($J$2:$J$1001,MATCH(ROWS($I$2:I893),$I$2:$I$1001,0),1)&gt;=100000,INDEX($P$1005:$S$1005,1,MATCH(COLUMNS($P$1006:R1006),$P$1006:$S$1006,0))&gt;=100000), " ",IF(INDEX($P$2:$S$1001,MATCH(ROWS($I$2:I893),$I$2:$I$1001,0),MATCH(COLUMNS($P$1006:R1006),$P$1006:$S$1006,0)), HYPERLINK("#",""), HYPERLINK(CONCATENATE("#metadata!", ADDRESS(INDEX($K$2:$K$1001,MATCH(ROWS($I$2:I893),$I$2:$I$1001,0),0), INDEX($P$1004:$S$1004,1,MATCH(COLUMNS($P$1006:R1006),$P$1006:$S$1006,0)))),"Fix")))</f>
        <v>0</v>
      </c>
      <c r="E893" s="3">
        <f>IF(OR(INDEX($J$2:$J$1001,MATCH(ROWS($I$2:I893),$I$2:$I$1001,0),1)&gt;=100000,INDEX($P$1005:$S$1005,1,MATCH(COLUMNS($P$1006:S1006),$P$1006:$S$1006,0))&gt;=100000), " ",IF(INDEX($P$2:$S$1001,MATCH(ROWS($I$2:I893),$I$2:$I$1001,0),MATCH(COLUMNS($P$1006:S1006),$P$1006:$S$1006,0)), HYPERLINK("#",""), HYPERLINK(CONCATENATE("#metadata!", ADDRESS(INDEX($K$2:$K$1001,MATCH(ROWS($I$2:I893),$I$2:$I$1001,0),0), INDEX($P$1004:$S$1004,1,MATCH(COLUMNS($P$1006:S1006),$P$1006:$S$1006,0)))),"Fix")))</f>
        <v>0</v>
      </c>
      <c r="I893">
        <v>0</v>
      </c>
      <c r="J893">
        <v>0</v>
      </c>
      <c r="K893">
        <v>0</v>
      </c>
      <c r="L893">
        <f>IF(M893,TRUE,AND(P893:S893))</f>
        <v>0</v>
      </c>
      <c r="M893">
        <f>COUNTBLANK(metadata!B893:E893)=COLUMNS(metadata!B893:E893)</f>
        <v>0</v>
      </c>
      <c r="N893">
        <v>0</v>
      </c>
      <c r="P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Q893">
        <f>AND(IF(metadata!C893="",FALSE,TRUE),exact(metadata!C893,"other"))</f>
        <v>0</v>
      </c>
      <c r="R893">
        <f>AND(IF(metadata!D893="",FALSE,TRUE),exact(metadata!D893,"metagenome"))</f>
        <v>0</v>
      </c>
      <c r="S893">
        <f>AND(IF(metadata!E893="",FALSE,TRUE),exact(metadata!E893,"256318"))</f>
        <v>0</v>
      </c>
    </row>
    <row r="894" spans="1:19">
      <c r="A894" s="4">
        <f>IF(B894=" "," ",HYPERLINK(CONCATENATE("#metadata!",ADDRESS(INDEX($K$2:$K$1001,MATCH(ROWS($I$2:I894),$I$2:$I$1001,0),0),1)),INDEX($N$2:$N$1001,MATCH(ROWS($I$2:I894),$I$2:$I$1001,0),0)))</f>
        <v>0</v>
      </c>
      <c r="B894" s="3">
        <f>IF(OR(INDEX($J$2:$J$1001,MATCH(ROWS($I$2:I894),$I$2:$I$1001,0),1)&gt;=100000,INDEX($P$1005:$S$1005,1,MATCH(COLUMNS($P$1006:P1006),$P$1006:$S$1006,0))&gt;=100000), " ",IF(INDEX($P$2:$S$1001,MATCH(ROWS($I$2:I894),$I$2:$I$1001,0),MATCH(COLUMNS($P$1006:P1006),$P$1006:$S$1006,0)), HYPERLINK("#",""), HYPERLINK(CONCATENATE("#metadata!", ADDRESS(INDEX($K$2:$K$1001,MATCH(ROWS($I$2:I894),$I$2:$I$1001,0),0), INDEX($P$1004:$S$1004,1,MATCH(COLUMNS($P$1006:P1006),$P$1006:$S$1006,0)))),"Fix")))</f>
        <v>0</v>
      </c>
      <c r="C894" s="3">
        <f>IF(OR(INDEX($J$2:$J$1001,MATCH(ROWS($I$2:I894),$I$2:$I$1001,0),1)&gt;=100000,INDEX($P$1005:$S$1005,1,MATCH(COLUMNS($P$1006:Q1006),$P$1006:$S$1006,0))&gt;=100000), " ",IF(INDEX($P$2:$S$1001,MATCH(ROWS($I$2:I894),$I$2:$I$1001,0),MATCH(COLUMNS($P$1006:Q1006),$P$1006:$S$1006,0)), HYPERLINK("#",""), HYPERLINK(CONCATENATE("#metadata!", ADDRESS(INDEX($K$2:$K$1001,MATCH(ROWS($I$2:I894),$I$2:$I$1001,0),0), INDEX($P$1004:$S$1004,1,MATCH(COLUMNS($P$1006:Q1006),$P$1006:$S$1006,0)))),"Fix")))</f>
        <v>0</v>
      </c>
      <c r="D894" s="3">
        <f>IF(OR(INDEX($J$2:$J$1001,MATCH(ROWS($I$2:I894),$I$2:$I$1001,0),1)&gt;=100000,INDEX($P$1005:$S$1005,1,MATCH(COLUMNS($P$1006:R1006),$P$1006:$S$1006,0))&gt;=100000), " ",IF(INDEX($P$2:$S$1001,MATCH(ROWS($I$2:I894),$I$2:$I$1001,0),MATCH(COLUMNS($P$1006:R1006),$P$1006:$S$1006,0)), HYPERLINK("#",""), HYPERLINK(CONCATENATE("#metadata!", ADDRESS(INDEX($K$2:$K$1001,MATCH(ROWS($I$2:I894),$I$2:$I$1001,0),0), INDEX($P$1004:$S$1004,1,MATCH(COLUMNS($P$1006:R1006),$P$1006:$S$1006,0)))),"Fix")))</f>
        <v>0</v>
      </c>
      <c r="E894" s="3">
        <f>IF(OR(INDEX($J$2:$J$1001,MATCH(ROWS($I$2:I894),$I$2:$I$1001,0),1)&gt;=100000,INDEX($P$1005:$S$1005,1,MATCH(COLUMNS($P$1006:S1006),$P$1006:$S$1006,0))&gt;=100000), " ",IF(INDEX($P$2:$S$1001,MATCH(ROWS($I$2:I894),$I$2:$I$1001,0),MATCH(COLUMNS($P$1006:S1006),$P$1006:$S$1006,0)), HYPERLINK("#",""), HYPERLINK(CONCATENATE("#metadata!", ADDRESS(INDEX($K$2:$K$1001,MATCH(ROWS($I$2:I894),$I$2:$I$1001,0),0), INDEX($P$1004:$S$1004,1,MATCH(COLUMNS($P$1006:S1006),$P$1006:$S$1006,0)))),"Fix")))</f>
        <v>0</v>
      </c>
      <c r="I894">
        <v>0</v>
      </c>
      <c r="J894">
        <v>0</v>
      </c>
      <c r="K894">
        <v>0</v>
      </c>
      <c r="L894">
        <f>IF(M894,TRUE,AND(P894:S894))</f>
        <v>0</v>
      </c>
      <c r="M894">
        <f>COUNTBLANK(metadata!B894:E894)=COLUMNS(metadata!B894:E894)</f>
        <v>0</v>
      </c>
      <c r="N894">
        <v>0</v>
      </c>
      <c r="P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Q894">
        <f>AND(IF(metadata!C894="",FALSE,TRUE),exact(metadata!C894,"other"))</f>
        <v>0</v>
      </c>
      <c r="R894">
        <f>AND(IF(metadata!D894="",FALSE,TRUE),exact(metadata!D894,"metagenome"))</f>
        <v>0</v>
      </c>
      <c r="S894">
        <f>AND(IF(metadata!E894="",FALSE,TRUE),exact(metadata!E894,"256318"))</f>
        <v>0</v>
      </c>
    </row>
    <row r="895" spans="1:19">
      <c r="A895" s="4">
        <f>IF(B895=" "," ",HYPERLINK(CONCATENATE("#metadata!",ADDRESS(INDEX($K$2:$K$1001,MATCH(ROWS($I$2:I895),$I$2:$I$1001,0),0),1)),INDEX($N$2:$N$1001,MATCH(ROWS($I$2:I895),$I$2:$I$1001,0),0)))</f>
        <v>0</v>
      </c>
      <c r="B895" s="3">
        <f>IF(OR(INDEX($J$2:$J$1001,MATCH(ROWS($I$2:I895),$I$2:$I$1001,0),1)&gt;=100000,INDEX($P$1005:$S$1005,1,MATCH(COLUMNS($P$1006:P1006),$P$1006:$S$1006,0))&gt;=100000), " ",IF(INDEX($P$2:$S$1001,MATCH(ROWS($I$2:I895),$I$2:$I$1001,0),MATCH(COLUMNS($P$1006:P1006),$P$1006:$S$1006,0)), HYPERLINK("#",""), HYPERLINK(CONCATENATE("#metadata!", ADDRESS(INDEX($K$2:$K$1001,MATCH(ROWS($I$2:I895),$I$2:$I$1001,0),0), INDEX($P$1004:$S$1004,1,MATCH(COLUMNS($P$1006:P1006),$P$1006:$S$1006,0)))),"Fix")))</f>
        <v>0</v>
      </c>
      <c r="C895" s="3">
        <f>IF(OR(INDEX($J$2:$J$1001,MATCH(ROWS($I$2:I895),$I$2:$I$1001,0),1)&gt;=100000,INDEX($P$1005:$S$1005,1,MATCH(COLUMNS($P$1006:Q1006),$P$1006:$S$1006,0))&gt;=100000), " ",IF(INDEX($P$2:$S$1001,MATCH(ROWS($I$2:I895),$I$2:$I$1001,0),MATCH(COLUMNS($P$1006:Q1006),$P$1006:$S$1006,0)), HYPERLINK("#",""), HYPERLINK(CONCATENATE("#metadata!", ADDRESS(INDEX($K$2:$K$1001,MATCH(ROWS($I$2:I895),$I$2:$I$1001,0),0), INDEX($P$1004:$S$1004,1,MATCH(COLUMNS($P$1006:Q1006),$P$1006:$S$1006,0)))),"Fix")))</f>
        <v>0</v>
      </c>
      <c r="D895" s="3">
        <f>IF(OR(INDEX($J$2:$J$1001,MATCH(ROWS($I$2:I895),$I$2:$I$1001,0),1)&gt;=100000,INDEX($P$1005:$S$1005,1,MATCH(COLUMNS($P$1006:R1006),$P$1006:$S$1006,0))&gt;=100000), " ",IF(INDEX($P$2:$S$1001,MATCH(ROWS($I$2:I895),$I$2:$I$1001,0),MATCH(COLUMNS($P$1006:R1006),$P$1006:$S$1006,0)), HYPERLINK("#",""), HYPERLINK(CONCATENATE("#metadata!", ADDRESS(INDEX($K$2:$K$1001,MATCH(ROWS($I$2:I895),$I$2:$I$1001,0),0), INDEX($P$1004:$S$1004,1,MATCH(COLUMNS($P$1006:R1006),$P$1006:$S$1006,0)))),"Fix")))</f>
        <v>0</v>
      </c>
      <c r="E895" s="3">
        <f>IF(OR(INDEX($J$2:$J$1001,MATCH(ROWS($I$2:I895),$I$2:$I$1001,0),1)&gt;=100000,INDEX($P$1005:$S$1005,1,MATCH(COLUMNS($P$1006:S1006),$P$1006:$S$1006,0))&gt;=100000), " ",IF(INDEX($P$2:$S$1001,MATCH(ROWS($I$2:I895),$I$2:$I$1001,0),MATCH(COLUMNS($P$1006:S1006),$P$1006:$S$1006,0)), HYPERLINK("#",""), HYPERLINK(CONCATENATE("#metadata!", ADDRESS(INDEX($K$2:$K$1001,MATCH(ROWS($I$2:I895),$I$2:$I$1001,0),0), INDEX($P$1004:$S$1004,1,MATCH(COLUMNS($P$1006:S1006),$P$1006:$S$1006,0)))),"Fix")))</f>
        <v>0</v>
      </c>
      <c r="I895">
        <v>0</v>
      </c>
      <c r="J895">
        <v>0</v>
      </c>
      <c r="K895">
        <v>0</v>
      </c>
      <c r="L895">
        <f>IF(M895,TRUE,AND(P895:S895))</f>
        <v>0</v>
      </c>
      <c r="M895">
        <f>COUNTBLANK(metadata!B895:E895)=COLUMNS(metadata!B895:E895)</f>
        <v>0</v>
      </c>
      <c r="N895">
        <v>0</v>
      </c>
      <c r="P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Q895">
        <f>AND(IF(metadata!C895="",FALSE,TRUE),exact(metadata!C895,"other"))</f>
        <v>0</v>
      </c>
      <c r="R895">
        <f>AND(IF(metadata!D895="",FALSE,TRUE),exact(metadata!D895,"metagenome"))</f>
        <v>0</v>
      </c>
      <c r="S895">
        <f>AND(IF(metadata!E895="",FALSE,TRUE),exact(metadata!E895,"256318"))</f>
        <v>0</v>
      </c>
    </row>
    <row r="896" spans="1:19">
      <c r="A896" s="4">
        <f>IF(B896=" "," ",HYPERLINK(CONCATENATE("#metadata!",ADDRESS(INDEX($K$2:$K$1001,MATCH(ROWS($I$2:I896),$I$2:$I$1001,0),0),1)),INDEX($N$2:$N$1001,MATCH(ROWS($I$2:I896),$I$2:$I$1001,0),0)))</f>
        <v>0</v>
      </c>
      <c r="B896" s="3">
        <f>IF(OR(INDEX($J$2:$J$1001,MATCH(ROWS($I$2:I896),$I$2:$I$1001,0),1)&gt;=100000,INDEX($P$1005:$S$1005,1,MATCH(COLUMNS($P$1006:P1006),$P$1006:$S$1006,0))&gt;=100000), " ",IF(INDEX($P$2:$S$1001,MATCH(ROWS($I$2:I896),$I$2:$I$1001,0),MATCH(COLUMNS($P$1006:P1006),$P$1006:$S$1006,0)), HYPERLINK("#",""), HYPERLINK(CONCATENATE("#metadata!", ADDRESS(INDEX($K$2:$K$1001,MATCH(ROWS($I$2:I896),$I$2:$I$1001,0),0), INDEX($P$1004:$S$1004,1,MATCH(COLUMNS($P$1006:P1006),$P$1006:$S$1006,0)))),"Fix")))</f>
        <v>0</v>
      </c>
      <c r="C896" s="3">
        <f>IF(OR(INDEX($J$2:$J$1001,MATCH(ROWS($I$2:I896),$I$2:$I$1001,0),1)&gt;=100000,INDEX($P$1005:$S$1005,1,MATCH(COLUMNS($P$1006:Q1006),$P$1006:$S$1006,0))&gt;=100000), " ",IF(INDEX($P$2:$S$1001,MATCH(ROWS($I$2:I896),$I$2:$I$1001,0),MATCH(COLUMNS($P$1006:Q1006),$P$1006:$S$1006,0)), HYPERLINK("#",""), HYPERLINK(CONCATENATE("#metadata!", ADDRESS(INDEX($K$2:$K$1001,MATCH(ROWS($I$2:I896),$I$2:$I$1001,0),0), INDEX($P$1004:$S$1004,1,MATCH(COLUMNS($P$1006:Q1006),$P$1006:$S$1006,0)))),"Fix")))</f>
        <v>0</v>
      </c>
      <c r="D896" s="3">
        <f>IF(OR(INDEX($J$2:$J$1001,MATCH(ROWS($I$2:I896),$I$2:$I$1001,0),1)&gt;=100000,INDEX($P$1005:$S$1005,1,MATCH(COLUMNS($P$1006:R1006),$P$1006:$S$1006,0))&gt;=100000), " ",IF(INDEX($P$2:$S$1001,MATCH(ROWS($I$2:I896),$I$2:$I$1001,0),MATCH(COLUMNS($P$1006:R1006),$P$1006:$S$1006,0)), HYPERLINK("#",""), HYPERLINK(CONCATENATE("#metadata!", ADDRESS(INDEX($K$2:$K$1001,MATCH(ROWS($I$2:I896),$I$2:$I$1001,0),0), INDEX($P$1004:$S$1004,1,MATCH(COLUMNS($P$1006:R1006),$P$1006:$S$1006,0)))),"Fix")))</f>
        <v>0</v>
      </c>
      <c r="E896" s="3">
        <f>IF(OR(INDEX($J$2:$J$1001,MATCH(ROWS($I$2:I896),$I$2:$I$1001,0),1)&gt;=100000,INDEX($P$1005:$S$1005,1,MATCH(COLUMNS($P$1006:S1006),$P$1006:$S$1006,0))&gt;=100000), " ",IF(INDEX($P$2:$S$1001,MATCH(ROWS($I$2:I896),$I$2:$I$1001,0),MATCH(COLUMNS($P$1006:S1006),$P$1006:$S$1006,0)), HYPERLINK("#",""), HYPERLINK(CONCATENATE("#metadata!", ADDRESS(INDEX($K$2:$K$1001,MATCH(ROWS($I$2:I896),$I$2:$I$1001,0),0), INDEX($P$1004:$S$1004,1,MATCH(COLUMNS($P$1006:S1006),$P$1006:$S$1006,0)))),"Fix")))</f>
        <v>0</v>
      </c>
      <c r="I896">
        <v>0</v>
      </c>
      <c r="J896">
        <v>0</v>
      </c>
      <c r="K896">
        <v>0</v>
      </c>
      <c r="L896">
        <f>IF(M896,TRUE,AND(P896:S896))</f>
        <v>0</v>
      </c>
      <c r="M896">
        <f>COUNTBLANK(metadata!B896:E896)=COLUMNS(metadata!B896:E896)</f>
        <v>0</v>
      </c>
      <c r="N896">
        <v>0</v>
      </c>
      <c r="P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Q896">
        <f>AND(IF(metadata!C896="",FALSE,TRUE),exact(metadata!C896,"other"))</f>
        <v>0</v>
      </c>
      <c r="R896">
        <f>AND(IF(metadata!D896="",FALSE,TRUE),exact(metadata!D896,"metagenome"))</f>
        <v>0</v>
      </c>
      <c r="S896">
        <f>AND(IF(metadata!E896="",FALSE,TRUE),exact(metadata!E896,"256318"))</f>
        <v>0</v>
      </c>
    </row>
    <row r="897" spans="1:19">
      <c r="A897" s="4">
        <f>IF(B897=" "," ",HYPERLINK(CONCATENATE("#metadata!",ADDRESS(INDEX($K$2:$K$1001,MATCH(ROWS($I$2:I897),$I$2:$I$1001,0),0),1)),INDEX($N$2:$N$1001,MATCH(ROWS($I$2:I897),$I$2:$I$1001,0),0)))</f>
        <v>0</v>
      </c>
      <c r="B897" s="3">
        <f>IF(OR(INDEX($J$2:$J$1001,MATCH(ROWS($I$2:I897),$I$2:$I$1001,0),1)&gt;=100000,INDEX($P$1005:$S$1005,1,MATCH(COLUMNS($P$1006:P1006),$P$1006:$S$1006,0))&gt;=100000), " ",IF(INDEX($P$2:$S$1001,MATCH(ROWS($I$2:I897),$I$2:$I$1001,0),MATCH(COLUMNS($P$1006:P1006),$P$1006:$S$1006,0)), HYPERLINK("#",""), HYPERLINK(CONCATENATE("#metadata!", ADDRESS(INDEX($K$2:$K$1001,MATCH(ROWS($I$2:I897),$I$2:$I$1001,0),0), INDEX($P$1004:$S$1004,1,MATCH(COLUMNS($P$1006:P1006),$P$1006:$S$1006,0)))),"Fix")))</f>
        <v>0</v>
      </c>
      <c r="C897" s="3">
        <f>IF(OR(INDEX($J$2:$J$1001,MATCH(ROWS($I$2:I897),$I$2:$I$1001,0),1)&gt;=100000,INDEX($P$1005:$S$1005,1,MATCH(COLUMNS($P$1006:Q1006),$P$1006:$S$1006,0))&gt;=100000), " ",IF(INDEX($P$2:$S$1001,MATCH(ROWS($I$2:I897),$I$2:$I$1001,0),MATCH(COLUMNS($P$1006:Q1006),$P$1006:$S$1006,0)), HYPERLINK("#",""), HYPERLINK(CONCATENATE("#metadata!", ADDRESS(INDEX($K$2:$K$1001,MATCH(ROWS($I$2:I897),$I$2:$I$1001,0),0), INDEX($P$1004:$S$1004,1,MATCH(COLUMNS($P$1006:Q1006),$P$1006:$S$1006,0)))),"Fix")))</f>
        <v>0</v>
      </c>
      <c r="D897" s="3">
        <f>IF(OR(INDEX($J$2:$J$1001,MATCH(ROWS($I$2:I897),$I$2:$I$1001,0),1)&gt;=100000,INDEX($P$1005:$S$1005,1,MATCH(COLUMNS($P$1006:R1006),$P$1006:$S$1006,0))&gt;=100000), " ",IF(INDEX($P$2:$S$1001,MATCH(ROWS($I$2:I897),$I$2:$I$1001,0),MATCH(COLUMNS($P$1006:R1006),$P$1006:$S$1006,0)), HYPERLINK("#",""), HYPERLINK(CONCATENATE("#metadata!", ADDRESS(INDEX($K$2:$K$1001,MATCH(ROWS($I$2:I897),$I$2:$I$1001,0),0), INDEX($P$1004:$S$1004,1,MATCH(COLUMNS($P$1006:R1006),$P$1006:$S$1006,0)))),"Fix")))</f>
        <v>0</v>
      </c>
      <c r="E897" s="3">
        <f>IF(OR(INDEX($J$2:$J$1001,MATCH(ROWS($I$2:I897),$I$2:$I$1001,0),1)&gt;=100000,INDEX($P$1005:$S$1005,1,MATCH(COLUMNS($P$1006:S1006),$P$1006:$S$1006,0))&gt;=100000), " ",IF(INDEX($P$2:$S$1001,MATCH(ROWS($I$2:I897),$I$2:$I$1001,0),MATCH(COLUMNS($P$1006:S1006),$P$1006:$S$1006,0)), HYPERLINK("#",""), HYPERLINK(CONCATENATE("#metadata!", ADDRESS(INDEX($K$2:$K$1001,MATCH(ROWS($I$2:I897),$I$2:$I$1001,0),0), INDEX($P$1004:$S$1004,1,MATCH(COLUMNS($P$1006:S1006),$P$1006:$S$1006,0)))),"Fix")))</f>
        <v>0</v>
      </c>
      <c r="I897">
        <v>0</v>
      </c>
      <c r="J897">
        <v>0</v>
      </c>
      <c r="K897">
        <v>0</v>
      </c>
      <c r="L897">
        <f>IF(M897,TRUE,AND(P897:S897))</f>
        <v>0</v>
      </c>
      <c r="M897">
        <f>COUNTBLANK(metadata!B897:E897)=COLUMNS(metadata!B897:E897)</f>
        <v>0</v>
      </c>
      <c r="N897">
        <v>0</v>
      </c>
      <c r="P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Q897">
        <f>AND(IF(metadata!C897="",FALSE,TRUE),exact(metadata!C897,"other"))</f>
        <v>0</v>
      </c>
      <c r="R897">
        <f>AND(IF(metadata!D897="",FALSE,TRUE),exact(metadata!D897,"metagenome"))</f>
        <v>0</v>
      </c>
      <c r="S897">
        <f>AND(IF(metadata!E897="",FALSE,TRUE),exact(metadata!E897,"256318"))</f>
        <v>0</v>
      </c>
    </row>
    <row r="898" spans="1:19">
      <c r="A898" s="4">
        <f>IF(B898=" "," ",HYPERLINK(CONCATENATE("#metadata!",ADDRESS(INDEX($K$2:$K$1001,MATCH(ROWS($I$2:I898),$I$2:$I$1001,0),0),1)),INDEX($N$2:$N$1001,MATCH(ROWS($I$2:I898),$I$2:$I$1001,0),0)))</f>
        <v>0</v>
      </c>
      <c r="B898" s="3">
        <f>IF(OR(INDEX($J$2:$J$1001,MATCH(ROWS($I$2:I898),$I$2:$I$1001,0),1)&gt;=100000,INDEX($P$1005:$S$1005,1,MATCH(COLUMNS($P$1006:P1006),$P$1006:$S$1006,0))&gt;=100000), " ",IF(INDEX($P$2:$S$1001,MATCH(ROWS($I$2:I898),$I$2:$I$1001,0),MATCH(COLUMNS($P$1006:P1006),$P$1006:$S$1006,0)), HYPERLINK("#",""), HYPERLINK(CONCATENATE("#metadata!", ADDRESS(INDEX($K$2:$K$1001,MATCH(ROWS($I$2:I898),$I$2:$I$1001,0),0), INDEX($P$1004:$S$1004,1,MATCH(COLUMNS($P$1006:P1006),$P$1006:$S$1006,0)))),"Fix")))</f>
        <v>0</v>
      </c>
      <c r="C898" s="3">
        <f>IF(OR(INDEX($J$2:$J$1001,MATCH(ROWS($I$2:I898),$I$2:$I$1001,0),1)&gt;=100000,INDEX($P$1005:$S$1005,1,MATCH(COLUMNS($P$1006:Q1006),$P$1006:$S$1006,0))&gt;=100000), " ",IF(INDEX($P$2:$S$1001,MATCH(ROWS($I$2:I898),$I$2:$I$1001,0),MATCH(COLUMNS($P$1006:Q1006),$P$1006:$S$1006,0)), HYPERLINK("#",""), HYPERLINK(CONCATENATE("#metadata!", ADDRESS(INDEX($K$2:$K$1001,MATCH(ROWS($I$2:I898),$I$2:$I$1001,0),0), INDEX($P$1004:$S$1004,1,MATCH(COLUMNS($P$1006:Q1006),$P$1006:$S$1006,0)))),"Fix")))</f>
        <v>0</v>
      </c>
      <c r="D898" s="3">
        <f>IF(OR(INDEX($J$2:$J$1001,MATCH(ROWS($I$2:I898),$I$2:$I$1001,0),1)&gt;=100000,INDEX($P$1005:$S$1005,1,MATCH(COLUMNS($P$1006:R1006),$P$1006:$S$1006,0))&gt;=100000), " ",IF(INDEX($P$2:$S$1001,MATCH(ROWS($I$2:I898),$I$2:$I$1001,0),MATCH(COLUMNS($P$1006:R1006),$P$1006:$S$1006,0)), HYPERLINK("#",""), HYPERLINK(CONCATENATE("#metadata!", ADDRESS(INDEX($K$2:$K$1001,MATCH(ROWS($I$2:I898),$I$2:$I$1001,0),0), INDEX($P$1004:$S$1004,1,MATCH(COLUMNS($P$1006:R1006),$P$1006:$S$1006,0)))),"Fix")))</f>
        <v>0</v>
      </c>
      <c r="E898" s="3">
        <f>IF(OR(INDEX($J$2:$J$1001,MATCH(ROWS($I$2:I898),$I$2:$I$1001,0),1)&gt;=100000,INDEX($P$1005:$S$1005,1,MATCH(COLUMNS($P$1006:S1006),$P$1006:$S$1006,0))&gt;=100000), " ",IF(INDEX($P$2:$S$1001,MATCH(ROWS($I$2:I898),$I$2:$I$1001,0),MATCH(COLUMNS($P$1006:S1006),$P$1006:$S$1006,0)), HYPERLINK("#",""), HYPERLINK(CONCATENATE("#metadata!", ADDRESS(INDEX($K$2:$K$1001,MATCH(ROWS($I$2:I898),$I$2:$I$1001,0),0), INDEX($P$1004:$S$1004,1,MATCH(COLUMNS($P$1006:S1006),$P$1006:$S$1006,0)))),"Fix")))</f>
        <v>0</v>
      </c>
      <c r="I898">
        <v>0</v>
      </c>
      <c r="J898">
        <v>0</v>
      </c>
      <c r="K898">
        <v>0</v>
      </c>
      <c r="L898">
        <f>IF(M898,TRUE,AND(P898:S898))</f>
        <v>0</v>
      </c>
      <c r="M898">
        <f>COUNTBLANK(metadata!B898:E898)=COLUMNS(metadata!B898:E898)</f>
        <v>0</v>
      </c>
      <c r="N898">
        <v>0</v>
      </c>
      <c r="P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Q898">
        <f>AND(IF(metadata!C898="",FALSE,TRUE),exact(metadata!C898,"other"))</f>
        <v>0</v>
      </c>
      <c r="R898">
        <f>AND(IF(metadata!D898="",FALSE,TRUE),exact(metadata!D898,"metagenome"))</f>
        <v>0</v>
      </c>
      <c r="S898">
        <f>AND(IF(metadata!E898="",FALSE,TRUE),exact(metadata!E898,"256318"))</f>
        <v>0</v>
      </c>
    </row>
    <row r="899" spans="1:19">
      <c r="A899" s="4">
        <f>IF(B899=" "," ",HYPERLINK(CONCATENATE("#metadata!",ADDRESS(INDEX($K$2:$K$1001,MATCH(ROWS($I$2:I899),$I$2:$I$1001,0),0),1)),INDEX($N$2:$N$1001,MATCH(ROWS($I$2:I899),$I$2:$I$1001,0),0)))</f>
        <v>0</v>
      </c>
      <c r="B899" s="3">
        <f>IF(OR(INDEX($J$2:$J$1001,MATCH(ROWS($I$2:I899),$I$2:$I$1001,0),1)&gt;=100000,INDEX($P$1005:$S$1005,1,MATCH(COLUMNS($P$1006:P1006),$P$1006:$S$1006,0))&gt;=100000), " ",IF(INDEX($P$2:$S$1001,MATCH(ROWS($I$2:I899),$I$2:$I$1001,0),MATCH(COLUMNS($P$1006:P1006),$P$1006:$S$1006,0)), HYPERLINK("#",""), HYPERLINK(CONCATENATE("#metadata!", ADDRESS(INDEX($K$2:$K$1001,MATCH(ROWS($I$2:I899),$I$2:$I$1001,0),0), INDEX($P$1004:$S$1004,1,MATCH(COLUMNS($P$1006:P1006),$P$1006:$S$1006,0)))),"Fix")))</f>
        <v>0</v>
      </c>
      <c r="C899" s="3">
        <f>IF(OR(INDEX($J$2:$J$1001,MATCH(ROWS($I$2:I899),$I$2:$I$1001,0),1)&gt;=100000,INDEX($P$1005:$S$1005,1,MATCH(COLUMNS($P$1006:Q1006),$P$1006:$S$1006,0))&gt;=100000), " ",IF(INDEX($P$2:$S$1001,MATCH(ROWS($I$2:I899),$I$2:$I$1001,0),MATCH(COLUMNS($P$1006:Q1006),$P$1006:$S$1006,0)), HYPERLINK("#",""), HYPERLINK(CONCATENATE("#metadata!", ADDRESS(INDEX($K$2:$K$1001,MATCH(ROWS($I$2:I899),$I$2:$I$1001,0),0), INDEX($P$1004:$S$1004,1,MATCH(COLUMNS($P$1006:Q1006),$P$1006:$S$1006,0)))),"Fix")))</f>
        <v>0</v>
      </c>
      <c r="D899" s="3">
        <f>IF(OR(INDEX($J$2:$J$1001,MATCH(ROWS($I$2:I899),$I$2:$I$1001,0),1)&gt;=100000,INDEX($P$1005:$S$1005,1,MATCH(COLUMNS($P$1006:R1006),$P$1006:$S$1006,0))&gt;=100000), " ",IF(INDEX($P$2:$S$1001,MATCH(ROWS($I$2:I899),$I$2:$I$1001,0),MATCH(COLUMNS($P$1006:R1006),$P$1006:$S$1006,0)), HYPERLINK("#",""), HYPERLINK(CONCATENATE("#metadata!", ADDRESS(INDEX($K$2:$K$1001,MATCH(ROWS($I$2:I899),$I$2:$I$1001,0),0), INDEX($P$1004:$S$1004,1,MATCH(COLUMNS($P$1006:R1006),$P$1006:$S$1006,0)))),"Fix")))</f>
        <v>0</v>
      </c>
      <c r="E899" s="3">
        <f>IF(OR(INDEX($J$2:$J$1001,MATCH(ROWS($I$2:I899),$I$2:$I$1001,0),1)&gt;=100000,INDEX($P$1005:$S$1005,1,MATCH(COLUMNS($P$1006:S1006),$P$1006:$S$1006,0))&gt;=100000), " ",IF(INDEX($P$2:$S$1001,MATCH(ROWS($I$2:I899),$I$2:$I$1001,0),MATCH(COLUMNS($P$1006:S1006),$P$1006:$S$1006,0)), HYPERLINK("#",""), HYPERLINK(CONCATENATE("#metadata!", ADDRESS(INDEX($K$2:$K$1001,MATCH(ROWS($I$2:I899),$I$2:$I$1001,0),0), INDEX($P$1004:$S$1004,1,MATCH(COLUMNS($P$1006:S1006),$P$1006:$S$1006,0)))),"Fix")))</f>
        <v>0</v>
      </c>
      <c r="I899">
        <v>0</v>
      </c>
      <c r="J899">
        <v>0</v>
      </c>
      <c r="K899">
        <v>0</v>
      </c>
      <c r="L899">
        <f>IF(M899,TRUE,AND(P899:S899))</f>
        <v>0</v>
      </c>
      <c r="M899">
        <f>COUNTBLANK(metadata!B899:E899)=COLUMNS(metadata!B899:E899)</f>
        <v>0</v>
      </c>
      <c r="N899">
        <v>0</v>
      </c>
      <c r="P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Q899">
        <f>AND(IF(metadata!C899="",FALSE,TRUE),exact(metadata!C899,"other"))</f>
        <v>0</v>
      </c>
      <c r="R899">
        <f>AND(IF(metadata!D899="",FALSE,TRUE),exact(metadata!D899,"metagenome"))</f>
        <v>0</v>
      </c>
      <c r="S899">
        <f>AND(IF(metadata!E899="",FALSE,TRUE),exact(metadata!E899,"256318"))</f>
        <v>0</v>
      </c>
    </row>
    <row r="900" spans="1:19">
      <c r="A900" s="4">
        <f>IF(B900=" "," ",HYPERLINK(CONCATENATE("#metadata!",ADDRESS(INDEX($K$2:$K$1001,MATCH(ROWS($I$2:I900),$I$2:$I$1001,0),0),1)),INDEX($N$2:$N$1001,MATCH(ROWS($I$2:I900),$I$2:$I$1001,0),0)))</f>
        <v>0</v>
      </c>
      <c r="B900" s="3">
        <f>IF(OR(INDEX($J$2:$J$1001,MATCH(ROWS($I$2:I900),$I$2:$I$1001,0),1)&gt;=100000,INDEX($P$1005:$S$1005,1,MATCH(COLUMNS($P$1006:P1006),$P$1006:$S$1006,0))&gt;=100000), " ",IF(INDEX($P$2:$S$1001,MATCH(ROWS($I$2:I900),$I$2:$I$1001,0),MATCH(COLUMNS($P$1006:P1006),$P$1006:$S$1006,0)), HYPERLINK("#",""), HYPERLINK(CONCATENATE("#metadata!", ADDRESS(INDEX($K$2:$K$1001,MATCH(ROWS($I$2:I900),$I$2:$I$1001,0),0), INDEX($P$1004:$S$1004,1,MATCH(COLUMNS($P$1006:P1006),$P$1006:$S$1006,0)))),"Fix")))</f>
        <v>0</v>
      </c>
      <c r="C900" s="3">
        <f>IF(OR(INDEX($J$2:$J$1001,MATCH(ROWS($I$2:I900),$I$2:$I$1001,0),1)&gt;=100000,INDEX($P$1005:$S$1005,1,MATCH(COLUMNS($P$1006:Q1006),$P$1006:$S$1006,0))&gt;=100000), " ",IF(INDEX($P$2:$S$1001,MATCH(ROWS($I$2:I900),$I$2:$I$1001,0),MATCH(COLUMNS($P$1006:Q1006),$P$1006:$S$1006,0)), HYPERLINK("#",""), HYPERLINK(CONCATENATE("#metadata!", ADDRESS(INDEX($K$2:$K$1001,MATCH(ROWS($I$2:I900),$I$2:$I$1001,0),0), INDEX($P$1004:$S$1004,1,MATCH(COLUMNS($P$1006:Q1006),$P$1006:$S$1006,0)))),"Fix")))</f>
        <v>0</v>
      </c>
      <c r="D900" s="3">
        <f>IF(OR(INDEX($J$2:$J$1001,MATCH(ROWS($I$2:I900),$I$2:$I$1001,0),1)&gt;=100000,INDEX($P$1005:$S$1005,1,MATCH(COLUMNS($P$1006:R1006),$P$1006:$S$1006,0))&gt;=100000), " ",IF(INDEX($P$2:$S$1001,MATCH(ROWS($I$2:I900),$I$2:$I$1001,0),MATCH(COLUMNS($P$1006:R1006),$P$1006:$S$1006,0)), HYPERLINK("#",""), HYPERLINK(CONCATENATE("#metadata!", ADDRESS(INDEX($K$2:$K$1001,MATCH(ROWS($I$2:I900),$I$2:$I$1001,0),0), INDEX($P$1004:$S$1004,1,MATCH(COLUMNS($P$1006:R1006),$P$1006:$S$1006,0)))),"Fix")))</f>
        <v>0</v>
      </c>
      <c r="E900" s="3">
        <f>IF(OR(INDEX($J$2:$J$1001,MATCH(ROWS($I$2:I900),$I$2:$I$1001,0),1)&gt;=100000,INDEX($P$1005:$S$1005,1,MATCH(COLUMNS($P$1006:S1006),$P$1006:$S$1006,0))&gt;=100000), " ",IF(INDEX($P$2:$S$1001,MATCH(ROWS($I$2:I900),$I$2:$I$1001,0),MATCH(COLUMNS($P$1006:S1006),$P$1006:$S$1006,0)), HYPERLINK("#",""), HYPERLINK(CONCATENATE("#metadata!", ADDRESS(INDEX($K$2:$K$1001,MATCH(ROWS($I$2:I900),$I$2:$I$1001,0),0), INDEX($P$1004:$S$1004,1,MATCH(COLUMNS($P$1006:S1006),$P$1006:$S$1006,0)))),"Fix")))</f>
        <v>0</v>
      </c>
      <c r="I900">
        <v>0</v>
      </c>
      <c r="J900">
        <v>0</v>
      </c>
      <c r="K900">
        <v>0</v>
      </c>
      <c r="L900">
        <f>IF(M900,TRUE,AND(P900:S900))</f>
        <v>0</v>
      </c>
      <c r="M900">
        <f>COUNTBLANK(metadata!B900:E900)=COLUMNS(metadata!B900:E900)</f>
        <v>0</v>
      </c>
      <c r="N900">
        <v>0</v>
      </c>
      <c r="P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Q900">
        <f>AND(IF(metadata!C900="",FALSE,TRUE),exact(metadata!C900,"other"))</f>
        <v>0</v>
      </c>
      <c r="R900">
        <f>AND(IF(metadata!D900="",FALSE,TRUE),exact(metadata!D900,"metagenome"))</f>
        <v>0</v>
      </c>
      <c r="S900">
        <f>AND(IF(metadata!E900="",FALSE,TRUE),exact(metadata!E900,"256318"))</f>
        <v>0</v>
      </c>
    </row>
    <row r="901" spans="1:19">
      <c r="A901" s="4">
        <f>IF(B901=" "," ",HYPERLINK(CONCATENATE("#metadata!",ADDRESS(INDEX($K$2:$K$1001,MATCH(ROWS($I$2:I901),$I$2:$I$1001,0),0),1)),INDEX($N$2:$N$1001,MATCH(ROWS($I$2:I901),$I$2:$I$1001,0),0)))</f>
        <v>0</v>
      </c>
      <c r="B901" s="3">
        <f>IF(OR(INDEX($J$2:$J$1001,MATCH(ROWS($I$2:I901),$I$2:$I$1001,0),1)&gt;=100000,INDEX($P$1005:$S$1005,1,MATCH(COLUMNS($P$1006:P1006),$P$1006:$S$1006,0))&gt;=100000), " ",IF(INDEX($P$2:$S$1001,MATCH(ROWS($I$2:I901),$I$2:$I$1001,0),MATCH(COLUMNS($P$1006:P1006),$P$1006:$S$1006,0)), HYPERLINK("#",""), HYPERLINK(CONCATENATE("#metadata!", ADDRESS(INDEX($K$2:$K$1001,MATCH(ROWS($I$2:I901),$I$2:$I$1001,0),0), INDEX($P$1004:$S$1004,1,MATCH(COLUMNS($P$1006:P1006),$P$1006:$S$1006,0)))),"Fix")))</f>
        <v>0</v>
      </c>
      <c r="C901" s="3">
        <f>IF(OR(INDEX($J$2:$J$1001,MATCH(ROWS($I$2:I901),$I$2:$I$1001,0),1)&gt;=100000,INDEX($P$1005:$S$1005,1,MATCH(COLUMNS($P$1006:Q1006),$P$1006:$S$1006,0))&gt;=100000), " ",IF(INDEX($P$2:$S$1001,MATCH(ROWS($I$2:I901),$I$2:$I$1001,0),MATCH(COLUMNS($P$1006:Q1006),$P$1006:$S$1006,0)), HYPERLINK("#",""), HYPERLINK(CONCATENATE("#metadata!", ADDRESS(INDEX($K$2:$K$1001,MATCH(ROWS($I$2:I901),$I$2:$I$1001,0),0), INDEX($P$1004:$S$1004,1,MATCH(COLUMNS($P$1006:Q1006),$P$1006:$S$1006,0)))),"Fix")))</f>
        <v>0</v>
      </c>
      <c r="D901" s="3">
        <f>IF(OR(INDEX($J$2:$J$1001,MATCH(ROWS($I$2:I901),$I$2:$I$1001,0),1)&gt;=100000,INDEX($P$1005:$S$1005,1,MATCH(COLUMNS($P$1006:R1006),$P$1006:$S$1006,0))&gt;=100000), " ",IF(INDEX($P$2:$S$1001,MATCH(ROWS($I$2:I901),$I$2:$I$1001,0),MATCH(COLUMNS($P$1006:R1006),$P$1006:$S$1006,0)), HYPERLINK("#",""), HYPERLINK(CONCATENATE("#metadata!", ADDRESS(INDEX($K$2:$K$1001,MATCH(ROWS($I$2:I901),$I$2:$I$1001,0),0), INDEX($P$1004:$S$1004,1,MATCH(COLUMNS($P$1006:R1006),$P$1006:$S$1006,0)))),"Fix")))</f>
        <v>0</v>
      </c>
      <c r="E901" s="3">
        <f>IF(OR(INDEX($J$2:$J$1001,MATCH(ROWS($I$2:I901),$I$2:$I$1001,0),1)&gt;=100000,INDEX($P$1005:$S$1005,1,MATCH(COLUMNS($P$1006:S1006),$P$1006:$S$1006,0))&gt;=100000), " ",IF(INDEX($P$2:$S$1001,MATCH(ROWS($I$2:I901),$I$2:$I$1001,0),MATCH(COLUMNS($P$1006:S1006),$P$1006:$S$1006,0)), HYPERLINK("#",""), HYPERLINK(CONCATENATE("#metadata!", ADDRESS(INDEX($K$2:$K$1001,MATCH(ROWS($I$2:I901),$I$2:$I$1001,0),0), INDEX($P$1004:$S$1004,1,MATCH(COLUMNS($P$1006:S1006),$P$1006:$S$1006,0)))),"Fix")))</f>
        <v>0</v>
      </c>
      <c r="I901">
        <v>0</v>
      </c>
      <c r="J901">
        <v>0</v>
      </c>
      <c r="K901">
        <v>0</v>
      </c>
      <c r="L901">
        <f>IF(M901,TRUE,AND(P901:S901))</f>
        <v>0</v>
      </c>
      <c r="M901">
        <f>COUNTBLANK(metadata!B901:E901)=COLUMNS(metadata!B901:E901)</f>
        <v>0</v>
      </c>
      <c r="N901">
        <v>0</v>
      </c>
      <c r="P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Q901">
        <f>AND(IF(metadata!C901="",FALSE,TRUE),exact(metadata!C901,"other"))</f>
        <v>0</v>
      </c>
      <c r="R901">
        <f>AND(IF(metadata!D901="",FALSE,TRUE),exact(metadata!D901,"metagenome"))</f>
        <v>0</v>
      </c>
      <c r="S901">
        <f>AND(IF(metadata!E901="",FALSE,TRUE),exact(metadata!E901,"256318"))</f>
        <v>0</v>
      </c>
    </row>
    <row r="902" spans="1:19">
      <c r="A902" s="4">
        <f>IF(B902=" "," ",HYPERLINK(CONCATENATE("#metadata!",ADDRESS(INDEX($K$2:$K$1001,MATCH(ROWS($I$2:I902),$I$2:$I$1001,0),0),1)),INDEX($N$2:$N$1001,MATCH(ROWS($I$2:I902),$I$2:$I$1001,0),0)))</f>
        <v>0</v>
      </c>
      <c r="B902" s="3">
        <f>IF(OR(INDEX($J$2:$J$1001,MATCH(ROWS($I$2:I902),$I$2:$I$1001,0),1)&gt;=100000,INDEX($P$1005:$S$1005,1,MATCH(COLUMNS($P$1006:P1006),$P$1006:$S$1006,0))&gt;=100000), " ",IF(INDEX($P$2:$S$1001,MATCH(ROWS($I$2:I902),$I$2:$I$1001,0),MATCH(COLUMNS($P$1006:P1006),$P$1006:$S$1006,0)), HYPERLINK("#",""), HYPERLINK(CONCATENATE("#metadata!", ADDRESS(INDEX($K$2:$K$1001,MATCH(ROWS($I$2:I902),$I$2:$I$1001,0),0), INDEX($P$1004:$S$1004,1,MATCH(COLUMNS($P$1006:P1006),$P$1006:$S$1006,0)))),"Fix")))</f>
        <v>0</v>
      </c>
      <c r="C902" s="3">
        <f>IF(OR(INDEX($J$2:$J$1001,MATCH(ROWS($I$2:I902),$I$2:$I$1001,0),1)&gt;=100000,INDEX($P$1005:$S$1005,1,MATCH(COLUMNS($P$1006:Q1006),$P$1006:$S$1006,0))&gt;=100000), " ",IF(INDEX($P$2:$S$1001,MATCH(ROWS($I$2:I902),$I$2:$I$1001,0),MATCH(COLUMNS($P$1006:Q1006),$P$1006:$S$1006,0)), HYPERLINK("#",""), HYPERLINK(CONCATENATE("#metadata!", ADDRESS(INDEX($K$2:$K$1001,MATCH(ROWS($I$2:I902),$I$2:$I$1001,0),0), INDEX($P$1004:$S$1004,1,MATCH(COLUMNS($P$1006:Q1006),$P$1006:$S$1006,0)))),"Fix")))</f>
        <v>0</v>
      </c>
      <c r="D902" s="3">
        <f>IF(OR(INDEX($J$2:$J$1001,MATCH(ROWS($I$2:I902),$I$2:$I$1001,0),1)&gt;=100000,INDEX($P$1005:$S$1005,1,MATCH(COLUMNS($P$1006:R1006),$P$1006:$S$1006,0))&gt;=100000), " ",IF(INDEX($P$2:$S$1001,MATCH(ROWS($I$2:I902),$I$2:$I$1001,0),MATCH(COLUMNS($P$1006:R1006),$P$1006:$S$1006,0)), HYPERLINK("#",""), HYPERLINK(CONCATENATE("#metadata!", ADDRESS(INDEX($K$2:$K$1001,MATCH(ROWS($I$2:I902),$I$2:$I$1001,0),0), INDEX($P$1004:$S$1004,1,MATCH(COLUMNS($P$1006:R1006),$P$1006:$S$1006,0)))),"Fix")))</f>
        <v>0</v>
      </c>
      <c r="E902" s="3">
        <f>IF(OR(INDEX($J$2:$J$1001,MATCH(ROWS($I$2:I902),$I$2:$I$1001,0),1)&gt;=100000,INDEX($P$1005:$S$1005,1,MATCH(COLUMNS($P$1006:S1006),$P$1006:$S$1006,0))&gt;=100000), " ",IF(INDEX($P$2:$S$1001,MATCH(ROWS($I$2:I902),$I$2:$I$1001,0),MATCH(COLUMNS($P$1006:S1006),$P$1006:$S$1006,0)), HYPERLINK("#",""), HYPERLINK(CONCATENATE("#metadata!", ADDRESS(INDEX($K$2:$K$1001,MATCH(ROWS($I$2:I902),$I$2:$I$1001,0),0), INDEX($P$1004:$S$1004,1,MATCH(COLUMNS($P$1006:S1006),$P$1006:$S$1006,0)))),"Fix")))</f>
        <v>0</v>
      </c>
      <c r="I902">
        <v>0</v>
      </c>
      <c r="J902">
        <v>0</v>
      </c>
      <c r="K902">
        <v>0</v>
      </c>
      <c r="L902">
        <f>IF(M902,TRUE,AND(P902:S902))</f>
        <v>0</v>
      </c>
      <c r="M902">
        <f>COUNTBLANK(metadata!B902:E902)=COLUMNS(metadata!B902:E902)</f>
        <v>0</v>
      </c>
      <c r="N902">
        <v>0</v>
      </c>
      <c r="P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Q902">
        <f>AND(IF(metadata!C902="",FALSE,TRUE),exact(metadata!C902,"other"))</f>
        <v>0</v>
      </c>
      <c r="R902">
        <f>AND(IF(metadata!D902="",FALSE,TRUE),exact(metadata!D902,"metagenome"))</f>
        <v>0</v>
      </c>
      <c r="S902">
        <f>AND(IF(metadata!E902="",FALSE,TRUE),exact(metadata!E902,"256318"))</f>
        <v>0</v>
      </c>
    </row>
    <row r="903" spans="1:19">
      <c r="A903" s="4">
        <f>IF(B903=" "," ",HYPERLINK(CONCATENATE("#metadata!",ADDRESS(INDEX($K$2:$K$1001,MATCH(ROWS($I$2:I903),$I$2:$I$1001,0),0),1)),INDEX($N$2:$N$1001,MATCH(ROWS($I$2:I903),$I$2:$I$1001,0),0)))</f>
        <v>0</v>
      </c>
      <c r="B903" s="3">
        <f>IF(OR(INDEX($J$2:$J$1001,MATCH(ROWS($I$2:I903),$I$2:$I$1001,0),1)&gt;=100000,INDEX($P$1005:$S$1005,1,MATCH(COLUMNS($P$1006:P1006),$P$1006:$S$1006,0))&gt;=100000), " ",IF(INDEX($P$2:$S$1001,MATCH(ROWS($I$2:I903),$I$2:$I$1001,0),MATCH(COLUMNS($P$1006:P1006),$P$1006:$S$1006,0)), HYPERLINK("#",""), HYPERLINK(CONCATENATE("#metadata!", ADDRESS(INDEX($K$2:$K$1001,MATCH(ROWS($I$2:I903),$I$2:$I$1001,0),0), INDEX($P$1004:$S$1004,1,MATCH(COLUMNS($P$1006:P1006),$P$1006:$S$1006,0)))),"Fix")))</f>
        <v>0</v>
      </c>
      <c r="C903" s="3">
        <f>IF(OR(INDEX($J$2:$J$1001,MATCH(ROWS($I$2:I903),$I$2:$I$1001,0),1)&gt;=100000,INDEX($P$1005:$S$1005,1,MATCH(COLUMNS($P$1006:Q1006),$P$1006:$S$1006,0))&gt;=100000), " ",IF(INDEX($P$2:$S$1001,MATCH(ROWS($I$2:I903),$I$2:$I$1001,0),MATCH(COLUMNS($P$1006:Q1006),$P$1006:$S$1006,0)), HYPERLINK("#",""), HYPERLINK(CONCATENATE("#metadata!", ADDRESS(INDEX($K$2:$K$1001,MATCH(ROWS($I$2:I903),$I$2:$I$1001,0),0), INDEX($P$1004:$S$1004,1,MATCH(COLUMNS($P$1006:Q1006),$P$1006:$S$1006,0)))),"Fix")))</f>
        <v>0</v>
      </c>
      <c r="D903" s="3">
        <f>IF(OR(INDEX($J$2:$J$1001,MATCH(ROWS($I$2:I903),$I$2:$I$1001,0),1)&gt;=100000,INDEX($P$1005:$S$1005,1,MATCH(COLUMNS($P$1006:R1006),$P$1006:$S$1006,0))&gt;=100000), " ",IF(INDEX($P$2:$S$1001,MATCH(ROWS($I$2:I903),$I$2:$I$1001,0),MATCH(COLUMNS($P$1006:R1006),$P$1006:$S$1006,0)), HYPERLINK("#",""), HYPERLINK(CONCATENATE("#metadata!", ADDRESS(INDEX($K$2:$K$1001,MATCH(ROWS($I$2:I903),$I$2:$I$1001,0),0), INDEX($P$1004:$S$1004,1,MATCH(COLUMNS($P$1006:R1006),$P$1006:$S$1006,0)))),"Fix")))</f>
        <v>0</v>
      </c>
      <c r="E903" s="3">
        <f>IF(OR(INDEX($J$2:$J$1001,MATCH(ROWS($I$2:I903),$I$2:$I$1001,0),1)&gt;=100000,INDEX($P$1005:$S$1005,1,MATCH(COLUMNS($P$1006:S1006),$P$1006:$S$1006,0))&gt;=100000), " ",IF(INDEX($P$2:$S$1001,MATCH(ROWS($I$2:I903),$I$2:$I$1001,0),MATCH(COLUMNS($P$1006:S1006),$P$1006:$S$1006,0)), HYPERLINK("#",""), HYPERLINK(CONCATENATE("#metadata!", ADDRESS(INDEX($K$2:$K$1001,MATCH(ROWS($I$2:I903),$I$2:$I$1001,0),0), INDEX($P$1004:$S$1004,1,MATCH(COLUMNS($P$1006:S1006),$P$1006:$S$1006,0)))),"Fix")))</f>
        <v>0</v>
      </c>
      <c r="I903">
        <v>0</v>
      </c>
      <c r="J903">
        <v>0</v>
      </c>
      <c r="K903">
        <v>0</v>
      </c>
      <c r="L903">
        <f>IF(M903,TRUE,AND(P903:S903))</f>
        <v>0</v>
      </c>
      <c r="M903">
        <f>COUNTBLANK(metadata!B903:E903)=COLUMNS(metadata!B903:E903)</f>
        <v>0</v>
      </c>
      <c r="N903">
        <v>0</v>
      </c>
      <c r="P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Q903">
        <f>AND(IF(metadata!C903="",FALSE,TRUE),exact(metadata!C903,"other"))</f>
        <v>0</v>
      </c>
      <c r="R903">
        <f>AND(IF(metadata!D903="",FALSE,TRUE),exact(metadata!D903,"metagenome"))</f>
        <v>0</v>
      </c>
      <c r="S903">
        <f>AND(IF(metadata!E903="",FALSE,TRUE),exact(metadata!E903,"256318"))</f>
        <v>0</v>
      </c>
    </row>
    <row r="904" spans="1:19">
      <c r="A904" s="4">
        <f>IF(B904=" "," ",HYPERLINK(CONCATENATE("#metadata!",ADDRESS(INDEX($K$2:$K$1001,MATCH(ROWS($I$2:I904),$I$2:$I$1001,0),0),1)),INDEX($N$2:$N$1001,MATCH(ROWS($I$2:I904),$I$2:$I$1001,0),0)))</f>
        <v>0</v>
      </c>
      <c r="B904" s="3">
        <f>IF(OR(INDEX($J$2:$J$1001,MATCH(ROWS($I$2:I904),$I$2:$I$1001,0),1)&gt;=100000,INDEX($P$1005:$S$1005,1,MATCH(COLUMNS($P$1006:P1006),$P$1006:$S$1006,0))&gt;=100000), " ",IF(INDEX($P$2:$S$1001,MATCH(ROWS($I$2:I904),$I$2:$I$1001,0),MATCH(COLUMNS($P$1006:P1006),$P$1006:$S$1006,0)), HYPERLINK("#",""), HYPERLINK(CONCATENATE("#metadata!", ADDRESS(INDEX($K$2:$K$1001,MATCH(ROWS($I$2:I904),$I$2:$I$1001,0),0), INDEX($P$1004:$S$1004,1,MATCH(COLUMNS($P$1006:P1006),$P$1006:$S$1006,0)))),"Fix")))</f>
        <v>0</v>
      </c>
      <c r="C904" s="3">
        <f>IF(OR(INDEX($J$2:$J$1001,MATCH(ROWS($I$2:I904),$I$2:$I$1001,0),1)&gt;=100000,INDEX($P$1005:$S$1005,1,MATCH(COLUMNS($P$1006:Q1006),$P$1006:$S$1006,0))&gt;=100000), " ",IF(INDEX($P$2:$S$1001,MATCH(ROWS($I$2:I904),$I$2:$I$1001,0),MATCH(COLUMNS($P$1006:Q1006),$P$1006:$S$1006,0)), HYPERLINK("#",""), HYPERLINK(CONCATENATE("#metadata!", ADDRESS(INDEX($K$2:$K$1001,MATCH(ROWS($I$2:I904),$I$2:$I$1001,0),0), INDEX($P$1004:$S$1004,1,MATCH(COLUMNS($P$1006:Q1006),$P$1006:$S$1006,0)))),"Fix")))</f>
        <v>0</v>
      </c>
      <c r="D904" s="3">
        <f>IF(OR(INDEX($J$2:$J$1001,MATCH(ROWS($I$2:I904),$I$2:$I$1001,0),1)&gt;=100000,INDEX($P$1005:$S$1005,1,MATCH(COLUMNS($P$1006:R1006),$P$1006:$S$1006,0))&gt;=100000), " ",IF(INDEX($P$2:$S$1001,MATCH(ROWS($I$2:I904),$I$2:$I$1001,0),MATCH(COLUMNS($P$1006:R1006),$P$1006:$S$1006,0)), HYPERLINK("#",""), HYPERLINK(CONCATENATE("#metadata!", ADDRESS(INDEX($K$2:$K$1001,MATCH(ROWS($I$2:I904),$I$2:$I$1001,0),0), INDEX($P$1004:$S$1004,1,MATCH(COLUMNS($P$1006:R1006),$P$1006:$S$1006,0)))),"Fix")))</f>
        <v>0</v>
      </c>
      <c r="E904" s="3">
        <f>IF(OR(INDEX($J$2:$J$1001,MATCH(ROWS($I$2:I904),$I$2:$I$1001,0),1)&gt;=100000,INDEX($P$1005:$S$1005,1,MATCH(COLUMNS($P$1006:S1006),$P$1006:$S$1006,0))&gt;=100000), " ",IF(INDEX($P$2:$S$1001,MATCH(ROWS($I$2:I904),$I$2:$I$1001,0),MATCH(COLUMNS($P$1006:S1006),$P$1006:$S$1006,0)), HYPERLINK("#",""), HYPERLINK(CONCATENATE("#metadata!", ADDRESS(INDEX($K$2:$K$1001,MATCH(ROWS($I$2:I904),$I$2:$I$1001,0),0), INDEX($P$1004:$S$1004,1,MATCH(COLUMNS($P$1006:S1006),$P$1006:$S$1006,0)))),"Fix")))</f>
        <v>0</v>
      </c>
      <c r="I904">
        <v>0</v>
      </c>
      <c r="J904">
        <v>0</v>
      </c>
      <c r="K904">
        <v>0</v>
      </c>
      <c r="L904">
        <f>IF(M904,TRUE,AND(P904:S904))</f>
        <v>0</v>
      </c>
      <c r="M904">
        <f>COUNTBLANK(metadata!B904:E904)=COLUMNS(metadata!B904:E904)</f>
        <v>0</v>
      </c>
      <c r="N904">
        <v>0</v>
      </c>
      <c r="P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Q904">
        <f>AND(IF(metadata!C904="",FALSE,TRUE),exact(metadata!C904,"other"))</f>
        <v>0</v>
      </c>
      <c r="R904">
        <f>AND(IF(metadata!D904="",FALSE,TRUE),exact(metadata!D904,"metagenome"))</f>
        <v>0</v>
      </c>
      <c r="S904">
        <f>AND(IF(metadata!E904="",FALSE,TRUE),exact(metadata!E904,"256318"))</f>
        <v>0</v>
      </c>
    </row>
    <row r="905" spans="1:19">
      <c r="A905" s="4">
        <f>IF(B905=" "," ",HYPERLINK(CONCATENATE("#metadata!",ADDRESS(INDEX($K$2:$K$1001,MATCH(ROWS($I$2:I905),$I$2:$I$1001,0),0),1)),INDEX($N$2:$N$1001,MATCH(ROWS($I$2:I905),$I$2:$I$1001,0),0)))</f>
        <v>0</v>
      </c>
      <c r="B905" s="3">
        <f>IF(OR(INDEX($J$2:$J$1001,MATCH(ROWS($I$2:I905),$I$2:$I$1001,0),1)&gt;=100000,INDEX($P$1005:$S$1005,1,MATCH(COLUMNS($P$1006:P1006),$P$1006:$S$1006,0))&gt;=100000), " ",IF(INDEX($P$2:$S$1001,MATCH(ROWS($I$2:I905),$I$2:$I$1001,0),MATCH(COLUMNS($P$1006:P1006),$P$1006:$S$1006,0)), HYPERLINK("#",""), HYPERLINK(CONCATENATE("#metadata!", ADDRESS(INDEX($K$2:$K$1001,MATCH(ROWS($I$2:I905),$I$2:$I$1001,0),0), INDEX($P$1004:$S$1004,1,MATCH(COLUMNS($P$1006:P1006),$P$1006:$S$1006,0)))),"Fix")))</f>
        <v>0</v>
      </c>
      <c r="C905" s="3">
        <f>IF(OR(INDEX($J$2:$J$1001,MATCH(ROWS($I$2:I905),$I$2:$I$1001,0),1)&gt;=100000,INDEX($P$1005:$S$1005,1,MATCH(COLUMNS($P$1006:Q1006),$P$1006:$S$1006,0))&gt;=100000), " ",IF(INDEX($P$2:$S$1001,MATCH(ROWS($I$2:I905),$I$2:$I$1001,0),MATCH(COLUMNS($P$1006:Q1006),$P$1006:$S$1006,0)), HYPERLINK("#",""), HYPERLINK(CONCATENATE("#metadata!", ADDRESS(INDEX($K$2:$K$1001,MATCH(ROWS($I$2:I905),$I$2:$I$1001,0),0), INDEX($P$1004:$S$1004,1,MATCH(COLUMNS($P$1006:Q1006),$P$1006:$S$1006,0)))),"Fix")))</f>
        <v>0</v>
      </c>
      <c r="D905" s="3">
        <f>IF(OR(INDEX($J$2:$J$1001,MATCH(ROWS($I$2:I905),$I$2:$I$1001,0),1)&gt;=100000,INDEX($P$1005:$S$1005,1,MATCH(COLUMNS($P$1006:R1006),$P$1006:$S$1006,0))&gt;=100000), " ",IF(INDEX($P$2:$S$1001,MATCH(ROWS($I$2:I905),$I$2:$I$1001,0),MATCH(COLUMNS($P$1006:R1006),$P$1006:$S$1006,0)), HYPERLINK("#",""), HYPERLINK(CONCATENATE("#metadata!", ADDRESS(INDEX($K$2:$K$1001,MATCH(ROWS($I$2:I905),$I$2:$I$1001,0),0), INDEX($P$1004:$S$1004,1,MATCH(COLUMNS($P$1006:R1006),$P$1006:$S$1006,0)))),"Fix")))</f>
        <v>0</v>
      </c>
      <c r="E905" s="3">
        <f>IF(OR(INDEX($J$2:$J$1001,MATCH(ROWS($I$2:I905),$I$2:$I$1001,0),1)&gt;=100000,INDEX($P$1005:$S$1005,1,MATCH(COLUMNS($P$1006:S1006),$P$1006:$S$1006,0))&gt;=100000), " ",IF(INDEX($P$2:$S$1001,MATCH(ROWS($I$2:I905),$I$2:$I$1001,0),MATCH(COLUMNS($P$1006:S1006),$P$1006:$S$1006,0)), HYPERLINK("#",""), HYPERLINK(CONCATENATE("#metadata!", ADDRESS(INDEX($K$2:$K$1001,MATCH(ROWS($I$2:I905),$I$2:$I$1001,0),0), INDEX($P$1004:$S$1004,1,MATCH(COLUMNS($P$1006:S1006),$P$1006:$S$1006,0)))),"Fix")))</f>
        <v>0</v>
      </c>
      <c r="I905">
        <v>0</v>
      </c>
      <c r="J905">
        <v>0</v>
      </c>
      <c r="K905">
        <v>0</v>
      </c>
      <c r="L905">
        <f>IF(M905,TRUE,AND(P905:S905))</f>
        <v>0</v>
      </c>
      <c r="M905">
        <f>COUNTBLANK(metadata!B905:E905)=COLUMNS(metadata!B905:E905)</f>
        <v>0</v>
      </c>
      <c r="N905">
        <v>0</v>
      </c>
      <c r="P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Q905">
        <f>AND(IF(metadata!C905="",FALSE,TRUE),exact(metadata!C905,"other"))</f>
        <v>0</v>
      </c>
      <c r="R905">
        <f>AND(IF(metadata!D905="",FALSE,TRUE),exact(metadata!D905,"metagenome"))</f>
        <v>0</v>
      </c>
      <c r="S905">
        <f>AND(IF(metadata!E905="",FALSE,TRUE),exact(metadata!E905,"256318"))</f>
        <v>0</v>
      </c>
    </row>
    <row r="906" spans="1:19">
      <c r="A906" s="4">
        <f>IF(B906=" "," ",HYPERLINK(CONCATENATE("#metadata!",ADDRESS(INDEX($K$2:$K$1001,MATCH(ROWS($I$2:I906),$I$2:$I$1001,0),0),1)),INDEX($N$2:$N$1001,MATCH(ROWS($I$2:I906),$I$2:$I$1001,0),0)))</f>
        <v>0</v>
      </c>
      <c r="B906" s="3">
        <f>IF(OR(INDEX($J$2:$J$1001,MATCH(ROWS($I$2:I906),$I$2:$I$1001,0),1)&gt;=100000,INDEX($P$1005:$S$1005,1,MATCH(COLUMNS($P$1006:P1006),$P$1006:$S$1006,0))&gt;=100000), " ",IF(INDEX($P$2:$S$1001,MATCH(ROWS($I$2:I906),$I$2:$I$1001,0),MATCH(COLUMNS($P$1006:P1006),$P$1006:$S$1006,0)), HYPERLINK("#",""), HYPERLINK(CONCATENATE("#metadata!", ADDRESS(INDEX($K$2:$K$1001,MATCH(ROWS($I$2:I906),$I$2:$I$1001,0),0), INDEX($P$1004:$S$1004,1,MATCH(COLUMNS($P$1006:P1006),$P$1006:$S$1006,0)))),"Fix")))</f>
        <v>0</v>
      </c>
      <c r="C906" s="3">
        <f>IF(OR(INDEX($J$2:$J$1001,MATCH(ROWS($I$2:I906),$I$2:$I$1001,0),1)&gt;=100000,INDEX($P$1005:$S$1005,1,MATCH(COLUMNS($P$1006:Q1006),$P$1006:$S$1006,0))&gt;=100000), " ",IF(INDEX($P$2:$S$1001,MATCH(ROWS($I$2:I906),$I$2:$I$1001,0),MATCH(COLUMNS($P$1006:Q1006),$P$1006:$S$1006,0)), HYPERLINK("#",""), HYPERLINK(CONCATENATE("#metadata!", ADDRESS(INDEX($K$2:$K$1001,MATCH(ROWS($I$2:I906),$I$2:$I$1001,0),0), INDEX($P$1004:$S$1004,1,MATCH(COLUMNS($P$1006:Q1006),$P$1006:$S$1006,0)))),"Fix")))</f>
        <v>0</v>
      </c>
      <c r="D906" s="3">
        <f>IF(OR(INDEX($J$2:$J$1001,MATCH(ROWS($I$2:I906),$I$2:$I$1001,0),1)&gt;=100000,INDEX($P$1005:$S$1005,1,MATCH(COLUMNS($P$1006:R1006),$P$1006:$S$1006,0))&gt;=100000), " ",IF(INDEX($P$2:$S$1001,MATCH(ROWS($I$2:I906),$I$2:$I$1001,0),MATCH(COLUMNS($P$1006:R1006),$P$1006:$S$1006,0)), HYPERLINK("#",""), HYPERLINK(CONCATENATE("#metadata!", ADDRESS(INDEX($K$2:$K$1001,MATCH(ROWS($I$2:I906),$I$2:$I$1001,0),0), INDEX($P$1004:$S$1004,1,MATCH(COLUMNS($P$1006:R1006),$P$1006:$S$1006,0)))),"Fix")))</f>
        <v>0</v>
      </c>
      <c r="E906" s="3">
        <f>IF(OR(INDEX($J$2:$J$1001,MATCH(ROWS($I$2:I906),$I$2:$I$1001,0),1)&gt;=100000,INDEX($P$1005:$S$1005,1,MATCH(COLUMNS($P$1006:S1006),$P$1006:$S$1006,0))&gt;=100000), " ",IF(INDEX($P$2:$S$1001,MATCH(ROWS($I$2:I906),$I$2:$I$1001,0),MATCH(COLUMNS($P$1006:S1006),$P$1006:$S$1006,0)), HYPERLINK("#",""), HYPERLINK(CONCATENATE("#metadata!", ADDRESS(INDEX($K$2:$K$1001,MATCH(ROWS($I$2:I906),$I$2:$I$1001,0),0), INDEX($P$1004:$S$1004,1,MATCH(COLUMNS($P$1006:S1006),$P$1006:$S$1006,0)))),"Fix")))</f>
        <v>0</v>
      </c>
      <c r="I906">
        <v>0</v>
      </c>
      <c r="J906">
        <v>0</v>
      </c>
      <c r="K906">
        <v>0</v>
      </c>
      <c r="L906">
        <f>IF(M906,TRUE,AND(P906:S906))</f>
        <v>0</v>
      </c>
      <c r="M906">
        <f>COUNTBLANK(metadata!B906:E906)=COLUMNS(metadata!B906:E906)</f>
        <v>0</v>
      </c>
      <c r="N906">
        <v>0</v>
      </c>
      <c r="P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Q906">
        <f>AND(IF(metadata!C906="",FALSE,TRUE),exact(metadata!C906,"other"))</f>
        <v>0</v>
      </c>
      <c r="R906">
        <f>AND(IF(metadata!D906="",FALSE,TRUE),exact(metadata!D906,"metagenome"))</f>
        <v>0</v>
      </c>
      <c r="S906">
        <f>AND(IF(metadata!E906="",FALSE,TRUE),exact(metadata!E906,"256318"))</f>
        <v>0</v>
      </c>
    </row>
    <row r="907" spans="1:19">
      <c r="A907" s="4">
        <f>IF(B907=" "," ",HYPERLINK(CONCATENATE("#metadata!",ADDRESS(INDEX($K$2:$K$1001,MATCH(ROWS($I$2:I907),$I$2:$I$1001,0),0),1)),INDEX($N$2:$N$1001,MATCH(ROWS($I$2:I907),$I$2:$I$1001,0),0)))</f>
        <v>0</v>
      </c>
      <c r="B907" s="3">
        <f>IF(OR(INDEX($J$2:$J$1001,MATCH(ROWS($I$2:I907),$I$2:$I$1001,0),1)&gt;=100000,INDEX($P$1005:$S$1005,1,MATCH(COLUMNS($P$1006:P1006),$P$1006:$S$1006,0))&gt;=100000), " ",IF(INDEX($P$2:$S$1001,MATCH(ROWS($I$2:I907),$I$2:$I$1001,0),MATCH(COLUMNS($P$1006:P1006),$P$1006:$S$1006,0)), HYPERLINK("#",""), HYPERLINK(CONCATENATE("#metadata!", ADDRESS(INDEX($K$2:$K$1001,MATCH(ROWS($I$2:I907),$I$2:$I$1001,0),0), INDEX($P$1004:$S$1004,1,MATCH(COLUMNS($P$1006:P1006),$P$1006:$S$1006,0)))),"Fix")))</f>
        <v>0</v>
      </c>
      <c r="C907" s="3">
        <f>IF(OR(INDEX($J$2:$J$1001,MATCH(ROWS($I$2:I907),$I$2:$I$1001,0),1)&gt;=100000,INDEX($P$1005:$S$1005,1,MATCH(COLUMNS($P$1006:Q1006),$P$1006:$S$1006,0))&gt;=100000), " ",IF(INDEX($P$2:$S$1001,MATCH(ROWS($I$2:I907),$I$2:$I$1001,0),MATCH(COLUMNS($P$1006:Q1006),$P$1006:$S$1006,0)), HYPERLINK("#",""), HYPERLINK(CONCATENATE("#metadata!", ADDRESS(INDEX($K$2:$K$1001,MATCH(ROWS($I$2:I907),$I$2:$I$1001,0),0), INDEX($P$1004:$S$1004,1,MATCH(COLUMNS($P$1006:Q1006),$P$1006:$S$1006,0)))),"Fix")))</f>
        <v>0</v>
      </c>
      <c r="D907" s="3">
        <f>IF(OR(INDEX($J$2:$J$1001,MATCH(ROWS($I$2:I907),$I$2:$I$1001,0),1)&gt;=100000,INDEX($P$1005:$S$1005,1,MATCH(COLUMNS($P$1006:R1006),$P$1006:$S$1006,0))&gt;=100000), " ",IF(INDEX($P$2:$S$1001,MATCH(ROWS($I$2:I907),$I$2:$I$1001,0),MATCH(COLUMNS($P$1006:R1006),$P$1006:$S$1006,0)), HYPERLINK("#",""), HYPERLINK(CONCATENATE("#metadata!", ADDRESS(INDEX($K$2:$K$1001,MATCH(ROWS($I$2:I907),$I$2:$I$1001,0),0), INDEX($P$1004:$S$1004,1,MATCH(COLUMNS($P$1006:R1006),$P$1006:$S$1006,0)))),"Fix")))</f>
        <v>0</v>
      </c>
      <c r="E907" s="3">
        <f>IF(OR(INDEX($J$2:$J$1001,MATCH(ROWS($I$2:I907),$I$2:$I$1001,0),1)&gt;=100000,INDEX($P$1005:$S$1005,1,MATCH(COLUMNS($P$1006:S1006),$P$1006:$S$1006,0))&gt;=100000), " ",IF(INDEX($P$2:$S$1001,MATCH(ROWS($I$2:I907),$I$2:$I$1001,0),MATCH(COLUMNS($P$1006:S1006),$P$1006:$S$1006,0)), HYPERLINK("#",""), HYPERLINK(CONCATENATE("#metadata!", ADDRESS(INDEX($K$2:$K$1001,MATCH(ROWS($I$2:I907),$I$2:$I$1001,0),0), INDEX($P$1004:$S$1004,1,MATCH(COLUMNS($P$1006:S1006),$P$1006:$S$1006,0)))),"Fix")))</f>
        <v>0</v>
      </c>
      <c r="I907">
        <v>0</v>
      </c>
      <c r="J907">
        <v>0</v>
      </c>
      <c r="K907">
        <v>0</v>
      </c>
      <c r="L907">
        <f>IF(M907,TRUE,AND(P907:S907))</f>
        <v>0</v>
      </c>
      <c r="M907">
        <f>COUNTBLANK(metadata!B907:E907)=COLUMNS(metadata!B907:E907)</f>
        <v>0</v>
      </c>
      <c r="N907">
        <v>0</v>
      </c>
      <c r="P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Q907">
        <f>AND(IF(metadata!C907="",FALSE,TRUE),exact(metadata!C907,"other"))</f>
        <v>0</v>
      </c>
      <c r="R907">
        <f>AND(IF(metadata!D907="",FALSE,TRUE),exact(metadata!D907,"metagenome"))</f>
        <v>0</v>
      </c>
      <c r="S907">
        <f>AND(IF(metadata!E907="",FALSE,TRUE),exact(metadata!E907,"256318"))</f>
        <v>0</v>
      </c>
    </row>
    <row r="908" spans="1:19">
      <c r="A908" s="4">
        <f>IF(B908=" "," ",HYPERLINK(CONCATENATE("#metadata!",ADDRESS(INDEX($K$2:$K$1001,MATCH(ROWS($I$2:I908),$I$2:$I$1001,0),0),1)),INDEX($N$2:$N$1001,MATCH(ROWS($I$2:I908),$I$2:$I$1001,0),0)))</f>
        <v>0</v>
      </c>
      <c r="B908" s="3">
        <f>IF(OR(INDEX($J$2:$J$1001,MATCH(ROWS($I$2:I908),$I$2:$I$1001,0),1)&gt;=100000,INDEX($P$1005:$S$1005,1,MATCH(COLUMNS($P$1006:P1006),$P$1006:$S$1006,0))&gt;=100000), " ",IF(INDEX($P$2:$S$1001,MATCH(ROWS($I$2:I908),$I$2:$I$1001,0),MATCH(COLUMNS($P$1006:P1006),$P$1006:$S$1006,0)), HYPERLINK("#",""), HYPERLINK(CONCATENATE("#metadata!", ADDRESS(INDEX($K$2:$K$1001,MATCH(ROWS($I$2:I908),$I$2:$I$1001,0),0), INDEX($P$1004:$S$1004,1,MATCH(COLUMNS($P$1006:P1006),$P$1006:$S$1006,0)))),"Fix")))</f>
        <v>0</v>
      </c>
      <c r="C908" s="3">
        <f>IF(OR(INDEX($J$2:$J$1001,MATCH(ROWS($I$2:I908),$I$2:$I$1001,0),1)&gt;=100000,INDEX($P$1005:$S$1005,1,MATCH(COLUMNS($P$1006:Q1006),$P$1006:$S$1006,0))&gt;=100000), " ",IF(INDEX($P$2:$S$1001,MATCH(ROWS($I$2:I908),$I$2:$I$1001,0),MATCH(COLUMNS($P$1006:Q1006),$P$1006:$S$1006,0)), HYPERLINK("#",""), HYPERLINK(CONCATENATE("#metadata!", ADDRESS(INDEX($K$2:$K$1001,MATCH(ROWS($I$2:I908),$I$2:$I$1001,0),0), INDEX($P$1004:$S$1004,1,MATCH(COLUMNS($P$1006:Q1006),$P$1006:$S$1006,0)))),"Fix")))</f>
        <v>0</v>
      </c>
      <c r="D908" s="3">
        <f>IF(OR(INDEX($J$2:$J$1001,MATCH(ROWS($I$2:I908),$I$2:$I$1001,0),1)&gt;=100000,INDEX($P$1005:$S$1005,1,MATCH(COLUMNS($P$1006:R1006),$P$1006:$S$1006,0))&gt;=100000), " ",IF(INDEX($P$2:$S$1001,MATCH(ROWS($I$2:I908),$I$2:$I$1001,0),MATCH(COLUMNS($P$1006:R1006),$P$1006:$S$1006,0)), HYPERLINK("#",""), HYPERLINK(CONCATENATE("#metadata!", ADDRESS(INDEX($K$2:$K$1001,MATCH(ROWS($I$2:I908),$I$2:$I$1001,0),0), INDEX($P$1004:$S$1004,1,MATCH(COLUMNS($P$1006:R1006),$P$1006:$S$1006,0)))),"Fix")))</f>
        <v>0</v>
      </c>
      <c r="E908" s="3">
        <f>IF(OR(INDEX($J$2:$J$1001,MATCH(ROWS($I$2:I908),$I$2:$I$1001,0),1)&gt;=100000,INDEX($P$1005:$S$1005,1,MATCH(COLUMNS($P$1006:S1006),$P$1006:$S$1006,0))&gt;=100000), " ",IF(INDEX($P$2:$S$1001,MATCH(ROWS($I$2:I908),$I$2:$I$1001,0),MATCH(COLUMNS($P$1006:S1006),$P$1006:$S$1006,0)), HYPERLINK("#",""), HYPERLINK(CONCATENATE("#metadata!", ADDRESS(INDEX($K$2:$K$1001,MATCH(ROWS($I$2:I908),$I$2:$I$1001,0),0), INDEX($P$1004:$S$1004,1,MATCH(COLUMNS($P$1006:S1006),$P$1006:$S$1006,0)))),"Fix")))</f>
        <v>0</v>
      </c>
      <c r="I908">
        <v>0</v>
      </c>
      <c r="J908">
        <v>0</v>
      </c>
      <c r="K908">
        <v>0</v>
      </c>
      <c r="L908">
        <f>IF(M908,TRUE,AND(P908:S908))</f>
        <v>0</v>
      </c>
      <c r="M908">
        <f>COUNTBLANK(metadata!B908:E908)=COLUMNS(metadata!B908:E908)</f>
        <v>0</v>
      </c>
      <c r="N908">
        <v>0</v>
      </c>
      <c r="P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Q908">
        <f>AND(IF(metadata!C908="",FALSE,TRUE),exact(metadata!C908,"other"))</f>
        <v>0</v>
      </c>
      <c r="R908">
        <f>AND(IF(metadata!D908="",FALSE,TRUE),exact(metadata!D908,"metagenome"))</f>
        <v>0</v>
      </c>
      <c r="S908">
        <f>AND(IF(metadata!E908="",FALSE,TRUE),exact(metadata!E908,"256318"))</f>
        <v>0</v>
      </c>
    </row>
    <row r="909" spans="1:19">
      <c r="A909" s="4">
        <f>IF(B909=" "," ",HYPERLINK(CONCATENATE("#metadata!",ADDRESS(INDEX($K$2:$K$1001,MATCH(ROWS($I$2:I909),$I$2:$I$1001,0),0),1)),INDEX($N$2:$N$1001,MATCH(ROWS($I$2:I909),$I$2:$I$1001,0),0)))</f>
        <v>0</v>
      </c>
      <c r="B909" s="3">
        <f>IF(OR(INDEX($J$2:$J$1001,MATCH(ROWS($I$2:I909),$I$2:$I$1001,0),1)&gt;=100000,INDEX($P$1005:$S$1005,1,MATCH(COLUMNS($P$1006:P1006),$P$1006:$S$1006,0))&gt;=100000), " ",IF(INDEX($P$2:$S$1001,MATCH(ROWS($I$2:I909),$I$2:$I$1001,0),MATCH(COLUMNS($P$1006:P1006),$P$1006:$S$1006,0)), HYPERLINK("#",""), HYPERLINK(CONCATENATE("#metadata!", ADDRESS(INDEX($K$2:$K$1001,MATCH(ROWS($I$2:I909),$I$2:$I$1001,0),0), INDEX($P$1004:$S$1004,1,MATCH(COLUMNS($P$1006:P1006),$P$1006:$S$1006,0)))),"Fix")))</f>
        <v>0</v>
      </c>
      <c r="C909" s="3">
        <f>IF(OR(INDEX($J$2:$J$1001,MATCH(ROWS($I$2:I909),$I$2:$I$1001,0),1)&gt;=100000,INDEX($P$1005:$S$1005,1,MATCH(COLUMNS($P$1006:Q1006),$P$1006:$S$1006,0))&gt;=100000), " ",IF(INDEX($P$2:$S$1001,MATCH(ROWS($I$2:I909),$I$2:$I$1001,0),MATCH(COLUMNS($P$1006:Q1006),$P$1006:$S$1006,0)), HYPERLINK("#",""), HYPERLINK(CONCATENATE("#metadata!", ADDRESS(INDEX($K$2:$K$1001,MATCH(ROWS($I$2:I909),$I$2:$I$1001,0),0), INDEX($P$1004:$S$1004,1,MATCH(COLUMNS($P$1006:Q1006),$P$1006:$S$1006,0)))),"Fix")))</f>
        <v>0</v>
      </c>
      <c r="D909" s="3">
        <f>IF(OR(INDEX($J$2:$J$1001,MATCH(ROWS($I$2:I909),$I$2:$I$1001,0),1)&gt;=100000,INDEX($P$1005:$S$1005,1,MATCH(COLUMNS($P$1006:R1006),$P$1006:$S$1006,0))&gt;=100000), " ",IF(INDEX($P$2:$S$1001,MATCH(ROWS($I$2:I909),$I$2:$I$1001,0),MATCH(COLUMNS($P$1006:R1006),$P$1006:$S$1006,0)), HYPERLINK("#",""), HYPERLINK(CONCATENATE("#metadata!", ADDRESS(INDEX($K$2:$K$1001,MATCH(ROWS($I$2:I909),$I$2:$I$1001,0),0), INDEX($P$1004:$S$1004,1,MATCH(COLUMNS($P$1006:R1006),$P$1006:$S$1006,0)))),"Fix")))</f>
        <v>0</v>
      </c>
      <c r="E909" s="3">
        <f>IF(OR(INDEX($J$2:$J$1001,MATCH(ROWS($I$2:I909),$I$2:$I$1001,0),1)&gt;=100000,INDEX($P$1005:$S$1005,1,MATCH(COLUMNS($P$1006:S1006),$P$1006:$S$1006,0))&gt;=100000), " ",IF(INDEX($P$2:$S$1001,MATCH(ROWS($I$2:I909),$I$2:$I$1001,0),MATCH(COLUMNS($P$1006:S1006),$P$1006:$S$1006,0)), HYPERLINK("#",""), HYPERLINK(CONCATENATE("#metadata!", ADDRESS(INDEX($K$2:$K$1001,MATCH(ROWS($I$2:I909),$I$2:$I$1001,0),0), INDEX($P$1004:$S$1004,1,MATCH(COLUMNS($P$1006:S1006),$P$1006:$S$1006,0)))),"Fix")))</f>
        <v>0</v>
      </c>
      <c r="I909">
        <v>0</v>
      </c>
      <c r="J909">
        <v>0</v>
      </c>
      <c r="K909">
        <v>0</v>
      </c>
      <c r="L909">
        <f>IF(M909,TRUE,AND(P909:S909))</f>
        <v>0</v>
      </c>
      <c r="M909">
        <f>COUNTBLANK(metadata!B909:E909)=COLUMNS(metadata!B909:E909)</f>
        <v>0</v>
      </c>
      <c r="N909">
        <v>0</v>
      </c>
      <c r="P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Q909">
        <f>AND(IF(metadata!C909="",FALSE,TRUE),exact(metadata!C909,"other"))</f>
        <v>0</v>
      </c>
      <c r="R909">
        <f>AND(IF(metadata!D909="",FALSE,TRUE),exact(metadata!D909,"metagenome"))</f>
        <v>0</v>
      </c>
      <c r="S909">
        <f>AND(IF(metadata!E909="",FALSE,TRUE),exact(metadata!E909,"256318"))</f>
        <v>0</v>
      </c>
    </row>
    <row r="910" spans="1:19">
      <c r="A910" s="4">
        <f>IF(B910=" "," ",HYPERLINK(CONCATENATE("#metadata!",ADDRESS(INDEX($K$2:$K$1001,MATCH(ROWS($I$2:I910),$I$2:$I$1001,0),0),1)),INDEX($N$2:$N$1001,MATCH(ROWS($I$2:I910),$I$2:$I$1001,0),0)))</f>
        <v>0</v>
      </c>
      <c r="B910" s="3">
        <f>IF(OR(INDEX($J$2:$J$1001,MATCH(ROWS($I$2:I910),$I$2:$I$1001,0),1)&gt;=100000,INDEX($P$1005:$S$1005,1,MATCH(COLUMNS($P$1006:P1006),$P$1006:$S$1006,0))&gt;=100000), " ",IF(INDEX($P$2:$S$1001,MATCH(ROWS($I$2:I910),$I$2:$I$1001,0),MATCH(COLUMNS($P$1006:P1006),$P$1006:$S$1006,0)), HYPERLINK("#",""), HYPERLINK(CONCATENATE("#metadata!", ADDRESS(INDEX($K$2:$K$1001,MATCH(ROWS($I$2:I910),$I$2:$I$1001,0),0), INDEX($P$1004:$S$1004,1,MATCH(COLUMNS($P$1006:P1006),$P$1006:$S$1006,0)))),"Fix")))</f>
        <v>0</v>
      </c>
      <c r="C910" s="3">
        <f>IF(OR(INDEX($J$2:$J$1001,MATCH(ROWS($I$2:I910),$I$2:$I$1001,0),1)&gt;=100000,INDEX($P$1005:$S$1005,1,MATCH(COLUMNS($P$1006:Q1006),$P$1006:$S$1006,0))&gt;=100000), " ",IF(INDEX($P$2:$S$1001,MATCH(ROWS($I$2:I910),$I$2:$I$1001,0),MATCH(COLUMNS($P$1006:Q1006),$P$1006:$S$1006,0)), HYPERLINK("#",""), HYPERLINK(CONCATENATE("#metadata!", ADDRESS(INDEX($K$2:$K$1001,MATCH(ROWS($I$2:I910),$I$2:$I$1001,0),0), INDEX($P$1004:$S$1004,1,MATCH(COLUMNS($P$1006:Q1006),$P$1006:$S$1006,0)))),"Fix")))</f>
        <v>0</v>
      </c>
      <c r="D910" s="3">
        <f>IF(OR(INDEX($J$2:$J$1001,MATCH(ROWS($I$2:I910),$I$2:$I$1001,0),1)&gt;=100000,INDEX($P$1005:$S$1005,1,MATCH(COLUMNS($P$1006:R1006),$P$1006:$S$1006,0))&gt;=100000), " ",IF(INDEX($P$2:$S$1001,MATCH(ROWS($I$2:I910),$I$2:$I$1001,0),MATCH(COLUMNS($P$1006:R1006),$P$1006:$S$1006,0)), HYPERLINK("#",""), HYPERLINK(CONCATENATE("#metadata!", ADDRESS(INDEX($K$2:$K$1001,MATCH(ROWS($I$2:I910),$I$2:$I$1001,0),0), INDEX($P$1004:$S$1004,1,MATCH(COLUMNS($P$1006:R1006),$P$1006:$S$1006,0)))),"Fix")))</f>
        <v>0</v>
      </c>
      <c r="E910" s="3">
        <f>IF(OR(INDEX($J$2:$J$1001,MATCH(ROWS($I$2:I910),$I$2:$I$1001,0),1)&gt;=100000,INDEX($P$1005:$S$1005,1,MATCH(COLUMNS($P$1006:S1006),$P$1006:$S$1006,0))&gt;=100000), " ",IF(INDEX($P$2:$S$1001,MATCH(ROWS($I$2:I910),$I$2:$I$1001,0),MATCH(COLUMNS($P$1006:S1006),$P$1006:$S$1006,0)), HYPERLINK("#",""), HYPERLINK(CONCATENATE("#metadata!", ADDRESS(INDEX($K$2:$K$1001,MATCH(ROWS($I$2:I910),$I$2:$I$1001,0),0), INDEX($P$1004:$S$1004,1,MATCH(COLUMNS($P$1006:S1006),$P$1006:$S$1006,0)))),"Fix")))</f>
        <v>0</v>
      </c>
      <c r="I910">
        <v>0</v>
      </c>
      <c r="J910">
        <v>0</v>
      </c>
      <c r="K910">
        <v>0</v>
      </c>
      <c r="L910">
        <f>IF(M910,TRUE,AND(P910:S910))</f>
        <v>0</v>
      </c>
      <c r="M910">
        <f>COUNTBLANK(metadata!B910:E910)=COLUMNS(metadata!B910:E910)</f>
        <v>0</v>
      </c>
      <c r="N910">
        <v>0</v>
      </c>
      <c r="P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Q910">
        <f>AND(IF(metadata!C910="",FALSE,TRUE),exact(metadata!C910,"other"))</f>
        <v>0</v>
      </c>
      <c r="R910">
        <f>AND(IF(metadata!D910="",FALSE,TRUE),exact(metadata!D910,"metagenome"))</f>
        <v>0</v>
      </c>
      <c r="S910">
        <f>AND(IF(metadata!E910="",FALSE,TRUE),exact(metadata!E910,"256318"))</f>
        <v>0</v>
      </c>
    </row>
    <row r="911" spans="1:19">
      <c r="A911" s="4">
        <f>IF(B911=" "," ",HYPERLINK(CONCATENATE("#metadata!",ADDRESS(INDEX($K$2:$K$1001,MATCH(ROWS($I$2:I911),$I$2:$I$1001,0),0),1)),INDEX($N$2:$N$1001,MATCH(ROWS($I$2:I911),$I$2:$I$1001,0),0)))</f>
        <v>0</v>
      </c>
      <c r="B911" s="3">
        <f>IF(OR(INDEX($J$2:$J$1001,MATCH(ROWS($I$2:I911),$I$2:$I$1001,0),1)&gt;=100000,INDEX($P$1005:$S$1005,1,MATCH(COLUMNS($P$1006:P1006),$P$1006:$S$1006,0))&gt;=100000), " ",IF(INDEX($P$2:$S$1001,MATCH(ROWS($I$2:I911),$I$2:$I$1001,0),MATCH(COLUMNS($P$1006:P1006),$P$1006:$S$1006,0)), HYPERLINK("#",""), HYPERLINK(CONCATENATE("#metadata!", ADDRESS(INDEX($K$2:$K$1001,MATCH(ROWS($I$2:I911),$I$2:$I$1001,0),0), INDEX($P$1004:$S$1004,1,MATCH(COLUMNS($P$1006:P1006),$P$1006:$S$1006,0)))),"Fix")))</f>
        <v>0</v>
      </c>
      <c r="C911" s="3">
        <f>IF(OR(INDEX($J$2:$J$1001,MATCH(ROWS($I$2:I911),$I$2:$I$1001,0),1)&gt;=100000,INDEX($P$1005:$S$1005,1,MATCH(COLUMNS($P$1006:Q1006),$P$1006:$S$1006,0))&gt;=100000), " ",IF(INDEX($P$2:$S$1001,MATCH(ROWS($I$2:I911),$I$2:$I$1001,0),MATCH(COLUMNS($P$1006:Q1006),$P$1006:$S$1006,0)), HYPERLINK("#",""), HYPERLINK(CONCATENATE("#metadata!", ADDRESS(INDEX($K$2:$K$1001,MATCH(ROWS($I$2:I911),$I$2:$I$1001,0),0), INDEX($P$1004:$S$1004,1,MATCH(COLUMNS($P$1006:Q1006),$P$1006:$S$1006,0)))),"Fix")))</f>
        <v>0</v>
      </c>
      <c r="D911" s="3">
        <f>IF(OR(INDEX($J$2:$J$1001,MATCH(ROWS($I$2:I911),$I$2:$I$1001,0),1)&gt;=100000,INDEX($P$1005:$S$1005,1,MATCH(COLUMNS($P$1006:R1006),$P$1006:$S$1006,0))&gt;=100000), " ",IF(INDEX($P$2:$S$1001,MATCH(ROWS($I$2:I911),$I$2:$I$1001,0),MATCH(COLUMNS($P$1006:R1006),$P$1006:$S$1006,0)), HYPERLINK("#",""), HYPERLINK(CONCATENATE("#metadata!", ADDRESS(INDEX($K$2:$K$1001,MATCH(ROWS($I$2:I911),$I$2:$I$1001,0),0), INDEX($P$1004:$S$1004,1,MATCH(COLUMNS($P$1006:R1006),$P$1006:$S$1006,0)))),"Fix")))</f>
        <v>0</v>
      </c>
      <c r="E911" s="3">
        <f>IF(OR(INDEX($J$2:$J$1001,MATCH(ROWS($I$2:I911),$I$2:$I$1001,0),1)&gt;=100000,INDEX($P$1005:$S$1005,1,MATCH(COLUMNS($P$1006:S1006),$P$1006:$S$1006,0))&gt;=100000), " ",IF(INDEX($P$2:$S$1001,MATCH(ROWS($I$2:I911),$I$2:$I$1001,0),MATCH(COLUMNS($P$1006:S1006),$P$1006:$S$1006,0)), HYPERLINK("#",""), HYPERLINK(CONCATENATE("#metadata!", ADDRESS(INDEX($K$2:$K$1001,MATCH(ROWS($I$2:I911),$I$2:$I$1001,0),0), INDEX($P$1004:$S$1004,1,MATCH(COLUMNS($P$1006:S1006),$P$1006:$S$1006,0)))),"Fix")))</f>
        <v>0</v>
      </c>
      <c r="I911">
        <v>0</v>
      </c>
      <c r="J911">
        <v>0</v>
      </c>
      <c r="K911">
        <v>0</v>
      </c>
      <c r="L911">
        <f>IF(M911,TRUE,AND(P911:S911))</f>
        <v>0</v>
      </c>
      <c r="M911">
        <f>COUNTBLANK(metadata!B911:E911)=COLUMNS(metadata!B911:E911)</f>
        <v>0</v>
      </c>
      <c r="N911">
        <v>0</v>
      </c>
      <c r="P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Q911">
        <f>AND(IF(metadata!C911="",FALSE,TRUE),exact(metadata!C911,"other"))</f>
        <v>0</v>
      </c>
      <c r="R911">
        <f>AND(IF(metadata!D911="",FALSE,TRUE),exact(metadata!D911,"metagenome"))</f>
        <v>0</v>
      </c>
      <c r="S911">
        <f>AND(IF(metadata!E911="",FALSE,TRUE),exact(metadata!E911,"256318"))</f>
        <v>0</v>
      </c>
    </row>
    <row r="912" spans="1:19">
      <c r="A912" s="4">
        <f>IF(B912=" "," ",HYPERLINK(CONCATENATE("#metadata!",ADDRESS(INDEX($K$2:$K$1001,MATCH(ROWS($I$2:I912),$I$2:$I$1001,0),0),1)),INDEX($N$2:$N$1001,MATCH(ROWS($I$2:I912),$I$2:$I$1001,0),0)))</f>
        <v>0</v>
      </c>
      <c r="B912" s="3">
        <f>IF(OR(INDEX($J$2:$J$1001,MATCH(ROWS($I$2:I912),$I$2:$I$1001,0),1)&gt;=100000,INDEX($P$1005:$S$1005,1,MATCH(COLUMNS($P$1006:P1006),$P$1006:$S$1006,0))&gt;=100000), " ",IF(INDEX($P$2:$S$1001,MATCH(ROWS($I$2:I912),$I$2:$I$1001,0),MATCH(COLUMNS($P$1006:P1006),$P$1006:$S$1006,0)), HYPERLINK("#",""), HYPERLINK(CONCATENATE("#metadata!", ADDRESS(INDEX($K$2:$K$1001,MATCH(ROWS($I$2:I912),$I$2:$I$1001,0),0), INDEX($P$1004:$S$1004,1,MATCH(COLUMNS($P$1006:P1006),$P$1006:$S$1006,0)))),"Fix")))</f>
        <v>0</v>
      </c>
      <c r="C912" s="3">
        <f>IF(OR(INDEX($J$2:$J$1001,MATCH(ROWS($I$2:I912),$I$2:$I$1001,0),1)&gt;=100000,INDEX($P$1005:$S$1005,1,MATCH(COLUMNS($P$1006:Q1006),$P$1006:$S$1006,0))&gt;=100000), " ",IF(INDEX($P$2:$S$1001,MATCH(ROWS($I$2:I912),$I$2:$I$1001,0),MATCH(COLUMNS($P$1006:Q1006),$P$1006:$S$1006,0)), HYPERLINK("#",""), HYPERLINK(CONCATENATE("#metadata!", ADDRESS(INDEX($K$2:$K$1001,MATCH(ROWS($I$2:I912),$I$2:$I$1001,0),0), INDEX($P$1004:$S$1004,1,MATCH(COLUMNS($P$1006:Q1006),$P$1006:$S$1006,0)))),"Fix")))</f>
        <v>0</v>
      </c>
      <c r="D912" s="3">
        <f>IF(OR(INDEX($J$2:$J$1001,MATCH(ROWS($I$2:I912),$I$2:$I$1001,0),1)&gt;=100000,INDEX($P$1005:$S$1005,1,MATCH(COLUMNS($P$1006:R1006),$P$1006:$S$1006,0))&gt;=100000), " ",IF(INDEX($P$2:$S$1001,MATCH(ROWS($I$2:I912),$I$2:$I$1001,0),MATCH(COLUMNS($P$1006:R1006),$P$1006:$S$1006,0)), HYPERLINK("#",""), HYPERLINK(CONCATENATE("#metadata!", ADDRESS(INDEX($K$2:$K$1001,MATCH(ROWS($I$2:I912),$I$2:$I$1001,0),0), INDEX($P$1004:$S$1004,1,MATCH(COLUMNS($P$1006:R1006),$P$1006:$S$1006,0)))),"Fix")))</f>
        <v>0</v>
      </c>
      <c r="E912" s="3">
        <f>IF(OR(INDEX($J$2:$J$1001,MATCH(ROWS($I$2:I912),$I$2:$I$1001,0),1)&gt;=100000,INDEX($P$1005:$S$1005,1,MATCH(COLUMNS($P$1006:S1006),$P$1006:$S$1006,0))&gt;=100000), " ",IF(INDEX($P$2:$S$1001,MATCH(ROWS($I$2:I912),$I$2:$I$1001,0),MATCH(COLUMNS($P$1006:S1006),$P$1006:$S$1006,0)), HYPERLINK("#",""), HYPERLINK(CONCATENATE("#metadata!", ADDRESS(INDEX($K$2:$K$1001,MATCH(ROWS($I$2:I912),$I$2:$I$1001,0),0), INDEX($P$1004:$S$1004,1,MATCH(COLUMNS($P$1006:S1006),$P$1006:$S$1006,0)))),"Fix")))</f>
        <v>0</v>
      </c>
      <c r="I912">
        <v>0</v>
      </c>
      <c r="J912">
        <v>0</v>
      </c>
      <c r="K912">
        <v>0</v>
      </c>
      <c r="L912">
        <f>IF(M912,TRUE,AND(P912:S912))</f>
        <v>0</v>
      </c>
      <c r="M912">
        <f>COUNTBLANK(metadata!B912:E912)=COLUMNS(metadata!B912:E912)</f>
        <v>0</v>
      </c>
      <c r="N912">
        <v>0</v>
      </c>
      <c r="P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Q912">
        <f>AND(IF(metadata!C912="",FALSE,TRUE),exact(metadata!C912,"other"))</f>
        <v>0</v>
      </c>
      <c r="R912">
        <f>AND(IF(metadata!D912="",FALSE,TRUE),exact(metadata!D912,"metagenome"))</f>
        <v>0</v>
      </c>
      <c r="S912">
        <f>AND(IF(metadata!E912="",FALSE,TRUE),exact(metadata!E912,"256318"))</f>
        <v>0</v>
      </c>
    </row>
    <row r="913" spans="1:19">
      <c r="A913" s="4">
        <f>IF(B913=" "," ",HYPERLINK(CONCATENATE("#metadata!",ADDRESS(INDEX($K$2:$K$1001,MATCH(ROWS($I$2:I913),$I$2:$I$1001,0),0),1)),INDEX($N$2:$N$1001,MATCH(ROWS($I$2:I913),$I$2:$I$1001,0),0)))</f>
        <v>0</v>
      </c>
      <c r="B913" s="3">
        <f>IF(OR(INDEX($J$2:$J$1001,MATCH(ROWS($I$2:I913),$I$2:$I$1001,0),1)&gt;=100000,INDEX($P$1005:$S$1005,1,MATCH(COLUMNS($P$1006:P1006),$P$1006:$S$1006,0))&gt;=100000), " ",IF(INDEX($P$2:$S$1001,MATCH(ROWS($I$2:I913),$I$2:$I$1001,0),MATCH(COLUMNS($P$1006:P1006),$P$1006:$S$1006,0)), HYPERLINK("#",""), HYPERLINK(CONCATENATE("#metadata!", ADDRESS(INDEX($K$2:$K$1001,MATCH(ROWS($I$2:I913),$I$2:$I$1001,0),0), INDEX($P$1004:$S$1004,1,MATCH(COLUMNS($P$1006:P1006),$P$1006:$S$1006,0)))),"Fix")))</f>
        <v>0</v>
      </c>
      <c r="C913" s="3">
        <f>IF(OR(INDEX($J$2:$J$1001,MATCH(ROWS($I$2:I913),$I$2:$I$1001,0),1)&gt;=100000,INDEX($P$1005:$S$1005,1,MATCH(COLUMNS($P$1006:Q1006),$P$1006:$S$1006,0))&gt;=100000), " ",IF(INDEX($P$2:$S$1001,MATCH(ROWS($I$2:I913),$I$2:$I$1001,0),MATCH(COLUMNS($P$1006:Q1006),$P$1006:$S$1006,0)), HYPERLINK("#",""), HYPERLINK(CONCATENATE("#metadata!", ADDRESS(INDEX($K$2:$K$1001,MATCH(ROWS($I$2:I913),$I$2:$I$1001,0),0), INDEX($P$1004:$S$1004,1,MATCH(COLUMNS($P$1006:Q1006),$P$1006:$S$1006,0)))),"Fix")))</f>
        <v>0</v>
      </c>
      <c r="D913" s="3">
        <f>IF(OR(INDEX($J$2:$J$1001,MATCH(ROWS($I$2:I913),$I$2:$I$1001,0),1)&gt;=100000,INDEX($P$1005:$S$1005,1,MATCH(COLUMNS($P$1006:R1006),$P$1006:$S$1006,0))&gt;=100000), " ",IF(INDEX($P$2:$S$1001,MATCH(ROWS($I$2:I913),$I$2:$I$1001,0),MATCH(COLUMNS($P$1006:R1006),$P$1006:$S$1006,0)), HYPERLINK("#",""), HYPERLINK(CONCATENATE("#metadata!", ADDRESS(INDEX($K$2:$K$1001,MATCH(ROWS($I$2:I913),$I$2:$I$1001,0),0), INDEX($P$1004:$S$1004,1,MATCH(COLUMNS($P$1006:R1006),$P$1006:$S$1006,0)))),"Fix")))</f>
        <v>0</v>
      </c>
      <c r="E913" s="3">
        <f>IF(OR(INDEX($J$2:$J$1001,MATCH(ROWS($I$2:I913),$I$2:$I$1001,0),1)&gt;=100000,INDEX($P$1005:$S$1005,1,MATCH(COLUMNS($P$1006:S1006),$P$1006:$S$1006,0))&gt;=100000), " ",IF(INDEX($P$2:$S$1001,MATCH(ROWS($I$2:I913),$I$2:$I$1001,0),MATCH(COLUMNS($P$1006:S1006),$P$1006:$S$1006,0)), HYPERLINK("#",""), HYPERLINK(CONCATENATE("#metadata!", ADDRESS(INDEX($K$2:$K$1001,MATCH(ROWS($I$2:I913),$I$2:$I$1001,0),0), INDEX($P$1004:$S$1004,1,MATCH(COLUMNS($P$1006:S1006),$P$1006:$S$1006,0)))),"Fix")))</f>
        <v>0</v>
      </c>
      <c r="I913">
        <v>0</v>
      </c>
      <c r="J913">
        <v>0</v>
      </c>
      <c r="K913">
        <v>0</v>
      </c>
      <c r="L913">
        <f>IF(M913,TRUE,AND(P913:S913))</f>
        <v>0</v>
      </c>
      <c r="M913">
        <f>COUNTBLANK(metadata!B913:E913)=COLUMNS(metadata!B913:E913)</f>
        <v>0</v>
      </c>
      <c r="N913">
        <v>0</v>
      </c>
      <c r="P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Q913">
        <f>AND(IF(metadata!C913="",FALSE,TRUE),exact(metadata!C913,"other"))</f>
        <v>0</v>
      </c>
      <c r="R913">
        <f>AND(IF(metadata!D913="",FALSE,TRUE),exact(metadata!D913,"metagenome"))</f>
        <v>0</v>
      </c>
      <c r="S913">
        <f>AND(IF(metadata!E913="",FALSE,TRUE),exact(metadata!E913,"256318"))</f>
        <v>0</v>
      </c>
    </row>
    <row r="914" spans="1:19">
      <c r="A914" s="4">
        <f>IF(B914=" "," ",HYPERLINK(CONCATENATE("#metadata!",ADDRESS(INDEX($K$2:$K$1001,MATCH(ROWS($I$2:I914),$I$2:$I$1001,0),0),1)),INDEX($N$2:$N$1001,MATCH(ROWS($I$2:I914),$I$2:$I$1001,0),0)))</f>
        <v>0</v>
      </c>
      <c r="B914" s="3">
        <f>IF(OR(INDEX($J$2:$J$1001,MATCH(ROWS($I$2:I914),$I$2:$I$1001,0),1)&gt;=100000,INDEX($P$1005:$S$1005,1,MATCH(COLUMNS($P$1006:P1006),$P$1006:$S$1006,0))&gt;=100000), " ",IF(INDEX($P$2:$S$1001,MATCH(ROWS($I$2:I914),$I$2:$I$1001,0),MATCH(COLUMNS($P$1006:P1006),$P$1006:$S$1006,0)), HYPERLINK("#",""), HYPERLINK(CONCATENATE("#metadata!", ADDRESS(INDEX($K$2:$K$1001,MATCH(ROWS($I$2:I914),$I$2:$I$1001,0),0), INDEX($P$1004:$S$1004,1,MATCH(COLUMNS($P$1006:P1006),$P$1006:$S$1006,0)))),"Fix")))</f>
        <v>0</v>
      </c>
      <c r="C914" s="3">
        <f>IF(OR(INDEX($J$2:$J$1001,MATCH(ROWS($I$2:I914),$I$2:$I$1001,0),1)&gt;=100000,INDEX($P$1005:$S$1005,1,MATCH(COLUMNS($P$1006:Q1006),$P$1006:$S$1006,0))&gt;=100000), " ",IF(INDEX($P$2:$S$1001,MATCH(ROWS($I$2:I914),$I$2:$I$1001,0),MATCH(COLUMNS($P$1006:Q1006),$P$1006:$S$1006,0)), HYPERLINK("#",""), HYPERLINK(CONCATENATE("#metadata!", ADDRESS(INDEX($K$2:$K$1001,MATCH(ROWS($I$2:I914),$I$2:$I$1001,0),0), INDEX($P$1004:$S$1004,1,MATCH(COLUMNS($P$1006:Q1006),$P$1006:$S$1006,0)))),"Fix")))</f>
        <v>0</v>
      </c>
      <c r="D914" s="3">
        <f>IF(OR(INDEX($J$2:$J$1001,MATCH(ROWS($I$2:I914),$I$2:$I$1001,0),1)&gt;=100000,INDEX($P$1005:$S$1005,1,MATCH(COLUMNS($P$1006:R1006),$P$1006:$S$1006,0))&gt;=100000), " ",IF(INDEX($P$2:$S$1001,MATCH(ROWS($I$2:I914),$I$2:$I$1001,0),MATCH(COLUMNS($P$1006:R1006),$P$1006:$S$1006,0)), HYPERLINK("#",""), HYPERLINK(CONCATENATE("#metadata!", ADDRESS(INDEX($K$2:$K$1001,MATCH(ROWS($I$2:I914),$I$2:$I$1001,0),0), INDEX($P$1004:$S$1004,1,MATCH(COLUMNS($P$1006:R1006),$P$1006:$S$1006,0)))),"Fix")))</f>
        <v>0</v>
      </c>
      <c r="E914" s="3">
        <f>IF(OR(INDEX($J$2:$J$1001,MATCH(ROWS($I$2:I914),$I$2:$I$1001,0),1)&gt;=100000,INDEX($P$1005:$S$1005,1,MATCH(COLUMNS($P$1006:S1006),$P$1006:$S$1006,0))&gt;=100000), " ",IF(INDEX($P$2:$S$1001,MATCH(ROWS($I$2:I914),$I$2:$I$1001,0),MATCH(COLUMNS($P$1006:S1006),$P$1006:$S$1006,0)), HYPERLINK("#",""), HYPERLINK(CONCATENATE("#metadata!", ADDRESS(INDEX($K$2:$K$1001,MATCH(ROWS($I$2:I914),$I$2:$I$1001,0),0), INDEX($P$1004:$S$1004,1,MATCH(COLUMNS($P$1006:S1006),$P$1006:$S$1006,0)))),"Fix")))</f>
        <v>0</v>
      </c>
      <c r="I914">
        <v>0</v>
      </c>
      <c r="J914">
        <v>0</v>
      </c>
      <c r="K914">
        <v>0</v>
      </c>
      <c r="L914">
        <f>IF(M914,TRUE,AND(P914:S914))</f>
        <v>0</v>
      </c>
      <c r="M914">
        <f>COUNTBLANK(metadata!B914:E914)=COLUMNS(metadata!B914:E914)</f>
        <v>0</v>
      </c>
      <c r="N914">
        <v>0</v>
      </c>
      <c r="P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Q914">
        <f>AND(IF(metadata!C914="",FALSE,TRUE),exact(metadata!C914,"other"))</f>
        <v>0</v>
      </c>
      <c r="R914">
        <f>AND(IF(metadata!D914="",FALSE,TRUE),exact(metadata!D914,"metagenome"))</f>
        <v>0</v>
      </c>
      <c r="S914">
        <f>AND(IF(metadata!E914="",FALSE,TRUE),exact(metadata!E914,"256318"))</f>
        <v>0</v>
      </c>
    </row>
    <row r="915" spans="1:19">
      <c r="A915" s="4">
        <f>IF(B915=" "," ",HYPERLINK(CONCATENATE("#metadata!",ADDRESS(INDEX($K$2:$K$1001,MATCH(ROWS($I$2:I915),$I$2:$I$1001,0),0),1)),INDEX($N$2:$N$1001,MATCH(ROWS($I$2:I915),$I$2:$I$1001,0),0)))</f>
        <v>0</v>
      </c>
      <c r="B915" s="3">
        <f>IF(OR(INDEX($J$2:$J$1001,MATCH(ROWS($I$2:I915),$I$2:$I$1001,0),1)&gt;=100000,INDEX($P$1005:$S$1005,1,MATCH(COLUMNS($P$1006:P1006),$P$1006:$S$1006,0))&gt;=100000), " ",IF(INDEX($P$2:$S$1001,MATCH(ROWS($I$2:I915),$I$2:$I$1001,0),MATCH(COLUMNS($P$1006:P1006),$P$1006:$S$1006,0)), HYPERLINK("#",""), HYPERLINK(CONCATENATE("#metadata!", ADDRESS(INDEX($K$2:$K$1001,MATCH(ROWS($I$2:I915),$I$2:$I$1001,0),0), INDEX($P$1004:$S$1004,1,MATCH(COLUMNS($P$1006:P1006),$P$1006:$S$1006,0)))),"Fix")))</f>
        <v>0</v>
      </c>
      <c r="C915" s="3">
        <f>IF(OR(INDEX($J$2:$J$1001,MATCH(ROWS($I$2:I915),$I$2:$I$1001,0),1)&gt;=100000,INDEX($P$1005:$S$1005,1,MATCH(COLUMNS($P$1006:Q1006),$P$1006:$S$1006,0))&gt;=100000), " ",IF(INDEX($P$2:$S$1001,MATCH(ROWS($I$2:I915),$I$2:$I$1001,0),MATCH(COLUMNS($P$1006:Q1006),$P$1006:$S$1006,0)), HYPERLINK("#",""), HYPERLINK(CONCATENATE("#metadata!", ADDRESS(INDEX($K$2:$K$1001,MATCH(ROWS($I$2:I915),$I$2:$I$1001,0),0), INDEX($P$1004:$S$1004,1,MATCH(COLUMNS($P$1006:Q1006),$P$1006:$S$1006,0)))),"Fix")))</f>
        <v>0</v>
      </c>
      <c r="D915" s="3">
        <f>IF(OR(INDEX($J$2:$J$1001,MATCH(ROWS($I$2:I915),$I$2:$I$1001,0),1)&gt;=100000,INDEX($P$1005:$S$1005,1,MATCH(COLUMNS($P$1006:R1006),$P$1006:$S$1006,0))&gt;=100000), " ",IF(INDEX($P$2:$S$1001,MATCH(ROWS($I$2:I915),$I$2:$I$1001,0),MATCH(COLUMNS($P$1006:R1006),$P$1006:$S$1006,0)), HYPERLINK("#",""), HYPERLINK(CONCATENATE("#metadata!", ADDRESS(INDEX($K$2:$K$1001,MATCH(ROWS($I$2:I915),$I$2:$I$1001,0),0), INDEX($P$1004:$S$1004,1,MATCH(COLUMNS($P$1006:R1006),$P$1006:$S$1006,0)))),"Fix")))</f>
        <v>0</v>
      </c>
      <c r="E915" s="3">
        <f>IF(OR(INDEX($J$2:$J$1001,MATCH(ROWS($I$2:I915),$I$2:$I$1001,0),1)&gt;=100000,INDEX($P$1005:$S$1005,1,MATCH(COLUMNS($P$1006:S1006),$P$1006:$S$1006,0))&gt;=100000), " ",IF(INDEX($P$2:$S$1001,MATCH(ROWS($I$2:I915),$I$2:$I$1001,0),MATCH(COLUMNS($P$1006:S1006),$P$1006:$S$1006,0)), HYPERLINK("#",""), HYPERLINK(CONCATENATE("#metadata!", ADDRESS(INDEX($K$2:$K$1001,MATCH(ROWS($I$2:I915),$I$2:$I$1001,0),0), INDEX($P$1004:$S$1004,1,MATCH(COLUMNS($P$1006:S1006),$P$1006:$S$1006,0)))),"Fix")))</f>
        <v>0</v>
      </c>
      <c r="I915">
        <v>0</v>
      </c>
      <c r="J915">
        <v>0</v>
      </c>
      <c r="K915">
        <v>0</v>
      </c>
      <c r="L915">
        <f>IF(M915,TRUE,AND(P915:S915))</f>
        <v>0</v>
      </c>
      <c r="M915">
        <f>COUNTBLANK(metadata!B915:E915)=COLUMNS(metadata!B915:E915)</f>
        <v>0</v>
      </c>
      <c r="N915">
        <v>0</v>
      </c>
      <c r="P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Q915">
        <f>AND(IF(metadata!C915="",FALSE,TRUE),exact(metadata!C915,"other"))</f>
        <v>0</v>
      </c>
      <c r="R915">
        <f>AND(IF(metadata!D915="",FALSE,TRUE),exact(metadata!D915,"metagenome"))</f>
        <v>0</v>
      </c>
      <c r="S915">
        <f>AND(IF(metadata!E915="",FALSE,TRUE),exact(metadata!E915,"256318"))</f>
        <v>0</v>
      </c>
    </row>
    <row r="916" spans="1:19">
      <c r="A916" s="4">
        <f>IF(B916=" "," ",HYPERLINK(CONCATENATE("#metadata!",ADDRESS(INDEX($K$2:$K$1001,MATCH(ROWS($I$2:I916),$I$2:$I$1001,0),0),1)),INDEX($N$2:$N$1001,MATCH(ROWS($I$2:I916),$I$2:$I$1001,0),0)))</f>
        <v>0</v>
      </c>
      <c r="B916" s="3">
        <f>IF(OR(INDEX($J$2:$J$1001,MATCH(ROWS($I$2:I916),$I$2:$I$1001,0),1)&gt;=100000,INDEX($P$1005:$S$1005,1,MATCH(COLUMNS($P$1006:P1006),$P$1006:$S$1006,0))&gt;=100000), " ",IF(INDEX($P$2:$S$1001,MATCH(ROWS($I$2:I916),$I$2:$I$1001,0),MATCH(COLUMNS($P$1006:P1006),$P$1006:$S$1006,0)), HYPERLINK("#",""), HYPERLINK(CONCATENATE("#metadata!", ADDRESS(INDEX($K$2:$K$1001,MATCH(ROWS($I$2:I916),$I$2:$I$1001,0),0), INDEX($P$1004:$S$1004,1,MATCH(COLUMNS($P$1006:P1006),$P$1006:$S$1006,0)))),"Fix")))</f>
        <v>0</v>
      </c>
      <c r="C916" s="3">
        <f>IF(OR(INDEX($J$2:$J$1001,MATCH(ROWS($I$2:I916),$I$2:$I$1001,0),1)&gt;=100000,INDEX($P$1005:$S$1005,1,MATCH(COLUMNS($P$1006:Q1006),$P$1006:$S$1006,0))&gt;=100000), " ",IF(INDEX($P$2:$S$1001,MATCH(ROWS($I$2:I916),$I$2:$I$1001,0),MATCH(COLUMNS($P$1006:Q1006),$P$1006:$S$1006,0)), HYPERLINK("#",""), HYPERLINK(CONCATENATE("#metadata!", ADDRESS(INDEX($K$2:$K$1001,MATCH(ROWS($I$2:I916),$I$2:$I$1001,0),0), INDEX($P$1004:$S$1004,1,MATCH(COLUMNS($P$1006:Q1006),$P$1006:$S$1006,0)))),"Fix")))</f>
        <v>0</v>
      </c>
      <c r="D916" s="3">
        <f>IF(OR(INDEX($J$2:$J$1001,MATCH(ROWS($I$2:I916),$I$2:$I$1001,0),1)&gt;=100000,INDEX($P$1005:$S$1005,1,MATCH(COLUMNS($P$1006:R1006),$P$1006:$S$1006,0))&gt;=100000), " ",IF(INDEX($P$2:$S$1001,MATCH(ROWS($I$2:I916),$I$2:$I$1001,0),MATCH(COLUMNS($P$1006:R1006),$P$1006:$S$1006,0)), HYPERLINK("#",""), HYPERLINK(CONCATENATE("#metadata!", ADDRESS(INDEX($K$2:$K$1001,MATCH(ROWS($I$2:I916),$I$2:$I$1001,0),0), INDEX($P$1004:$S$1004,1,MATCH(COLUMNS($P$1006:R1006),$P$1006:$S$1006,0)))),"Fix")))</f>
        <v>0</v>
      </c>
      <c r="E916" s="3">
        <f>IF(OR(INDEX($J$2:$J$1001,MATCH(ROWS($I$2:I916),$I$2:$I$1001,0),1)&gt;=100000,INDEX($P$1005:$S$1005,1,MATCH(COLUMNS($P$1006:S1006),$P$1006:$S$1006,0))&gt;=100000), " ",IF(INDEX($P$2:$S$1001,MATCH(ROWS($I$2:I916),$I$2:$I$1001,0),MATCH(COLUMNS($P$1006:S1006),$P$1006:$S$1006,0)), HYPERLINK("#",""), HYPERLINK(CONCATENATE("#metadata!", ADDRESS(INDEX($K$2:$K$1001,MATCH(ROWS($I$2:I916),$I$2:$I$1001,0),0), INDEX($P$1004:$S$1004,1,MATCH(COLUMNS($P$1006:S1006),$P$1006:$S$1006,0)))),"Fix")))</f>
        <v>0</v>
      </c>
      <c r="I916">
        <v>0</v>
      </c>
      <c r="J916">
        <v>0</v>
      </c>
      <c r="K916">
        <v>0</v>
      </c>
      <c r="L916">
        <f>IF(M916,TRUE,AND(P916:S916))</f>
        <v>0</v>
      </c>
      <c r="M916">
        <f>COUNTBLANK(metadata!B916:E916)=COLUMNS(metadata!B916:E916)</f>
        <v>0</v>
      </c>
      <c r="N916">
        <v>0</v>
      </c>
      <c r="P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Q916">
        <f>AND(IF(metadata!C916="",FALSE,TRUE),exact(metadata!C916,"other"))</f>
        <v>0</v>
      </c>
      <c r="R916">
        <f>AND(IF(metadata!D916="",FALSE,TRUE),exact(metadata!D916,"metagenome"))</f>
        <v>0</v>
      </c>
      <c r="S916">
        <f>AND(IF(metadata!E916="",FALSE,TRUE),exact(metadata!E916,"256318"))</f>
        <v>0</v>
      </c>
    </row>
    <row r="917" spans="1:19">
      <c r="A917" s="4">
        <f>IF(B917=" "," ",HYPERLINK(CONCATENATE("#metadata!",ADDRESS(INDEX($K$2:$K$1001,MATCH(ROWS($I$2:I917),$I$2:$I$1001,0),0),1)),INDEX($N$2:$N$1001,MATCH(ROWS($I$2:I917),$I$2:$I$1001,0),0)))</f>
        <v>0</v>
      </c>
      <c r="B917" s="3">
        <f>IF(OR(INDEX($J$2:$J$1001,MATCH(ROWS($I$2:I917),$I$2:$I$1001,0),1)&gt;=100000,INDEX($P$1005:$S$1005,1,MATCH(COLUMNS($P$1006:P1006),$P$1006:$S$1006,0))&gt;=100000), " ",IF(INDEX($P$2:$S$1001,MATCH(ROWS($I$2:I917),$I$2:$I$1001,0),MATCH(COLUMNS($P$1006:P1006),$P$1006:$S$1006,0)), HYPERLINK("#",""), HYPERLINK(CONCATENATE("#metadata!", ADDRESS(INDEX($K$2:$K$1001,MATCH(ROWS($I$2:I917),$I$2:$I$1001,0),0), INDEX($P$1004:$S$1004,1,MATCH(COLUMNS($P$1006:P1006),$P$1006:$S$1006,0)))),"Fix")))</f>
        <v>0</v>
      </c>
      <c r="C917" s="3">
        <f>IF(OR(INDEX($J$2:$J$1001,MATCH(ROWS($I$2:I917),$I$2:$I$1001,0),1)&gt;=100000,INDEX($P$1005:$S$1005,1,MATCH(COLUMNS($P$1006:Q1006),$P$1006:$S$1006,0))&gt;=100000), " ",IF(INDEX($P$2:$S$1001,MATCH(ROWS($I$2:I917),$I$2:$I$1001,0),MATCH(COLUMNS($P$1006:Q1006),$P$1006:$S$1006,0)), HYPERLINK("#",""), HYPERLINK(CONCATENATE("#metadata!", ADDRESS(INDEX($K$2:$K$1001,MATCH(ROWS($I$2:I917),$I$2:$I$1001,0),0), INDEX($P$1004:$S$1004,1,MATCH(COLUMNS($P$1006:Q1006),$P$1006:$S$1006,0)))),"Fix")))</f>
        <v>0</v>
      </c>
      <c r="D917" s="3">
        <f>IF(OR(INDEX($J$2:$J$1001,MATCH(ROWS($I$2:I917),$I$2:$I$1001,0),1)&gt;=100000,INDEX($P$1005:$S$1005,1,MATCH(COLUMNS($P$1006:R1006),$P$1006:$S$1006,0))&gt;=100000), " ",IF(INDEX($P$2:$S$1001,MATCH(ROWS($I$2:I917),$I$2:$I$1001,0),MATCH(COLUMNS($P$1006:R1006),$P$1006:$S$1006,0)), HYPERLINK("#",""), HYPERLINK(CONCATENATE("#metadata!", ADDRESS(INDEX($K$2:$K$1001,MATCH(ROWS($I$2:I917),$I$2:$I$1001,0),0), INDEX($P$1004:$S$1004,1,MATCH(COLUMNS($P$1006:R1006),$P$1006:$S$1006,0)))),"Fix")))</f>
        <v>0</v>
      </c>
      <c r="E917" s="3">
        <f>IF(OR(INDEX($J$2:$J$1001,MATCH(ROWS($I$2:I917),$I$2:$I$1001,0),1)&gt;=100000,INDEX($P$1005:$S$1005,1,MATCH(COLUMNS($P$1006:S1006),$P$1006:$S$1006,0))&gt;=100000), " ",IF(INDEX($P$2:$S$1001,MATCH(ROWS($I$2:I917),$I$2:$I$1001,0),MATCH(COLUMNS($P$1006:S1006),$P$1006:$S$1006,0)), HYPERLINK("#",""), HYPERLINK(CONCATENATE("#metadata!", ADDRESS(INDEX($K$2:$K$1001,MATCH(ROWS($I$2:I917),$I$2:$I$1001,0),0), INDEX($P$1004:$S$1004,1,MATCH(COLUMNS($P$1006:S1006),$P$1006:$S$1006,0)))),"Fix")))</f>
        <v>0</v>
      </c>
      <c r="I917">
        <v>0</v>
      </c>
      <c r="J917">
        <v>0</v>
      </c>
      <c r="K917">
        <v>0</v>
      </c>
      <c r="L917">
        <f>IF(M917,TRUE,AND(P917:S917))</f>
        <v>0</v>
      </c>
      <c r="M917">
        <f>COUNTBLANK(metadata!B917:E917)=COLUMNS(metadata!B917:E917)</f>
        <v>0</v>
      </c>
      <c r="N917">
        <v>0</v>
      </c>
      <c r="P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Q917">
        <f>AND(IF(metadata!C917="",FALSE,TRUE),exact(metadata!C917,"other"))</f>
        <v>0</v>
      </c>
      <c r="R917">
        <f>AND(IF(metadata!D917="",FALSE,TRUE),exact(metadata!D917,"metagenome"))</f>
        <v>0</v>
      </c>
      <c r="S917">
        <f>AND(IF(metadata!E917="",FALSE,TRUE),exact(metadata!E917,"256318"))</f>
        <v>0</v>
      </c>
    </row>
    <row r="918" spans="1:19">
      <c r="A918" s="4">
        <f>IF(B918=" "," ",HYPERLINK(CONCATENATE("#metadata!",ADDRESS(INDEX($K$2:$K$1001,MATCH(ROWS($I$2:I918),$I$2:$I$1001,0),0),1)),INDEX($N$2:$N$1001,MATCH(ROWS($I$2:I918),$I$2:$I$1001,0),0)))</f>
        <v>0</v>
      </c>
      <c r="B918" s="3">
        <f>IF(OR(INDEX($J$2:$J$1001,MATCH(ROWS($I$2:I918),$I$2:$I$1001,0),1)&gt;=100000,INDEX($P$1005:$S$1005,1,MATCH(COLUMNS($P$1006:P1006),$P$1006:$S$1006,0))&gt;=100000), " ",IF(INDEX($P$2:$S$1001,MATCH(ROWS($I$2:I918),$I$2:$I$1001,0),MATCH(COLUMNS($P$1006:P1006),$P$1006:$S$1006,0)), HYPERLINK("#",""), HYPERLINK(CONCATENATE("#metadata!", ADDRESS(INDEX($K$2:$K$1001,MATCH(ROWS($I$2:I918),$I$2:$I$1001,0),0), INDEX($P$1004:$S$1004,1,MATCH(COLUMNS($P$1006:P1006),$P$1006:$S$1006,0)))),"Fix")))</f>
        <v>0</v>
      </c>
      <c r="C918" s="3">
        <f>IF(OR(INDEX($J$2:$J$1001,MATCH(ROWS($I$2:I918),$I$2:$I$1001,0),1)&gt;=100000,INDEX($P$1005:$S$1005,1,MATCH(COLUMNS($P$1006:Q1006),$P$1006:$S$1006,0))&gt;=100000), " ",IF(INDEX($P$2:$S$1001,MATCH(ROWS($I$2:I918),$I$2:$I$1001,0),MATCH(COLUMNS($P$1006:Q1006),$P$1006:$S$1006,0)), HYPERLINK("#",""), HYPERLINK(CONCATENATE("#metadata!", ADDRESS(INDEX($K$2:$K$1001,MATCH(ROWS($I$2:I918),$I$2:$I$1001,0),0), INDEX($P$1004:$S$1004,1,MATCH(COLUMNS($P$1006:Q1006),$P$1006:$S$1006,0)))),"Fix")))</f>
        <v>0</v>
      </c>
      <c r="D918" s="3">
        <f>IF(OR(INDEX($J$2:$J$1001,MATCH(ROWS($I$2:I918),$I$2:$I$1001,0),1)&gt;=100000,INDEX($P$1005:$S$1005,1,MATCH(COLUMNS($P$1006:R1006),$P$1006:$S$1006,0))&gt;=100000), " ",IF(INDEX($P$2:$S$1001,MATCH(ROWS($I$2:I918),$I$2:$I$1001,0),MATCH(COLUMNS($P$1006:R1006),$P$1006:$S$1006,0)), HYPERLINK("#",""), HYPERLINK(CONCATENATE("#metadata!", ADDRESS(INDEX($K$2:$K$1001,MATCH(ROWS($I$2:I918),$I$2:$I$1001,0),0), INDEX($P$1004:$S$1004,1,MATCH(COLUMNS($P$1006:R1006),$P$1006:$S$1006,0)))),"Fix")))</f>
        <v>0</v>
      </c>
      <c r="E918" s="3">
        <f>IF(OR(INDEX($J$2:$J$1001,MATCH(ROWS($I$2:I918),$I$2:$I$1001,0),1)&gt;=100000,INDEX($P$1005:$S$1005,1,MATCH(COLUMNS($P$1006:S1006),$P$1006:$S$1006,0))&gt;=100000), " ",IF(INDEX($P$2:$S$1001,MATCH(ROWS($I$2:I918),$I$2:$I$1001,0),MATCH(COLUMNS($P$1006:S1006),$P$1006:$S$1006,0)), HYPERLINK("#",""), HYPERLINK(CONCATENATE("#metadata!", ADDRESS(INDEX($K$2:$K$1001,MATCH(ROWS($I$2:I918),$I$2:$I$1001,0),0), INDEX($P$1004:$S$1004,1,MATCH(COLUMNS($P$1006:S1006),$P$1006:$S$1006,0)))),"Fix")))</f>
        <v>0</v>
      </c>
      <c r="I918">
        <v>0</v>
      </c>
      <c r="J918">
        <v>0</v>
      </c>
      <c r="K918">
        <v>0</v>
      </c>
      <c r="L918">
        <f>IF(M918,TRUE,AND(P918:S918))</f>
        <v>0</v>
      </c>
      <c r="M918">
        <f>COUNTBLANK(metadata!B918:E918)=COLUMNS(metadata!B918:E918)</f>
        <v>0</v>
      </c>
      <c r="N918">
        <v>0</v>
      </c>
      <c r="P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Q918">
        <f>AND(IF(metadata!C918="",FALSE,TRUE),exact(metadata!C918,"other"))</f>
        <v>0</v>
      </c>
      <c r="R918">
        <f>AND(IF(metadata!D918="",FALSE,TRUE),exact(metadata!D918,"metagenome"))</f>
        <v>0</v>
      </c>
      <c r="S918">
        <f>AND(IF(metadata!E918="",FALSE,TRUE),exact(metadata!E918,"256318"))</f>
        <v>0</v>
      </c>
    </row>
    <row r="919" spans="1:19">
      <c r="A919" s="4">
        <f>IF(B919=" "," ",HYPERLINK(CONCATENATE("#metadata!",ADDRESS(INDEX($K$2:$K$1001,MATCH(ROWS($I$2:I919),$I$2:$I$1001,0),0),1)),INDEX($N$2:$N$1001,MATCH(ROWS($I$2:I919),$I$2:$I$1001,0),0)))</f>
        <v>0</v>
      </c>
      <c r="B919" s="3">
        <f>IF(OR(INDEX($J$2:$J$1001,MATCH(ROWS($I$2:I919),$I$2:$I$1001,0),1)&gt;=100000,INDEX($P$1005:$S$1005,1,MATCH(COLUMNS($P$1006:P1006),$P$1006:$S$1006,0))&gt;=100000), " ",IF(INDEX($P$2:$S$1001,MATCH(ROWS($I$2:I919),$I$2:$I$1001,0),MATCH(COLUMNS($P$1006:P1006),$P$1006:$S$1006,0)), HYPERLINK("#",""), HYPERLINK(CONCATENATE("#metadata!", ADDRESS(INDEX($K$2:$K$1001,MATCH(ROWS($I$2:I919),$I$2:$I$1001,0),0), INDEX($P$1004:$S$1004,1,MATCH(COLUMNS($P$1006:P1006),$P$1006:$S$1006,0)))),"Fix")))</f>
        <v>0</v>
      </c>
      <c r="C919" s="3">
        <f>IF(OR(INDEX($J$2:$J$1001,MATCH(ROWS($I$2:I919),$I$2:$I$1001,0),1)&gt;=100000,INDEX($P$1005:$S$1005,1,MATCH(COLUMNS($P$1006:Q1006),$P$1006:$S$1006,0))&gt;=100000), " ",IF(INDEX($P$2:$S$1001,MATCH(ROWS($I$2:I919),$I$2:$I$1001,0),MATCH(COLUMNS($P$1006:Q1006),$P$1006:$S$1006,0)), HYPERLINK("#",""), HYPERLINK(CONCATENATE("#metadata!", ADDRESS(INDEX($K$2:$K$1001,MATCH(ROWS($I$2:I919),$I$2:$I$1001,0),0), INDEX($P$1004:$S$1004,1,MATCH(COLUMNS($P$1006:Q1006),$P$1006:$S$1006,0)))),"Fix")))</f>
        <v>0</v>
      </c>
      <c r="D919" s="3">
        <f>IF(OR(INDEX($J$2:$J$1001,MATCH(ROWS($I$2:I919),$I$2:$I$1001,0),1)&gt;=100000,INDEX($P$1005:$S$1005,1,MATCH(COLUMNS($P$1006:R1006),$P$1006:$S$1006,0))&gt;=100000), " ",IF(INDEX($P$2:$S$1001,MATCH(ROWS($I$2:I919),$I$2:$I$1001,0),MATCH(COLUMNS($P$1006:R1006),$P$1006:$S$1006,0)), HYPERLINK("#",""), HYPERLINK(CONCATENATE("#metadata!", ADDRESS(INDEX($K$2:$K$1001,MATCH(ROWS($I$2:I919),$I$2:$I$1001,0),0), INDEX($P$1004:$S$1004,1,MATCH(COLUMNS($P$1006:R1006),$P$1006:$S$1006,0)))),"Fix")))</f>
        <v>0</v>
      </c>
      <c r="E919" s="3">
        <f>IF(OR(INDEX($J$2:$J$1001,MATCH(ROWS($I$2:I919),$I$2:$I$1001,0),1)&gt;=100000,INDEX($P$1005:$S$1005,1,MATCH(COLUMNS($P$1006:S1006),$P$1006:$S$1006,0))&gt;=100000), " ",IF(INDEX($P$2:$S$1001,MATCH(ROWS($I$2:I919),$I$2:$I$1001,0),MATCH(COLUMNS($P$1006:S1006),$P$1006:$S$1006,0)), HYPERLINK("#",""), HYPERLINK(CONCATENATE("#metadata!", ADDRESS(INDEX($K$2:$K$1001,MATCH(ROWS($I$2:I919),$I$2:$I$1001,0),0), INDEX($P$1004:$S$1004,1,MATCH(COLUMNS($P$1006:S1006),$P$1006:$S$1006,0)))),"Fix")))</f>
        <v>0</v>
      </c>
      <c r="I919">
        <v>0</v>
      </c>
      <c r="J919">
        <v>0</v>
      </c>
      <c r="K919">
        <v>0</v>
      </c>
      <c r="L919">
        <f>IF(M919,TRUE,AND(P919:S919))</f>
        <v>0</v>
      </c>
      <c r="M919">
        <f>COUNTBLANK(metadata!B919:E919)=COLUMNS(metadata!B919:E919)</f>
        <v>0</v>
      </c>
      <c r="N919">
        <v>0</v>
      </c>
      <c r="P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Q919">
        <f>AND(IF(metadata!C919="",FALSE,TRUE),exact(metadata!C919,"other"))</f>
        <v>0</v>
      </c>
      <c r="R919">
        <f>AND(IF(metadata!D919="",FALSE,TRUE),exact(metadata!D919,"metagenome"))</f>
        <v>0</v>
      </c>
      <c r="S919">
        <f>AND(IF(metadata!E919="",FALSE,TRUE),exact(metadata!E919,"256318"))</f>
        <v>0</v>
      </c>
    </row>
    <row r="920" spans="1:19">
      <c r="A920" s="4">
        <f>IF(B920=" "," ",HYPERLINK(CONCATENATE("#metadata!",ADDRESS(INDEX($K$2:$K$1001,MATCH(ROWS($I$2:I920),$I$2:$I$1001,0),0),1)),INDEX($N$2:$N$1001,MATCH(ROWS($I$2:I920),$I$2:$I$1001,0),0)))</f>
        <v>0</v>
      </c>
      <c r="B920" s="3">
        <f>IF(OR(INDEX($J$2:$J$1001,MATCH(ROWS($I$2:I920),$I$2:$I$1001,0),1)&gt;=100000,INDEX($P$1005:$S$1005,1,MATCH(COLUMNS($P$1006:P1006),$P$1006:$S$1006,0))&gt;=100000), " ",IF(INDEX($P$2:$S$1001,MATCH(ROWS($I$2:I920),$I$2:$I$1001,0),MATCH(COLUMNS($P$1006:P1006),$P$1006:$S$1006,0)), HYPERLINK("#",""), HYPERLINK(CONCATENATE("#metadata!", ADDRESS(INDEX($K$2:$K$1001,MATCH(ROWS($I$2:I920),$I$2:$I$1001,0),0), INDEX($P$1004:$S$1004,1,MATCH(COLUMNS($P$1006:P1006),$P$1006:$S$1006,0)))),"Fix")))</f>
        <v>0</v>
      </c>
      <c r="C920" s="3">
        <f>IF(OR(INDEX($J$2:$J$1001,MATCH(ROWS($I$2:I920),$I$2:$I$1001,0),1)&gt;=100000,INDEX($P$1005:$S$1005,1,MATCH(COLUMNS($P$1006:Q1006),$P$1006:$S$1006,0))&gt;=100000), " ",IF(INDEX($P$2:$S$1001,MATCH(ROWS($I$2:I920),$I$2:$I$1001,0),MATCH(COLUMNS($P$1006:Q1006),$P$1006:$S$1006,0)), HYPERLINK("#",""), HYPERLINK(CONCATENATE("#metadata!", ADDRESS(INDEX($K$2:$K$1001,MATCH(ROWS($I$2:I920),$I$2:$I$1001,0),0), INDEX($P$1004:$S$1004,1,MATCH(COLUMNS($P$1006:Q1006),$P$1006:$S$1006,0)))),"Fix")))</f>
        <v>0</v>
      </c>
      <c r="D920" s="3">
        <f>IF(OR(INDEX($J$2:$J$1001,MATCH(ROWS($I$2:I920),$I$2:$I$1001,0),1)&gt;=100000,INDEX($P$1005:$S$1005,1,MATCH(COLUMNS($P$1006:R1006),$P$1006:$S$1006,0))&gt;=100000), " ",IF(INDEX($P$2:$S$1001,MATCH(ROWS($I$2:I920),$I$2:$I$1001,0),MATCH(COLUMNS($P$1006:R1006),$P$1006:$S$1006,0)), HYPERLINK("#",""), HYPERLINK(CONCATENATE("#metadata!", ADDRESS(INDEX($K$2:$K$1001,MATCH(ROWS($I$2:I920),$I$2:$I$1001,0),0), INDEX($P$1004:$S$1004,1,MATCH(COLUMNS($P$1006:R1006),$P$1006:$S$1006,0)))),"Fix")))</f>
        <v>0</v>
      </c>
      <c r="E920" s="3">
        <f>IF(OR(INDEX($J$2:$J$1001,MATCH(ROWS($I$2:I920),$I$2:$I$1001,0),1)&gt;=100000,INDEX($P$1005:$S$1005,1,MATCH(COLUMNS($P$1006:S1006),$P$1006:$S$1006,0))&gt;=100000), " ",IF(INDEX($P$2:$S$1001,MATCH(ROWS($I$2:I920),$I$2:$I$1001,0),MATCH(COLUMNS($P$1006:S1006),$P$1006:$S$1006,0)), HYPERLINK("#",""), HYPERLINK(CONCATENATE("#metadata!", ADDRESS(INDEX($K$2:$K$1001,MATCH(ROWS($I$2:I920),$I$2:$I$1001,0),0), INDEX($P$1004:$S$1004,1,MATCH(COLUMNS($P$1006:S1006),$P$1006:$S$1006,0)))),"Fix")))</f>
        <v>0</v>
      </c>
      <c r="I920">
        <v>0</v>
      </c>
      <c r="J920">
        <v>0</v>
      </c>
      <c r="K920">
        <v>0</v>
      </c>
      <c r="L920">
        <f>IF(M920,TRUE,AND(P920:S920))</f>
        <v>0</v>
      </c>
      <c r="M920">
        <f>COUNTBLANK(metadata!B920:E920)=COLUMNS(metadata!B920:E920)</f>
        <v>0</v>
      </c>
      <c r="N920">
        <v>0</v>
      </c>
      <c r="P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Q920">
        <f>AND(IF(metadata!C920="",FALSE,TRUE),exact(metadata!C920,"other"))</f>
        <v>0</v>
      </c>
      <c r="R920">
        <f>AND(IF(metadata!D920="",FALSE,TRUE),exact(metadata!D920,"metagenome"))</f>
        <v>0</v>
      </c>
      <c r="S920">
        <f>AND(IF(metadata!E920="",FALSE,TRUE),exact(metadata!E920,"256318"))</f>
        <v>0</v>
      </c>
    </row>
    <row r="921" spans="1:19">
      <c r="A921" s="4">
        <f>IF(B921=" "," ",HYPERLINK(CONCATENATE("#metadata!",ADDRESS(INDEX($K$2:$K$1001,MATCH(ROWS($I$2:I921),$I$2:$I$1001,0),0),1)),INDEX($N$2:$N$1001,MATCH(ROWS($I$2:I921),$I$2:$I$1001,0),0)))</f>
        <v>0</v>
      </c>
      <c r="B921" s="3">
        <f>IF(OR(INDEX($J$2:$J$1001,MATCH(ROWS($I$2:I921),$I$2:$I$1001,0),1)&gt;=100000,INDEX($P$1005:$S$1005,1,MATCH(COLUMNS($P$1006:P1006),$P$1006:$S$1006,0))&gt;=100000), " ",IF(INDEX($P$2:$S$1001,MATCH(ROWS($I$2:I921),$I$2:$I$1001,0),MATCH(COLUMNS($P$1006:P1006),$P$1006:$S$1006,0)), HYPERLINK("#",""), HYPERLINK(CONCATENATE("#metadata!", ADDRESS(INDEX($K$2:$K$1001,MATCH(ROWS($I$2:I921),$I$2:$I$1001,0),0), INDEX($P$1004:$S$1004,1,MATCH(COLUMNS($P$1006:P1006),$P$1006:$S$1006,0)))),"Fix")))</f>
        <v>0</v>
      </c>
      <c r="C921" s="3">
        <f>IF(OR(INDEX($J$2:$J$1001,MATCH(ROWS($I$2:I921),$I$2:$I$1001,0),1)&gt;=100000,INDEX($P$1005:$S$1005,1,MATCH(COLUMNS($P$1006:Q1006),$P$1006:$S$1006,0))&gt;=100000), " ",IF(INDEX($P$2:$S$1001,MATCH(ROWS($I$2:I921),$I$2:$I$1001,0),MATCH(COLUMNS($P$1006:Q1006),$P$1006:$S$1006,0)), HYPERLINK("#",""), HYPERLINK(CONCATENATE("#metadata!", ADDRESS(INDEX($K$2:$K$1001,MATCH(ROWS($I$2:I921),$I$2:$I$1001,0),0), INDEX($P$1004:$S$1004,1,MATCH(COLUMNS($P$1006:Q1006),$P$1006:$S$1006,0)))),"Fix")))</f>
        <v>0</v>
      </c>
      <c r="D921" s="3">
        <f>IF(OR(INDEX($J$2:$J$1001,MATCH(ROWS($I$2:I921),$I$2:$I$1001,0),1)&gt;=100000,INDEX($P$1005:$S$1005,1,MATCH(COLUMNS($P$1006:R1006),$P$1006:$S$1006,0))&gt;=100000), " ",IF(INDEX($P$2:$S$1001,MATCH(ROWS($I$2:I921),$I$2:$I$1001,0),MATCH(COLUMNS($P$1006:R1006),$P$1006:$S$1006,0)), HYPERLINK("#",""), HYPERLINK(CONCATENATE("#metadata!", ADDRESS(INDEX($K$2:$K$1001,MATCH(ROWS($I$2:I921),$I$2:$I$1001,0),0), INDEX($P$1004:$S$1004,1,MATCH(COLUMNS($P$1006:R1006),$P$1006:$S$1006,0)))),"Fix")))</f>
        <v>0</v>
      </c>
      <c r="E921" s="3">
        <f>IF(OR(INDEX($J$2:$J$1001,MATCH(ROWS($I$2:I921),$I$2:$I$1001,0),1)&gt;=100000,INDEX($P$1005:$S$1005,1,MATCH(COLUMNS($P$1006:S1006),$P$1006:$S$1006,0))&gt;=100000), " ",IF(INDEX($P$2:$S$1001,MATCH(ROWS($I$2:I921),$I$2:$I$1001,0),MATCH(COLUMNS($P$1006:S1006),$P$1006:$S$1006,0)), HYPERLINK("#",""), HYPERLINK(CONCATENATE("#metadata!", ADDRESS(INDEX($K$2:$K$1001,MATCH(ROWS($I$2:I921),$I$2:$I$1001,0),0), INDEX($P$1004:$S$1004,1,MATCH(COLUMNS($P$1006:S1006),$P$1006:$S$1006,0)))),"Fix")))</f>
        <v>0</v>
      </c>
      <c r="I921">
        <v>0</v>
      </c>
      <c r="J921">
        <v>0</v>
      </c>
      <c r="K921">
        <v>0</v>
      </c>
      <c r="L921">
        <f>IF(M921,TRUE,AND(P921:S921))</f>
        <v>0</v>
      </c>
      <c r="M921">
        <f>COUNTBLANK(metadata!B921:E921)=COLUMNS(metadata!B921:E921)</f>
        <v>0</v>
      </c>
      <c r="N921">
        <v>0</v>
      </c>
      <c r="P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Q921">
        <f>AND(IF(metadata!C921="",FALSE,TRUE),exact(metadata!C921,"other"))</f>
        <v>0</v>
      </c>
      <c r="R921">
        <f>AND(IF(metadata!D921="",FALSE,TRUE),exact(metadata!D921,"metagenome"))</f>
        <v>0</v>
      </c>
      <c r="S921">
        <f>AND(IF(metadata!E921="",FALSE,TRUE),exact(metadata!E921,"256318"))</f>
        <v>0</v>
      </c>
    </row>
    <row r="922" spans="1:19">
      <c r="A922" s="4">
        <f>IF(B922=" "," ",HYPERLINK(CONCATENATE("#metadata!",ADDRESS(INDEX($K$2:$K$1001,MATCH(ROWS($I$2:I922),$I$2:$I$1001,0),0),1)),INDEX($N$2:$N$1001,MATCH(ROWS($I$2:I922),$I$2:$I$1001,0),0)))</f>
        <v>0</v>
      </c>
      <c r="B922" s="3">
        <f>IF(OR(INDEX($J$2:$J$1001,MATCH(ROWS($I$2:I922),$I$2:$I$1001,0),1)&gt;=100000,INDEX($P$1005:$S$1005,1,MATCH(COLUMNS($P$1006:P1006),$P$1006:$S$1006,0))&gt;=100000), " ",IF(INDEX($P$2:$S$1001,MATCH(ROWS($I$2:I922),$I$2:$I$1001,0),MATCH(COLUMNS($P$1006:P1006),$P$1006:$S$1006,0)), HYPERLINK("#",""), HYPERLINK(CONCATENATE("#metadata!", ADDRESS(INDEX($K$2:$K$1001,MATCH(ROWS($I$2:I922),$I$2:$I$1001,0),0), INDEX($P$1004:$S$1004,1,MATCH(COLUMNS($P$1006:P1006),$P$1006:$S$1006,0)))),"Fix")))</f>
        <v>0</v>
      </c>
      <c r="C922" s="3">
        <f>IF(OR(INDEX($J$2:$J$1001,MATCH(ROWS($I$2:I922),$I$2:$I$1001,0),1)&gt;=100000,INDEX($P$1005:$S$1005,1,MATCH(COLUMNS($P$1006:Q1006),$P$1006:$S$1006,0))&gt;=100000), " ",IF(INDEX($P$2:$S$1001,MATCH(ROWS($I$2:I922),$I$2:$I$1001,0),MATCH(COLUMNS($P$1006:Q1006),$P$1006:$S$1006,0)), HYPERLINK("#",""), HYPERLINK(CONCATENATE("#metadata!", ADDRESS(INDEX($K$2:$K$1001,MATCH(ROWS($I$2:I922),$I$2:$I$1001,0),0), INDEX($P$1004:$S$1004,1,MATCH(COLUMNS($P$1006:Q1006),$P$1006:$S$1006,0)))),"Fix")))</f>
        <v>0</v>
      </c>
      <c r="D922" s="3">
        <f>IF(OR(INDEX($J$2:$J$1001,MATCH(ROWS($I$2:I922),$I$2:$I$1001,0),1)&gt;=100000,INDEX($P$1005:$S$1005,1,MATCH(COLUMNS($P$1006:R1006),$P$1006:$S$1006,0))&gt;=100000), " ",IF(INDEX($P$2:$S$1001,MATCH(ROWS($I$2:I922),$I$2:$I$1001,0),MATCH(COLUMNS($P$1006:R1006),$P$1006:$S$1006,0)), HYPERLINK("#",""), HYPERLINK(CONCATENATE("#metadata!", ADDRESS(INDEX($K$2:$K$1001,MATCH(ROWS($I$2:I922),$I$2:$I$1001,0),0), INDEX($P$1004:$S$1004,1,MATCH(COLUMNS($P$1006:R1006),$P$1006:$S$1006,0)))),"Fix")))</f>
        <v>0</v>
      </c>
      <c r="E922" s="3">
        <f>IF(OR(INDEX($J$2:$J$1001,MATCH(ROWS($I$2:I922),$I$2:$I$1001,0),1)&gt;=100000,INDEX($P$1005:$S$1005,1,MATCH(COLUMNS($P$1006:S1006),$P$1006:$S$1006,0))&gt;=100000), " ",IF(INDEX($P$2:$S$1001,MATCH(ROWS($I$2:I922),$I$2:$I$1001,0),MATCH(COLUMNS($P$1006:S1006),$P$1006:$S$1006,0)), HYPERLINK("#",""), HYPERLINK(CONCATENATE("#metadata!", ADDRESS(INDEX($K$2:$K$1001,MATCH(ROWS($I$2:I922),$I$2:$I$1001,0),0), INDEX($P$1004:$S$1004,1,MATCH(COLUMNS($P$1006:S1006),$P$1006:$S$1006,0)))),"Fix")))</f>
        <v>0</v>
      </c>
      <c r="I922">
        <v>0</v>
      </c>
      <c r="J922">
        <v>0</v>
      </c>
      <c r="K922">
        <v>0</v>
      </c>
      <c r="L922">
        <f>IF(M922,TRUE,AND(P922:S922))</f>
        <v>0</v>
      </c>
      <c r="M922">
        <f>COUNTBLANK(metadata!B922:E922)=COLUMNS(metadata!B922:E922)</f>
        <v>0</v>
      </c>
      <c r="N922">
        <v>0</v>
      </c>
      <c r="P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Q922">
        <f>AND(IF(metadata!C922="",FALSE,TRUE),exact(metadata!C922,"other"))</f>
        <v>0</v>
      </c>
      <c r="R922">
        <f>AND(IF(metadata!D922="",FALSE,TRUE),exact(metadata!D922,"metagenome"))</f>
        <v>0</v>
      </c>
      <c r="S922">
        <f>AND(IF(metadata!E922="",FALSE,TRUE),exact(metadata!E922,"256318"))</f>
        <v>0</v>
      </c>
    </row>
    <row r="923" spans="1:19">
      <c r="A923" s="4">
        <f>IF(B923=" "," ",HYPERLINK(CONCATENATE("#metadata!",ADDRESS(INDEX($K$2:$K$1001,MATCH(ROWS($I$2:I923),$I$2:$I$1001,0),0),1)),INDEX($N$2:$N$1001,MATCH(ROWS($I$2:I923),$I$2:$I$1001,0),0)))</f>
        <v>0</v>
      </c>
      <c r="B923" s="3">
        <f>IF(OR(INDEX($J$2:$J$1001,MATCH(ROWS($I$2:I923),$I$2:$I$1001,0),1)&gt;=100000,INDEX($P$1005:$S$1005,1,MATCH(COLUMNS($P$1006:P1006),$P$1006:$S$1006,0))&gt;=100000), " ",IF(INDEX($P$2:$S$1001,MATCH(ROWS($I$2:I923),$I$2:$I$1001,0),MATCH(COLUMNS($P$1006:P1006),$P$1006:$S$1006,0)), HYPERLINK("#",""), HYPERLINK(CONCATENATE("#metadata!", ADDRESS(INDEX($K$2:$K$1001,MATCH(ROWS($I$2:I923),$I$2:$I$1001,0),0), INDEX($P$1004:$S$1004,1,MATCH(COLUMNS($P$1006:P1006),$P$1006:$S$1006,0)))),"Fix")))</f>
        <v>0</v>
      </c>
      <c r="C923" s="3">
        <f>IF(OR(INDEX($J$2:$J$1001,MATCH(ROWS($I$2:I923),$I$2:$I$1001,0),1)&gt;=100000,INDEX($P$1005:$S$1005,1,MATCH(COLUMNS($P$1006:Q1006),$P$1006:$S$1006,0))&gt;=100000), " ",IF(INDEX($P$2:$S$1001,MATCH(ROWS($I$2:I923),$I$2:$I$1001,0),MATCH(COLUMNS($P$1006:Q1006),$P$1006:$S$1006,0)), HYPERLINK("#",""), HYPERLINK(CONCATENATE("#metadata!", ADDRESS(INDEX($K$2:$K$1001,MATCH(ROWS($I$2:I923),$I$2:$I$1001,0),0), INDEX($P$1004:$S$1004,1,MATCH(COLUMNS($P$1006:Q1006),$P$1006:$S$1006,0)))),"Fix")))</f>
        <v>0</v>
      </c>
      <c r="D923" s="3">
        <f>IF(OR(INDEX($J$2:$J$1001,MATCH(ROWS($I$2:I923),$I$2:$I$1001,0),1)&gt;=100000,INDEX($P$1005:$S$1005,1,MATCH(COLUMNS($P$1006:R1006),$P$1006:$S$1006,0))&gt;=100000), " ",IF(INDEX($P$2:$S$1001,MATCH(ROWS($I$2:I923),$I$2:$I$1001,0),MATCH(COLUMNS($P$1006:R1006),$P$1006:$S$1006,0)), HYPERLINK("#",""), HYPERLINK(CONCATENATE("#metadata!", ADDRESS(INDEX($K$2:$K$1001,MATCH(ROWS($I$2:I923),$I$2:$I$1001,0),0), INDEX($P$1004:$S$1004,1,MATCH(COLUMNS($P$1006:R1006),$P$1006:$S$1006,0)))),"Fix")))</f>
        <v>0</v>
      </c>
      <c r="E923" s="3">
        <f>IF(OR(INDEX($J$2:$J$1001,MATCH(ROWS($I$2:I923),$I$2:$I$1001,0),1)&gt;=100000,INDEX($P$1005:$S$1005,1,MATCH(COLUMNS($P$1006:S1006),$P$1006:$S$1006,0))&gt;=100000), " ",IF(INDEX($P$2:$S$1001,MATCH(ROWS($I$2:I923),$I$2:$I$1001,0),MATCH(COLUMNS($P$1006:S1006),$P$1006:$S$1006,0)), HYPERLINK("#",""), HYPERLINK(CONCATENATE("#metadata!", ADDRESS(INDEX($K$2:$K$1001,MATCH(ROWS($I$2:I923),$I$2:$I$1001,0),0), INDEX($P$1004:$S$1004,1,MATCH(COLUMNS($P$1006:S1006),$P$1006:$S$1006,0)))),"Fix")))</f>
        <v>0</v>
      </c>
      <c r="I923">
        <v>0</v>
      </c>
      <c r="J923">
        <v>0</v>
      </c>
      <c r="K923">
        <v>0</v>
      </c>
      <c r="L923">
        <f>IF(M923,TRUE,AND(P923:S923))</f>
        <v>0</v>
      </c>
      <c r="M923">
        <f>COUNTBLANK(metadata!B923:E923)=COLUMNS(metadata!B923:E923)</f>
        <v>0</v>
      </c>
      <c r="N923">
        <v>0</v>
      </c>
      <c r="P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Q923">
        <f>AND(IF(metadata!C923="",FALSE,TRUE),exact(metadata!C923,"other"))</f>
        <v>0</v>
      </c>
      <c r="R923">
        <f>AND(IF(metadata!D923="",FALSE,TRUE),exact(metadata!D923,"metagenome"))</f>
        <v>0</v>
      </c>
      <c r="S923">
        <f>AND(IF(metadata!E923="",FALSE,TRUE),exact(metadata!E923,"256318"))</f>
        <v>0</v>
      </c>
    </row>
    <row r="924" spans="1:19">
      <c r="A924" s="4">
        <f>IF(B924=" "," ",HYPERLINK(CONCATENATE("#metadata!",ADDRESS(INDEX($K$2:$K$1001,MATCH(ROWS($I$2:I924),$I$2:$I$1001,0),0),1)),INDEX($N$2:$N$1001,MATCH(ROWS($I$2:I924),$I$2:$I$1001,0),0)))</f>
        <v>0</v>
      </c>
      <c r="B924" s="3">
        <f>IF(OR(INDEX($J$2:$J$1001,MATCH(ROWS($I$2:I924),$I$2:$I$1001,0),1)&gt;=100000,INDEX($P$1005:$S$1005,1,MATCH(COLUMNS($P$1006:P1006),$P$1006:$S$1006,0))&gt;=100000), " ",IF(INDEX($P$2:$S$1001,MATCH(ROWS($I$2:I924),$I$2:$I$1001,0),MATCH(COLUMNS($P$1006:P1006),$P$1006:$S$1006,0)), HYPERLINK("#",""), HYPERLINK(CONCATENATE("#metadata!", ADDRESS(INDEX($K$2:$K$1001,MATCH(ROWS($I$2:I924),$I$2:$I$1001,0),0), INDEX($P$1004:$S$1004,1,MATCH(COLUMNS($P$1006:P1006),$P$1006:$S$1006,0)))),"Fix")))</f>
        <v>0</v>
      </c>
      <c r="C924" s="3">
        <f>IF(OR(INDEX($J$2:$J$1001,MATCH(ROWS($I$2:I924),$I$2:$I$1001,0),1)&gt;=100000,INDEX($P$1005:$S$1005,1,MATCH(COLUMNS($P$1006:Q1006),$P$1006:$S$1006,0))&gt;=100000), " ",IF(INDEX($P$2:$S$1001,MATCH(ROWS($I$2:I924),$I$2:$I$1001,0),MATCH(COLUMNS($P$1006:Q1006),$P$1006:$S$1006,0)), HYPERLINK("#",""), HYPERLINK(CONCATENATE("#metadata!", ADDRESS(INDEX($K$2:$K$1001,MATCH(ROWS($I$2:I924),$I$2:$I$1001,0),0), INDEX($P$1004:$S$1004,1,MATCH(COLUMNS($P$1006:Q1006),$P$1006:$S$1006,0)))),"Fix")))</f>
        <v>0</v>
      </c>
      <c r="D924" s="3">
        <f>IF(OR(INDEX($J$2:$J$1001,MATCH(ROWS($I$2:I924),$I$2:$I$1001,0),1)&gt;=100000,INDEX($P$1005:$S$1005,1,MATCH(COLUMNS($P$1006:R1006),$P$1006:$S$1006,0))&gt;=100000), " ",IF(INDEX($P$2:$S$1001,MATCH(ROWS($I$2:I924),$I$2:$I$1001,0),MATCH(COLUMNS($P$1006:R1006),$P$1006:$S$1006,0)), HYPERLINK("#",""), HYPERLINK(CONCATENATE("#metadata!", ADDRESS(INDEX($K$2:$K$1001,MATCH(ROWS($I$2:I924),$I$2:$I$1001,0),0), INDEX($P$1004:$S$1004,1,MATCH(COLUMNS($P$1006:R1006),$P$1006:$S$1006,0)))),"Fix")))</f>
        <v>0</v>
      </c>
      <c r="E924" s="3">
        <f>IF(OR(INDEX($J$2:$J$1001,MATCH(ROWS($I$2:I924),$I$2:$I$1001,0),1)&gt;=100000,INDEX($P$1005:$S$1005,1,MATCH(COLUMNS($P$1006:S1006),$P$1006:$S$1006,0))&gt;=100000), " ",IF(INDEX($P$2:$S$1001,MATCH(ROWS($I$2:I924),$I$2:$I$1001,0),MATCH(COLUMNS($P$1006:S1006),$P$1006:$S$1006,0)), HYPERLINK("#",""), HYPERLINK(CONCATENATE("#metadata!", ADDRESS(INDEX($K$2:$K$1001,MATCH(ROWS($I$2:I924),$I$2:$I$1001,0),0), INDEX($P$1004:$S$1004,1,MATCH(COLUMNS($P$1006:S1006),$P$1006:$S$1006,0)))),"Fix")))</f>
        <v>0</v>
      </c>
      <c r="I924">
        <v>0</v>
      </c>
      <c r="J924">
        <v>0</v>
      </c>
      <c r="K924">
        <v>0</v>
      </c>
      <c r="L924">
        <f>IF(M924,TRUE,AND(P924:S924))</f>
        <v>0</v>
      </c>
      <c r="M924">
        <f>COUNTBLANK(metadata!B924:E924)=COLUMNS(metadata!B924:E924)</f>
        <v>0</v>
      </c>
      <c r="N924">
        <v>0</v>
      </c>
      <c r="P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Q924">
        <f>AND(IF(metadata!C924="",FALSE,TRUE),exact(metadata!C924,"other"))</f>
        <v>0</v>
      </c>
      <c r="R924">
        <f>AND(IF(metadata!D924="",FALSE,TRUE),exact(metadata!D924,"metagenome"))</f>
        <v>0</v>
      </c>
      <c r="S924">
        <f>AND(IF(metadata!E924="",FALSE,TRUE),exact(metadata!E924,"256318"))</f>
        <v>0</v>
      </c>
    </row>
    <row r="925" spans="1:19">
      <c r="A925" s="4">
        <f>IF(B925=" "," ",HYPERLINK(CONCATENATE("#metadata!",ADDRESS(INDEX($K$2:$K$1001,MATCH(ROWS($I$2:I925),$I$2:$I$1001,0),0),1)),INDEX($N$2:$N$1001,MATCH(ROWS($I$2:I925),$I$2:$I$1001,0),0)))</f>
        <v>0</v>
      </c>
      <c r="B925" s="3">
        <f>IF(OR(INDEX($J$2:$J$1001,MATCH(ROWS($I$2:I925),$I$2:$I$1001,0),1)&gt;=100000,INDEX($P$1005:$S$1005,1,MATCH(COLUMNS($P$1006:P1006),$P$1006:$S$1006,0))&gt;=100000), " ",IF(INDEX($P$2:$S$1001,MATCH(ROWS($I$2:I925),$I$2:$I$1001,0),MATCH(COLUMNS($P$1006:P1006),$P$1006:$S$1006,0)), HYPERLINK("#",""), HYPERLINK(CONCATENATE("#metadata!", ADDRESS(INDEX($K$2:$K$1001,MATCH(ROWS($I$2:I925),$I$2:$I$1001,0),0), INDEX($P$1004:$S$1004,1,MATCH(COLUMNS($P$1006:P1006),$P$1006:$S$1006,0)))),"Fix")))</f>
        <v>0</v>
      </c>
      <c r="C925" s="3">
        <f>IF(OR(INDEX($J$2:$J$1001,MATCH(ROWS($I$2:I925),$I$2:$I$1001,0),1)&gt;=100000,INDEX($P$1005:$S$1005,1,MATCH(COLUMNS($P$1006:Q1006),$P$1006:$S$1006,0))&gt;=100000), " ",IF(INDEX($P$2:$S$1001,MATCH(ROWS($I$2:I925),$I$2:$I$1001,0),MATCH(COLUMNS($P$1006:Q1006),$P$1006:$S$1006,0)), HYPERLINK("#",""), HYPERLINK(CONCATENATE("#metadata!", ADDRESS(INDEX($K$2:$K$1001,MATCH(ROWS($I$2:I925),$I$2:$I$1001,0),0), INDEX($P$1004:$S$1004,1,MATCH(COLUMNS($P$1006:Q1006),$P$1006:$S$1006,0)))),"Fix")))</f>
        <v>0</v>
      </c>
      <c r="D925" s="3">
        <f>IF(OR(INDEX($J$2:$J$1001,MATCH(ROWS($I$2:I925),$I$2:$I$1001,0),1)&gt;=100000,INDEX($P$1005:$S$1005,1,MATCH(COLUMNS($P$1006:R1006),$P$1006:$S$1006,0))&gt;=100000), " ",IF(INDEX($P$2:$S$1001,MATCH(ROWS($I$2:I925),$I$2:$I$1001,0),MATCH(COLUMNS($P$1006:R1006),$P$1006:$S$1006,0)), HYPERLINK("#",""), HYPERLINK(CONCATENATE("#metadata!", ADDRESS(INDEX($K$2:$K$1001,MATCH(ROWS($I$2:I925),$I$2:$I$1001,0),0), INDEX($P$1004:$S$1004,1,MATCH(COLUMNS($P$1006:R1006),$P$1006:$S$1006,0)))),"Fix")))</f>
        <v>0</v>
      </c>
      <c r="E925" s="3">
        <f>IF(OR(INDEX($J$2:$J$1001,MATCH(ROWS($I$2:I925),$I$2:$I$1001,0),1)&gt;=100000,INDEX($P$1005:$S$1005,1,MATCH(COLUMNS($P$1006:S1006),$P$1006:$S$1006,0))&gt;=100000), " ",IF(INDEX($P$2:$S$1001,MATCH(ROWS($I$2:I925),$I$2:$I$1001,0),MATCH(COLUMNS($P$1006:S1006),$P$1006:$S$1006,0)), HYPERLINK("#",""), HYPERLINK(CONCATENATE("#metadata!", ADDRESS(INDEX($K$2:$K$1001,MATCH(ROWS($I$2:I925),$I$2:$I$1001,0),0), INDEX($P$1004:$S$1004,1,MATCH(COLUMNS($P$1006:S1006),$P$1006:$S$1006,0)))),"Fix")))</f>
        <v>0</v>
      </c>
      <c r="I925">
        <v>0</v>
      </c>
      <c r="J925">
        <v>0</v>
      </c>
      <c r="K925">
        <v>0</v>
      </c>
      <c r="L925">
        <f>IF(M925,TRUE,AND(P925:S925))</f>
        <v>0</v>
      </c>
      <c r="M925">
        <f>COUNTBLANK(metadata!B925:E925)=COLUMNS(metadata!B925:E925)</f>
        <v>0</v>
      </c>
      <c r="N925">
        <v>0</v>
      </c>
      <c r="P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Q925">
        <f>AND(IF(metadata!C925="",FALSE,TRUE),exact(metadata!C925,"other"))</f>
        <v>0</v>
      </c>
      <c r="R925">
        <f>AND(IF(metadata!D925="",FALSE,TRUE),exact(metadata!D925,"metagenome"))</f>
        <v>0</v>
      </c>
      <c r="S925">
        <f>AND(IF(metadata!E925="",FALSE,TRUE),exact(metadata!E925,"256318"))</f>
        <v>0</v>
      </c>
    </row>
    <row r="926" spans="1:19">
      <c r="A926" s="4">
        <f>IF(B926=" "," ",HYPERLINK(CONCATENATE("#metadata!",ADDRESS(INDEX($K$2:$K$1001,MATCH(ROWS($I$2:I926),$I$2:$I$1001,0),0),1)),INDEX($N$2:$N$1001,MATCH(ROWS($I$2:I926),$I$2:$I$1001,0),0)))</f>
        <v>0</v>
      </c>
      <c r="B926" s="3">
        <f>IF(OR(INDEX($J$2:$J$1001,MATCH(ROWS($I$2:I926),$I$2:$I$1001,0),1)&gt;=100000,INDEX($P$1005:$S$1005,1,MATCH(COLUMNS($P$1006:P1006),$P$1006:$S$1006,0))&gt;=100000), " ",IF(INDEX($P$2:$S$1001,MATCH(ROWS($I$2:I926),$I$2:$I$1001,0),MATCH(COLUMNS($P$1006:P1006),$P$1006:$S$1006,0)), HYPERLINK("#",""), HYPERLINK(CONCATENATE("#metadata!", ADDRESS(INDEX($K$2:$K$1001,MATCH(ROWS($I$2:I926),$I$2:$I$1001,0),0), INDEX($P$1004:$S$1004,1,MATCH(COLUMNS($P$1006:P1006),$P$1006:$S$1006,0)))),"Fix")))</f>
        <v>0</v>
      </c>
      <c r="C926" s="3">
        <f>IF(OR(INDEX($J$2:$J$1001,MATCH(ROWS($I$2:I926),$I$2:$I$1001,0),1)&gt;=100000,INDEX($P$1005:$S$1005,1,MATCH(COLUMNS($P$1006:Q1006),$P$1006:$S$1006,0))&gt;=100000), " ",IF(INDEX($P$2:$S$1001,MATCH(ROWS($I$2:I926),$I$2:$I$1001,0),MATCH(COLUMNS($P$1006:Q1006),$P$1006:$S$1006,0)), HYPERLINK("#",""), HYPERLINK(CONCATENATE("#metadata!", ADDRESS(INDEX($K$2:$K$1001,MATCH(ROWS($I$2:I926),$I$2:$I$1001,0),0), INDEX($P$1004:$S$1004,1,MATCH(COLUMNS($P$1006:Q1006),$P$1006:$S$1006,0)))),"Fix")))</f>
        <v>0</v>
      </c>
      <c r="D926" s="3">
        <f>IF(OR(INDEX($J$2:$J$1001,MATCH(ROWS($I$2:I926),$I$2:$I$1001,0),1)&gt;=100000,INDEX($P$1005:$S$1005,1,MATCH(COLUMNS($P$1006:R1006),$P$1006:$S$1006,0))&gt;=100000), " ",IF(INDEX($P$2:$S$1001,MATCH(ROWS($I$2:I926),$I$2:$I$1001,0),MATCH(COLUMNS($P$1006:R1006),$P$1006:$S$1006,0)), HYPERLINK("#",""), HYPERLINK(CONCATENATE("#metadata!", ADDRESS(INDEX($K$2:$K$1001,MATCH(ROWS($I$2:I926),$I$2:$I$1001,0),0), INDEX($P$1004:$S$1004,1,MATCH(COLUMNS($P$1006:R1006),$P$1006:$S$1006,0)))),"Fix")))</f>
        <v>0</v>
      </c>
      <c r="E926" s="3">
        <f>IF(OR(INDEX($J$2:$J$1001,MATCH(ROWS($I$2:I926),$I$2:$I$1001,0),1)&gt;=100000,INDEX($P$1005:$S$1005,1,MATCH(COLUMNS($P$1006:S1006),$P$1006:$S$1006,0))&gt;=100000), " ",IF(INDEX($P$2:$S$1001,MATCH(ROWS($I$2:I926),$I$2:$I$1001,0),MATCH(COLUMNS($P$1006:S1006),$P$1006:$S$1006,0)), HYPERLINK("#",""), HYPERLINK(CONCATENATE("#metadata!", ADDRESS(INDEX($K$2:$K$1001,MATCH(ROWS($I$2:I926),$I$2:$I$1001,0),0), INDEX($P$1004:$S$1004,1,MATCH(COLUMNS($P$1006:S1006),$P$1006:$S$1006,0)))),"Fix")))</f>
        <v>0</v>
      </c>
      <c r="I926">
        <v>0</v>
      </c>
      <c r="J926">
        <v>0</v>
      </c>
      <c r="K926">
        <v>0</v>
      </c>
      <c r="L926">
        <f>IF(M926,TRUE,AND(P926:S926))</f>
        <v>0</v>
      </c>
      <c r="M926">
        <f>COUNTBLANK(metadata!B926:E926)=COLUMNS(metadata!B926:E926)</f>
        <v>0</v>
      </c>
      <c r="N926">
        <v>0</v>
      </c>
      <c r="P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Q926">
        <f>AND(IF(metadata!C926="",FALSE,TRUE),exact(metadata!C926,"other"))</f>
        <v>0</v>
      </c>
      <c r="R926">
        <f>AND(IF(metadata!D926="",FALSE,TRUE),exact(metadata!D926,"metagenome"))</f>
        <v>0</v>
      </c>
      <c r="S926">
        <f>AND(IF(metadata!E926="",FALSE,TRUE),exact(metadata!E926,"256318"))</f>
        <v>0</v>
      </c>
    </row>
    <row r="927" spans="1:19">
      <c r="A927" s="4">
        <f>IF(B927=" "," ",HYPERLINK(CONCATENATE("#metadata!",ADDRESS(INDEX($K$2:$K$1001,MATCH(ROWS($I$2:I927),$I$2:$I$1001,0),0),1)),INDEX($N$2:$N$1001,MATCH(ROWS($I$2:I927),$I$2:$I$1001,0),0)))</f>
        <v>0</v>
      </c>
      <c r="B927" s="3">
        <f>IF(OR(INDEX($J$2:$J$1001,MATCH(ROWS($I$2:I927),$I$2:$I$1001,0),1)&gt;=100000,INDEX($P$1005:$S$1005,1,MATCH(COLUMNS($P$1006:P1006),$P$1006:$S$1006,0))&gt;=100000), " ",IF(INDEX($P$2:$S$1001,MATCH(ROWS($I$2:I927),$I$2:$I$1001,0),MATCH(COLUMNS($P$1006:P1006),$P$1006:$S$1006,0)), HYPERLINK("#",""), HYPERLINK(CONCATENATE("#metadata!", ADDRESS(INDEX($K$2:$K$1001,MATCH(ROWS($I$2:I927),$I$2:$I$1001,0),0), INDEX($P$1004:$S$1004,1,MATCH(COLUMNS($P$1006:P1006),$P$1006:$S$1006,0)))),"Fix")))</f>
        <v>0</v>
      </c>
      <c r="C927" s="3">
        <f>IF(OR(INDEX($J$2:$J$1001,MATCH(ROWS($I$2:I927),$I$2:$I$1001,0),1)&gt;=100000,INDEX($P$1005:$S$1005,1,MATCH(COLUMNS($P$1006:Q1006),$P$1006:$S$1006,0))&gt;=100000), " ",IF(INDEX($P$2:$S$1001,MATCH(ROWS($I$2:I927),$I$2:$I$1001,0),MATCH(COLUMNS($P$1006:Q1006),$P$1006:$S$1006,0)), HYPERLINK("#",""), HYPERLINK(CONCATENATE("#metadata!", ADDRESS(INDEX($K$2:$K$1001,MATCH(ROWS($I$2:I927),$I$2:$I$1001,0),0), INDEX($P$1004:$S$1004,1,MATCH(COLUMNS($P$1006:Q1006),$P$1006:$S$1006,0)))),"Fix")))</f>
        <v>0</v>
      </c>
      <c r="D927" s="3">
        <f>IF(OR(INDEX($J$2:$J$1001,MATCH(ROWS($I$2:I927),$I$2:$I$1001,0),1)&gt;=100000,INDEX($P$1005:$S$1005,1,MATCH(COLUMNS($P$1006:R1006),$P$1006:$S$1006,0))&gt;=100000), " ",IF(INDEX($P$2:$S$1001,MATCH(ROWS($I$2:I927),$I$2:$I$1001,0),MATCH(COLUMNS($P$1006:R1006),$P$1006:$S$1006,0)), HYPERLINK("#",""), HYPERLINK(CONCATENATE("#metadata!", ADDRESS(INDEX($K$2:$K$1001,MATCH(ROWS($I$2:I927),$I$2:$I$1001,0),0), INDEX($P$1004:$S$1004,1,MATCH(COLUMNS($P$1006:R1006),$P$1006:$S$1006,0)))),"Fix")))</f>
        <v>0</v>
      </c>
      <c r="E927" s="3">
        <f>IF(OR(INDEX($J$2:$J$1001,MATCH(ROWS($I$2:I927),$I$2:$I$1001,0),1)&gt;=100000,INDEX($P$1005:$S$1005,1,MATCH(COLUMNS($P$1006:S1006),$P$1006:$S$1006,0))&gt;=100000), " ",IF(INDEX($P$2:$S$1001,MATCH(ROWS($I$2:I927),$I$2:$I$1001,0),MATCH(COLUMNS($P$1006:S1006),$P$1006:$S$1006,0)), HYPERLINK("#",""), HYPERLINK(CONCATENATE("#metadata!", ADDRESS(INDEX($K$2:$K$1001,MATCH(ROWS($I$2:I927),$I$2:$I$1001,0),0), INDEX($P$1004:$S$1004,1,MATCH(COLUMNS($P$1006:S1006),$P$1006:$S$1006,0)))),"Fix")))</f>
        <v>0</v>
      </c>
      <c r="I927">
        <v>0</v>
      </c>
      <c r="J927">
        <v>0</v>
      </c>
      <c r="K927">
        <v>0</v>
      </c>
      <c r="L927">
        <f>IF(M927,TRUE,AND(P927:S927))</f>
        <v>0</v>
      </c>
      <c r="M927">
        <f>COUNTBLANK(metadata!B927:E927)=COLUMNS(metadata!B927:E927)</f>
        <v>0</v>
      </c>
      <c r="N927">
        <v>0</v>
      </c>
      <c r="P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Q927">
        <f>AND(IF(metadata!C927="",FALSE,TRUE),exact(metadata!C927,"other"))</f>
        <v>0</v>
      </c>
      <c r="R927">
        <f>AND(IF(metadata!D927="",FALSE,TRUE),exact(metadata!D927,"metagenome"))</f>
        <v>0</v>
      </c>
      <c r="S927">
        <f>AND(IF(metadata!E927="",FALSE,TRUE),exact(metadata!E927,"256318"))</f>
        <v>0</v>
      </c>
    </row>
    <row r="928" spans="1:19">
      <c r="A928" s="4">
        <f>IF(B928=" "," ",HYPERLINK(CONCATENATE("#metadata!",ADDRESS(INDEX($K$2:$K$1001,MATCH(ROWS($I$2:I928),$I$2:$I$1001,0),0),1)),INDEX($N$2:$N$1001,MATCH(ROWS($I$2:I928),$I$2:$I$1001,0),0)))</f>
        <v>0</v>
      </c>
      <c r="B928" s="3">
        <f>IF(OR(INDEX($J$2:$J$1001,MATCH(ROWS($I$2:I928),$I$2:$I$1001,0),1)&gt;=100000,INDEX($P$1005:$S$1005,1,MATCH(COLUMNS($P$1006:P1006),$P$1006:$S$1006,0))&gt;=100000), " ",IF(INDEX($P$2:$S$1001,MATCH(ROWS($I$2:I928),$I$2:$I$1001,0),MATCH(COLUMNS($P$1006:P1006),$P$1006:$S$1006,0)), HYPERLINK("#",""), HYPERLINK(CONCATENATE("#metadata!", ADDRESS(INDEX($K$2:$K$1001,MATCH(ROWS($I$2:I928),$I$2:$I$1001,0),0), INDEX($P$1004:$S$1004,1,MATCH(COLUMNS($P$1006:P1006),$P$1006:$S$1006,0)))),"Fix")))</f>
        <v>0</v>
      </c>
      <c r="C928" s="3">
        <f>IF(OR(INDEX($J$2:$J$1001,MATCH(ROWS($I$2:I928),$I$2:$I$1001,0),1)&gt;=100000,INDEX($P$1005:$S$1005,1,MATCH(COLUMNS($P$1006:Q1006),$P$1006:$S$1006,0))&gt;=100000), " ",IF(INDEX($P$2:$S$1001,MATCH(ROWS($I$2:I928),$I$2:$I$1001,0),MATCH(COLUMNS($P$1006:Q1006),$P$1006:$S$1006,0)), HYPERLINK("#",""), HYPERLINK(CONCATENATE("#metadata!", ADDRESS(INDEX($K$2:$K$1001,MATCH(ROWS($I$2:I928),$I$2:$I$1001,0),0), INDEX($P$1004:$S$1004,1,MATCH(COLUMNS($P$1006:Q1006),$P$1006:$S$1006,0)))),"Fix")))</f>
        <v>0</v>
      </c>
      <c r="D928" s="3">
        <f>IF(OR(INDEX($J$2:$J$1001,MATCH(ROWS($I$2:I928),$I$2:$I$1001,0),1)&gt;=100000,INDEX($P$1005:$S$1005,1,MATCH(COLUMNS($P$1006:R1006),$P$1006:$S$1006,0))&gt;=100000), " ",IF(INDEX($P$2:$S$1001,MATCH(ROWS($I$2:I928),$I$2:$I$1001,0),MATCH(COLUMNS($P$1006:R1006),$P$1006:$S$1006,0)), HYPERLINK("#",""), HYPERLINK(CONCATENATE("#metadata!", ADDRESS(INDEX($K$2:$K$1001,MATCH(ROWS($I$2:I928),$I$2:$I$1001,0),0), INDEX($P$1004:$S$1004,1,MATCH(COLUMNS($P$1006:R1006),$P$1006:$S$1006,0)))),"Fix")))</f>
        <v>0</v>
      </c>
      <c r="E928" s="3">
        <f>IF(OR(INDEX($J$2:$J$1001,MATCH(ROWS($I$2:I928),$I$2:$I$1001,0),1)&gt;=100000,INDEX($P$1005:$S$1005,1,MATCH(COLUMNS($P$1006:S1006),$P$1006:$S$1006,0))&gt;=100000), " ",IF(INDEX($P$2:$S$1001,MATCH(ROWS($I$2:I928),$I$2:$I$1001,0),MATCH(COLUMNS($P$1006:S1006),$P$1006:$S$1006,0)), HYPERLINK("#",""), HYPERLINK(CONCATENATE("#metadata!", ADDRESS(INDEX($K$2:$K$1001,MATCH(ROWS($I$2:I928),$I$2:$I$1001,0),0), INDEX($P$1004:$S$1004,1,MATCH(COLUMNS($P$1006:S1006),$P$1006:$S$1006,0)))),"Fix")))</f>
        <v>0</v>
      </c>
      <c r="I928">
        <v>0</v>
      </c>
      <c r="J928">
        <v>0</v>
      </c>
      <c r="K928">
        <v>0</v>
      </c>
      <c r="L928">
        <f>IF(M928,TRUE,AND(P928:S928))</f>
        <v>0</v>
      </c>
      <c r="M928">
        <f>COUNTBLANK(metadata!B928:E928)=COLUMNS(metadata!B928:E928)</f>
        <v>0</v>
      </c>
      <c r="N928">
        <v>0</v>
      </c>
      <c r="P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Q928">
        <f>AND(IF(metadata!C928="",FALSE,TRUE),exact(metadata!C928,"other"))</f>
        <v>0</v>
      </c>
      <c r="R928">
        <f>AND(IF(metadata!D928="",FALSE,TRUE),exact(metadata!D928,"metagenome"))</f>
        <v>0</v>
      </c>
      <c r="S928">
        <f>AND(IF(metadata!E928="",FALSE,TRUE),exact(metadata!E928,"256318"))</f>
        <v>0</v>
      </c>
    </row>
    <row r="929" spans="1:19">
      <c r="A929" s="4">
        <f>IF(B929=" "," ",HYPERLINK(CONCATENATE("#metadata!",ADDRESS(INDEX($K$2:$K$1001,MATCH(ROWS($I$2:I929),$I$2:$I$1001,0),0),1)),INDEX($N$2:$N$1001,MATCH(ROWS($I$2:I929),$I$2:$I$1001,0),0)))</f>
        <v>0</v>
      </c>
      <c r="B929" s="3">
        <f>IF(OR(INDEX($J$2:$J$1001,MATCH(ROWS($I$2:I929),$I$2:$I$1001,0),1)&gt;=100000,INDEX($P$1005:$S$1005,1,MATCH(COLUMNS($P$1006:P1006),$P$1006:$S$1006,0))&gt;=100000), " ",IF(INDEX($P$2:$S$1001,MATCH(ROWS($I$2:I929),$I$2:$I$1001,0),MATCH(COLUMNS($P$1006:P1006),$P$1006:$S$1006,0)), HYPERLINK("#",""), HYPERLINK(CONCATENATE("#metadata!", ADDRESS(INDEX($K$2:$K$1001,MATCH(ROWS($I$2:I929),$I$2:$I$1001,0),0), INDEX($P$1004:$S$1004,1,MATCH(COLUMNS($P$1006:P1006),$P$1006:$S$1006,0)))),"Fix")))</f>
        <v>0</v>
      </c>
      <c r="C929" s="3">
        <f>IF(OR(INDEX($J$2:$J$1001,MATCH(ROWS($I$2:I929),$I$2:$I$1001,0),1)&gt;=100000,INDEX($P$1005:$S$1005,1,MATCH(COLUMNS($P$1006:Q1006),$P$1006:$S$1006,0))&gt;=100000), " ",IF(INDEX($P$2:$S$1001,MATCH(ROWS($I$2:I929),$I$2:$I$1001,0),MATCH(COLUMNS($P$1006:Q1006),$P$1006:$S$1006,0)), HYPERLINK("#",""), HYPERLINK(CONCATENATE("#metadata!", ADDRESS(INDEX($K$2:$K$1001,MATCH(ROWS($I$2:I929),$I$2:$I$1001,0),0), INDEX($P$1004:$S$1004,1,MATCH(COLUMNS($P$1006:Q1006),$P$1006:$S$1006,0)))),"Fix")))</f>
        <v>0</v>
      </c>
      <c r="D929" s="3">
        <f>IF(OR(INDEX($J$2:$J$1001,MATCH(ROWS($I$2:I929),$I$2:$I$1001,0),1)&gt;=100000,INDEX($P$1005:$S$1005,1,MATCH(COLUMNS($P$1006:R1006),$P$1006:$S$1006,0))&gt;=100000), " ",IF(INDEX($P$2:$S$1001,MATCH(ROWS($I$2:I929),$I$2:$I$1001,0),MATCH(COLUMNS($P$1006:R1006),$P$1006:$S$1006,0)), HYPERLINK("#",""), HYPERLINK(CONCATENATE("#metadata!", ADDRESS(INDEX($K$2:$K$1001,MATCH(ROWS($I$2:I929),$I$2:$I$1001,0),0), INDEX($P$1004:$S$1004,1,MATCH(COLUMNS($P$1006:R1006),$P$1006:$S$1006,0)))),"Fix")))</f>
        <v>0</v>
      </c>
      <c r="E929" s="3">
        <f>IF(OR(INDEX($J$2:$J$1001,MATCH(ROWS($I$2:I929),$I$2:$I$1001,0),1)&gt;=100000,INDEX($P$1005:$S$1005,1,MATCH(COLUMNS($P$1006:S1006),$P$1006:$S$1006,0))&gt;=100000), " ",IF(INDEX($P$2:$S$1001,MATCH(ROWS($I$2:I929),$I$2:$I$1001,0),MATCH(COLUMNS($P$1006:S1006),$P$1006:$S$1006,0)), HYPERLINK("#",""), HYPERLINK(CONCATENATE("#metadata!", ADDRESS(INDEX($K$2:$K$1001,MATCH(ROWS($I$2:I929),$I$2:$I$1001,0),0), INDEX($P$1004:$S$1004,1,MATCH(COLUMNS($P$1006:S1006),$P$1006:$S$1006,0)))),"Fix")))</f>
        <v>0</v>
      </c>
      <c r="I929">
        <v>0</v>
      </c>
      <c r="J929">
        <v>0</v>
      </c>
      <c r="K929">
        <v>0</v>
      </c>
      <c r="L929">
        <f>IF(M929,TRUE,AND(P929:S929))</f>
        <v>0</v>
      </c>
      <c r="M929">
        <f>COUNTBLANK(metadata!B929:E929)=COLUMNS(metadata!B929:E929)</f>
        <v>0</v>
      </c>
      <c r="N929">
        <v>0</v>
      </c>
      <c r="P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Q929">
        <f>AND(IF(metadata!C929="",FALSE,TRUE),exact(metadata!C929,"other"))</f>
        <v>0</v>
      </c>
      <c r="R929">
        <f>AND(IF(metadata!D929="",FALSE,TRUE),exact(metadata!D929,"metagenome"))</f>
        <v>0</v>
      </c>
      <c r="S929">
        <f>AND(IF(metadata!E929="",FALSE,TRUE),exact(metadata!E929,"256318"))</f>
        <v>0</v>
      </c>
    </row>
    <row r="930" spans="1:19">
      <c r="A930" s="4">
        <f>IF(B930=" "," ",HYPERLINK(CONCATENATE("#metadata!",ADDRESS(INDEX($K$2:$K$1001,MATCH(ROWS($I$2:I930),$I$2:$I$1001,0),0),1)),INDEX($N$2:$N$1001,MATCH(ROWS($I$2:I930),$I$2:$I$1001,0),0)))</f>
        <v>0</v>
      </c>
      <c r="B930" s="3">
        <f>IF(OR(INDEX($J$2:$J$1001,MATCH(ROWS($I$2:I930),$I$2:$I$1001,0),1)&gt;=100000,INDEX($P$1005:$S$1005,1,MATCH(COLUMNS($P$1006:P1006),$P$1006:$S$1006,0))&gt;=100000), " ",IF(INDEX($P$2:$S$1001,MATCH(ROWS($I$2:I930),$I$2:$I$1001,0),MATCH(COLUMNS($P$1006:P1006),$P$1006:$S$1006,0)), HYPERLINK("#",""), HYPERLINK(CONCATENATE("#metadata!", ADDRESS(INDEX($K$2:$K$1001,MATCH(ROWS($I$2:I930),$I$2:$I$1001,0),0), INDEX($P$1004:$S$1004,1,MATCH(COLUMNS($P$1006:P1006),$P$1006:$S$1006,0)))),"Fix")))</f>
        <v>0</v>
      </c>
      <c r="C930" s="3">
        <f>IF(OR(INDEX($J$2:$J$1001,MATCH(ROWS($I$2:I930),$I$2:$I$1001,0),1)&gt;=100000,INDEX($P$1005:$S$1005,1,MATCH(COLUMNS($P$1006:Q1006),$P$1006:$S$1006,0))&gt;=100000), " ",IF(INDEX($P$2:$S$1001,MATCH(ROWS($I$2:I930),$I$2:$I$1001,0),MATCH(COLUMNS($P$1006:Q1006),$P$1006:$S$1006,0)), HYPERLINK("#",""), HYPERLINK(CONCATENATE("#metadata!", ADDRESS(INDEX($K$2:$K$1001,MATCH(ROWS($I$2:I930),$I$2:$I$1001,0),0), INDEX($P$1004:$S$1004,1,MATCH(COLUMNS($P$1006:Q1006),$P$1006:$S$1006,0)))),"Fix")))</f>
        <v>0</v>
      </c>
      <c r="D930" s="3">
        <f>IF(OR(INDEX($J$2:$J$1001,MATCH(ROWS($I$2:I930),$I$2:$I$1001,0),1)&gt;=100000,INDEX($P$1005:$S$1005,1,MATCH(COLUMNS($P$1006:R1006),$P$1006:$S$1006,0))&gt;=100000), " ",IF(INDEX($P$2:$S$1001,MATCH(ROWS($I$2:I930),$I$2:$I$1001,0),MATCH(COLUMNS($P$1006:R1006),$P$1006:$S$1006,0)), HYPERLINK("#",""), HYPERLINK(CONCATENATE("#metadata!", ADDRESS(INDEX($K$2:$K$1001,MATCH(ROWS($I$2:I930),$I$2:$I$1001,0),0), INDEX($P$1004:$S$1004,1,MATCH(COLUMNS($P$1006:R1006),$P$1006:$S$1006,0)))),"Fix")))</f>
        <v>0</v>
      </c>
      <c r="E930" s="3">
        <f>IF(OR(INDEX($J$2:$J$1001,MATCH(ROWS($I$2:I930),$I$2:$I$1001,0),1)&gt;=100000,INDEX($P$1005:$S$1005,1,MATCH(COLUMNS($P$1006:S1006),$P$1006:$S$1006,0))&gt;=100000), " ",IF(INDEX($P$2:$S$1001,MATCH(ROWS($I$2:I930),$I$2:$I$1001,0),MATCH(COLUMNS($P$1006:S1006),$P$1006:$S$1006,0)), HYPERLINK("#",""), HYPERLINK(CONCATENATE("#metadata!", ADDRESS(INDEX($K$2:$K$1001,MATCH(ROWS($I$2:I930),$I$2:$I$1001,0),0), INDEX($P$1004:$S$1004,1,MATCH(COLUMNS($P$1006:S1006),$P$1006:$S$1006,0)))),"Fix")))</f>
        <v>0</v>
      </c>
      <c r="I930">
        <v>0</v>
      </c>
      <c r="J930">
        <v>0</v>
      </c>
      <c r="K930">
        <v>0</v>
      </c>
      <c r="L930">
        <f>IF(M930,TRUE,AND(P930:S930))</f>
        <v>0</v>
      </c>
      <c r="M930">
        <f>COUNTBLANK(metadata!B930:E930)=COLUMNS(metadata!B930:E930)</f>
        <v>0</v>
      </c>
      <c r="N930">
        <v>0</v>
      </c>
      <c r="P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Q930">
        <f>AND(IF(metadata!C930="",FALSE,TRUE),exact(metadata!C930,"other"))</f>
        <v>0</v>
      </c>
      <c r="R930">
        <f>AND(IF(metadata!D930="",FALSE,TRUE),exact(metadata!D930,"metagenome"))</f>
        <v>0</v>
      </c>
      <c r="S930">
        <f>AND(IF(metadata!E930="",FALSE,TRUE),exact(metadata!E930,"256318"))</f>
        <v>0</v>
      </c>
    </row>
    <row r="931" spans="1:19">
      <c r="A931" s="4">
        <f>IF(B931=" "," ",HYPERLINK(CONCATENATE("#metadata!",ADDRESS(INDEX($K$2:$K$1001,MATCH(ROWS($I$2:I931),$I$2:$I$1001,0),0),1)),INDEX($N$2:$N$1001,MATCH(ROWS($I$2:I931),$I$2:$I$1001,0),0)))</f>
        <v>0</v>
      </c>
      <c r="B931" s="3">
        <f>IF(OR(INDEX($J$2:$J$1001,MATCH(ROWS($I$2:I931),$I$2:$I$1001,0),1)&gt;=100000,INDEX($P$1005:$S$1005,1,MATCH(COLUMNS($P$1006:P1006),$P$1006:$S$1006,0))&gt;=100000), " ",IF(INDEX($P$2:$S$1001,MATCH(ROWS($I$2:I931),$I$2:$I$1001,0),MATCH(COLUMNS($P$1006:P1006),$P$1006:$S$1006,0)), HYPERLINK("#",""), HYPERLINK(CONCATENATE("#metadata!", ADDRESS(INDEX($K$2:$K$1001,MATCH(ROWS($I$2:I931),$I$2:$I$1001,0),0), INDEX($P$1004:$S$1004,1,MATCH(COLUMNS($P$1006:P1006),$P$1006:$S$1006,0)))),"Fix")))</f>
        <v>0</v>
      </c>
      <c r="C931" s="3">
        <f>IF(OR(INDEX($J$2:$J$1001,MATCH(ROWS($I$2:I931),$I$2:$I$1001,0),1)&gt;=100000,INDEX($P$1005:$S$1005,1,MATCH(COLUMNS($P$1006:Q1006),$P$1006:$S$1006,0))&gt;=100000), " ",IF(INDEX($P$2:$S$1001,MATCH(ROWS($I$2:I931),$I$2:$I$1001,0),MATCH(COLUMNS($P$1006:Q1006),$P$1006:$S$1006,0)), HYPERLINK("#",""), HYPERLINK(CONCATENATE("#metadata!", ADDRESS(INDEX($K$2:$K$1001,MATCH(ROWS($I$2:I931),$I$2:$I$1001,0),0), INDEX($P$1004:$S$1004,1,MATCH(COLUMNS($P$1006:Q1006),$P$1006:$S$1006,0)))),"Fix")))</f>
        <v>0</v>
      </c>
      <c r="D931" s="3">
        <f>IF(OR(INDEX($J$2:$J$1001,MATCH(ROWS($I$2:I931),$I$2:$I$1001,0),1)&gt;=100000,INDEX($P$1005:$S$1005,1,MATCH(COLUMNS($P$1006:R1006),$P$1006:$S$1006,0))&gt;=100000), " ",IF(INDEX($P$2:$S$1001,MATCH(ROWS($I$2:I931),$I$2:$I$1001,0),MATCH(COLUMNS($P$1006:R1006),$P$1006:$S$1006,0)), HYPERLINK("#",""), HYPERLINK(CONCATENATE("#metadata!", ADDRESS(INDEX($K$2:$K$1001,MATCH(ROWS($I$2:I931),$I$2:$I$1001,0),0), INDEX($P$1004:$S$1004,1,MATCH(COLUMNS($P$1006:R1006),$P$1006:$S$1006,0)))),"Fix")))</f>
        <v>0</v>
      </c>
      <c r="E931" s="3">
        <f>IF(OR(INDEX($J$2:$J$1001,MATCH(ROWS($I$2:I931),$I$2:$I$1001,0),1)&gt;=100000,INDEX($P$1005:$S$1005,1,MATCH(COLUMNS($P$1006:S1006),$P$1006:$S$1006,0))&gt;=100000), " ",IF(INDEX($P$2:$S$1001,MATCH(ROWS($I$2:I931),$I$2:$I$1001,0),MATCH(COLUMNS($P$1006:S1006),$P$1006:$S$1006,0)), HYPERLINK("#",""), HYPERLINK(CONCATENATE("#metadata!", ADDRESS(INDEX($K$2:$K$1001,MATCH(ROWS($I$2:I931),$I$2:$I$1001,0),0), INDEX($P$1004:$S$1004,1,MATCH(COLUMNS($P$1006:S1006),$P$1006:$S$1006,0)))),"Fix")))</f>
        <v>0</v>
      </c>
      <c r="I931">
        <v>0</v>
      </c>
      <c r="J931">
        <v>0</v>
      </c>
      <c r="K931">
        <v>0</v>
      </c>
      <c r="L931">
        <f>IF(M931,TRUE,AND(P931:S931))</f>
        <v>0</v>
      </c>
      <c r="M931">
        <f>COUNTBLANK(metadata!B931:E931)=COLUMNS(metadata!B931:E931)</f>
        <v>0</v>
      </c>
      <c r="N931">
        <v>0</v>
      </c>
      <c r="P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Q931">
        <f>AND(IF(metadata!C931="",FALSE,TRUE),exact(metadata!C931,"other"))</f>
        <v>0</v>
      </c>
      <c r="R931">
        <f>AND(IF(metadata!D931="",FALSE,TRUE),exact(metadata!D931,"metagenome"))</f>
        <v>0</v>
      </c>
      <c r="S931">
        <f>AND(IF(metadata!E931="",FALSE,TRUE),exact(metadata!E931,"256318"))</f>
        <v>0</v>
      </c>
    </row>
    <row r="932" spans="1:19">
      <c r="A932" s="4">
        <f>IF(B932=" "," ",HYPERLINK(CONCATENATE("#metadata!",ADDRESS(INDEX($K$2:$K$1001,MATCH(ROWS($I$2:I932),$I$2:$I$1001,0),0),1)),INDEX($N$2:$N$1001,MATCH(ROWS($I$2:I932),$I$2:$I$1001,0),0)))</f>
        <v>0</v>
      </c>
      <c r="B932" s="3">
        <f>IF(OR(INDEX($J$2:$J$1001,MATCH(ROWS($I$2:I932),$I$2:$I$1001,0),1)&gt;=100000,INDEX($P$1005:$S$1005,1,MATCH(COLUMNS($P$1006:P1006),$P$1006:$S$1006,0))&gt;=100000), " ",IF(INDEX($P$2:$S$1001,MATCH(ROWS($I$2:I932),$I$2:$I$1001,0),MATCH(COLUMNS($P$1006:P1006),$P$1006:$S$1006,0)), HYPERLINK("#",""), HYPERLINK(CONCATENATE("#metadata!", ADDRESS(INDEX($K$2:$K$1001,MATCH(ROWS($I$2:I932),$I$2:$I$1001,0),0), INDEX($P$1004:$S$1004,1,MATCH(COLUMNS($P$1006:P1006),$P$1006:$S$1006,0)))),"Fix")))</f>
        <v>0</v>
      </c>
      <c r="C932" s="3">
        <f>IF(OR(INDEX($J$2:$J$1001,MATCH(ROWS($I$2:I932),$I$2:$I$1001,0),1)&gt;=100000,INDEX($P$1005:$S$1005,1,MATCH(COLUMNS($P$1006:Q1006),$P$1006:$S$1006,0))&gt;=100000), " ",IF(INDEX($P$2:$S$1001,MATCH(ROWS($I$2:I932),$I$2:$I$1001,0),MATCH(COLUMNS($P$1006:Q1006),$P$1006:$S$1006,0)), HYPERLINK("#",""), HYPERLINK(CONCATENATE("#metadata!", ADDRESS(INDEX($K$2:$K$1001,MATCH(ROWS($I$2:I932),$I$2:$I$1001,0),0), INDEX($P$1004:$S$1004,1,MATCH(COLUMNS($P$1006:Q1006),$P$1006:$S$1006,0)))),"Fix")))</f>
        <v>0</v>
      </c>
      <c r="D932" s="3">
        <f>IF(OR(INDEX($J$2:$J$1001,MATCH(ROWS($I$2:I932),$I$2:$I$1001,0),1)&gt;=100000,INDEX($P$1005:$S$1005,1,MATCH(COLUMNS($P$1006:R1006),$P$1006:$S$1006,0))&gt;=100000), " ",IF(INDEX($P$2:$S$1001,MATCH(ROWS($I$2:I932),$I$2:$I$1001,0),MATCH(COLUMNS($P$1006:R1006),$P$1006:$S$1006,0)), HYPERLINK("#",""), HYPERLINK(CONCATENATE("#metadata!", ADDRESS(INDEX($K$2:$K$1001,MATCH(ROWS($I$2:I932),$I$2:$I$1001,0),0), INDEX($P$1004:$S$1004,1,MATCH(COLUMNS($P$1006:R1006),$P$1006:$S$1006,0)))),"Fix")))</f>
        <v>0</v>
      </c>
      <c r="E932" s="3">
        <f>IF(OR(INDEX($J$2:$J$1001,MATCH(ROWS($I$2:I932),$I$2:$I$1001,0),1)&gt;=100000,INDEX($P$1005:$S$1005,1,MATCH(COLUMNS($P$1006:S1006),$P$1006:$S$1006,0))&gt;=100000), " ",IF(INDEX($P$2:$S$1001,MATCH(ROWS($I$2:I932),$I$2:$I$1001,0),MATCH(COLUMNS($P$1006:S1006),$P$1006:$S$1006,0)), HYPERLINK("#",""), HYPERLINK(CONCATENATE("#metadata!", ADDRESS(INDEX($K$2:$K$1001,MATCH(ROWS($I$2:I932),$I$2:$I$1001,0),0), INDEX($P$1004:$S$1004,1,MATCH(COLUMNS($P$1006:S1006),$P$1006:$S$1006,0)))),"Fix")))</f>
        <v>0</v>
      </c>
      <c r="I932">
        <v>0</v>
      </c>
      <c r="J932">
        <v>0</v>
      </c>
      <c r="K932">
        <v>0</v>
      </c>
      <c r="L932">
        <f>IF(M932,TRUE,AND(P932:S932))</f>
        <v>0</v>
      </c>
      <c r="M932">
        <f>COUNTBLANK(metadata!B932:E932)=COLUMNS(metadata!B932:E932)</f>
        <v>0</v>
      </c>
      <c r="N932">
        <v>0</v>
      </c>
      <c r="P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Q932">
        <f>AND(IF(metadata!C932="",FALSE,TRUE),exact(metadata!C932,"other"))</f>
        <v>0</v>
      </c>
      <c r="R932">
        <f>AND(IF(metadata!D932="",FALSE,TRUE),exact(metadata!D932,"metagenome"))</f>
        <v>0</v>
      </c>
      <c r="S932">
        <f>AND(IF(metadata!E932="",FALSE,TRUE),exact(metadata!E932,"256318"))</f>
        <v>0</v>
      </c>
    </row>
    <row r="933" spans="1:19">
      <c r="A933" s="4">
        <f>IF(B933=" "," ",HYPERLINK(CONCATENATE("#metadata!",ADDRESS(INDEX($K$2:$K$1001,MATCH(ROWS($I$2:I933),$I$2:$I$1001,0),0),1)),INDEX($N$2:$N$1001,MATCH(ROWS($I$2:I933),$I$2:$I$1001,0),0)))</f>
        <v>0</v>
      </c>
      <c r="B933" s="3">
        <f>IF(OR(INDEX($J$2:$J$1001,MATCH(ROWS($I$2:I933),$I$2:$I$1001,0),1)&gt;=100000,INDEX($P$1005:$S$1005,1,MATCH(COLUMNS($P$1006:P1006),$P$1006:$S$1006,0))&gt;=100000), " ",IF(INDEX($P$2:$S$1001,MATCH(ROWS($I$2:I933),$I$2:$I$1001,0),MATCH(COLUMNS($P$1006:P1006),$P$1006:$S$1006,0)), HYPERLINK("#",""), HYPERLINK(CONCATENATE("#metadata!", ADDRESS(INDEX($K$2:$K$1001,MATCH(ROWS($I$2:I933),$I$2:$I$1001,0),0), INDEX($P$1004:$S$1004,1,MATCH(COLUMNS($P$1006:P1006),$P$1006:$S$1006,0)))),"Fix")))</f>
        <v>0</v>
      </c>
      <c r="C933" s="3">
        <f>IF(OR(INDEX($J$2:$J$1001,MATCH(ROWS($I$2:I933),$I$2:$I$1001,0),1)&gt;=100000,INDEX($P$1005:$S$1005,1,MATCH(COLUMNS($P$1006:Q1006),$P$1006:$S$1006,0))&gt;=100000), " ",IF(INDEX($P$2:$S$1001,MATCH(ROWS($I$2:I933),$I$2:$I$1001,0),MATCH(COLUMNS($P$1006:Q1006),$P$1006:$S$1006,0)), HYPERLINK("#",""), HYPERLINK(CONCATENATE("#metadata!", ADDRESS(INDEX($K$2:$K$1001,MATCH(ROWS($I$2:I933),$I$2:$I$1001,0),0), INDEX($P$1004:$S$1004,1,MATCH(COLUMNS($P$1006:Q1006),$P$1006:$S$1006,0)))),"Fix")))</f>
        <v>0</v>
      </c>
      <c r="D933" s="3">
        <f>IF(OR(INDEX($J$2:$J$1001,MATCH(ROWS($I$2:I933),$I$2:$I$1001,0),1)&gt;=100000,INDEX($P$1005:$S$1005,1,MATCH(COLUMNS($P$1006:R1006),$P$1006:$S$1006,0))&gt;=100000), " ",IF(INDEX($P$2:$S$1001,MATCH(ROWS($I$2:I933),$I$2:$I$1001,0),MATCH(COLUMNS($P$1006:R1006),$P$1006:$S$1006,0)), HYPERLINK("#",""), HYPERLINK(CONCATENATE("#metadata!", ADDRESS(INDEX($K$2:$K$1001,MATCH(ROWS($I$2:I933),$I$2:$I$1001,0),0), INDEX($P$1004:$S$1004,1,MATCH(COLUMNS($P$1006:R1006),$P$1006:$S$1006,0)))),"Fix")))</f>
        <v>0</v>
      </c>
      <c r="E933" s="3">
        <f>IF(OR(INDEX($J$2:$J$1001,MATCH(ROWS($I$2:I933),$I$2:$I$1001,0),1)&gt;=100000,INDEX($P$1005:$S$1005,1,MATCH(COLUMNS($P$1006:S1006),$P$1006:$S$1006,0))&gt;=100000), " ",IF(INDEX($P$2:$S$1001,MATCH(ROWS($I$2:I933),$I$2:$I$1001,0),MATCH(COLUMNS($P$1006:S1006),$P$1006:$S$1006,0)), HYPERLINK("#",""), HYPERLINK(CONCATENATE("#metadata!", ADDRESS(INDEX($K$2:$K$1001,MATCH(ROWS($I$2:I933),$I$2:$I$1001,0),0), INDEX($P$1004:$S$1004,1,MATCH(COLUMNS($P$1006:S1006),$P$1006:$S$1006,0)))),"Fix")))</f>
        <v>0</v>
      </c>
      <c r="I933">
        <v>0</v>
      </c>
      <c r="J933">
        <v>0</v>
      </c>
      <c r="K933">
        <v>0</v>
      </c>
      <c r="L933">
        <f>IF(M933,TRUE,AND(P933:S933))</f>
        <v>0</v>
      </c>
      <c r="M933">
        <f>COUNTBLANK(metadata!B933:E933)=COLUMNS(metadata!B933:E933)</f>
        <v>0</v>
      </c>
      <c r="N933">
        <v>0</v>
      </c>
      <c r="P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Q933">
        <f>AND(IF(metadata!C933="",FALSE,TRUE),exact(metadata!C933,"other"))</f>
        <v>0</v>
      </c>
      <c r="R933">
        <f>AND(IF(metadata!D933="",FALSE,TRUE),exact(metadata!D933,"metagenome"))</f>
        <v>0</v>
      </c>
      <c r="S933">
        <f>AND(IF(metadata!E933="",FALSE,TRUE),exact(metadata!E933,"256318"))</f>
        <v>0</v>
      </c>
    </row>
    <row r="934" spans="1:19">
      <c r="A934" s="4">
        <f>IF(B934=" "," ",HYPERLINK(CONCATENATE("#metadata!",ADDRESS(INDEX($K$2:$K$1001,MATCH(ROWS($I$2:I934),$I$2:$I$1001,0),0),1)),INDEX($N$2:$N$1001,MATCH(ROWS($I$2:I934),$I$2:$I$1001,0),0)))</f>
        <v>0</v>
      </c>
      <c r="B934" s="3">
        <f>IF(OR(INDEX($J$2:$J$1001,MATCH(ROWS($I$2:I934),$I$2:$I$1001,0),1)&gt;=100000,INDEX($P$1005:$S$1005,1,MATCH(COLUMNS($P$1006:P1006),$P$1006:$S$1006,0))&gt;=100000), " ",IF(INDEX($P$2:$S$1001,MATCH(ROWS($I$2:I934),$I$2:$I$1001,0),MATCH(COLUMNS($P$1006:P1006),$P$1006:$S$1006,0)), HYPERLINK("#",""), HYPERLINK(CONCATENATE("#metadata!", ADDRESS(INDEX($K$2:$K$1001,MATCH(ROWS($I$2:I934),$I$2:$I$1001,0),0), INDEX($P$1004:$S$1004,1,MATCH(COLUMNS($P$1006:P1006),$P$1006:$S$1006,0)))),"Fix")))</f>
        <v>0</v>
      </c>
      <c r="C934" s="3">
        <f>IF(OR(INDEX($J$2:$J$1001,MATCH(ROWS($I$2:I934),$I$2:$I$1001,0),1)&gt;=100000,INDEX($P$1005:$S$1005,1,MATCH(COLUMNS($P$1006:Q1006),$P$1006:$S$1006,0))&gt;=100000), " ",IF(INDEX($P$2:$S$1001,MATCH(ROWS($I$2:I934),$I$2:$I$1001,0),MATCH(COLUMNS($P$1006:Q1006),$P$1006:$S$1006,0)), HYPERLINK("#",""), HYPERLINK(CONCATENATE("#metadata!", ADDRESS(INDEX($K$2:$K$1001,MATCH(ROWS($I$2:I934),$I$2:$I$1001,0),0), INDEX($P$1004:$S$1004,1,MATCH(COLUMNS($P$1006:Q1006),$P$1006:$S$1006,0)))),"Fix")))</f>
        <v>0</v>
      </c>
      <c r="D934" s="3">
        <f>IF(OR(INDEX($J$2:$J$1001,MATCH(ROWS($I$2:I934),$I$2:$I$1001,0),1)&gt;=100000,INDEX($P$1005:$S$1005,1,MATCH(COLUMNS($P$1006:R1006),$P$1006:$S$1006,0))&gt;=100000), " ",IF(INDEX($P$2:$S$1001,MATCH(ROWS($I$2:I934),$I$2:$I$1001,0),MATCH(COLUMNS($P$1006:R1006),$P$1006:$S$1006,0)), HYPERLINK("#",""), HYPERLINK(CONCATENATE("#metadata!", ADDRESS(INDEX($K$2:$K$1001,MATCH(ROWS($I$2:I934),$I$2:$I$1001,0),0), INDEX($P$1004:$S$1004,1,MATCH(COLUMNS($P$1006:R1006),$P$1006:$S$1006,0)))),"Fix")))</f>
        <v>0</v>
      </c>
      <c r="E934" s="3">
        <f>IF(OR(INDEX($J$2:$J$1001,MATCH(ROWS($I$2:I934),$I$2:$I$1001,0),1)&gt;=100000,INDEX($P$1005:$S$1005,1,MATCH(COLUMNS($P$1006:S1006),$P$1006:$S$1006,0))&gt;=100000), " ",IF(INDEX($P$2:$S$1001,MATCH(ROWS($I$2:I934),$I$2:$I$1001,0),MATCH(COLUMNS($P$1006:S1006),$P$1006:$S$1006,0)), HYPERLINK("#",""), HYPERLINK(CONCATENATE("#metadata!", ADDRESS(INDEX($K$2:$K$1001,MATCH(ROWS($I$2:I934),$I$2:$I$1001,0),0), INDEX($P$1004:$S$1004,1,MATCH(COLUMNS($P$1006:S1006),$P$1006:$S$1006,0)))),"Fix")))</f>
        <v>0</v>
      </c>
      <c r="I934">
        <v>0</v>
      </c>
      <c r="J934">
        <v>0</v>
      </c>
      <c r="K934">
        <v>0</v>
      </c>
      <c r="L934">
        <f>IF(M934,TRUE,AND(P934:S934))</f>
        <v>0</v>
      </c>
      <c r="M934">
        <f>COUNTBLANK(metadata!B934:E934)=COLUMNS(metadata!B934:E934)</f>
        <v>0</v>
      </c>
      <c r="N934">
        <v>0</v>
      </c>
      <c r="P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Q934">
        <f>AND(IF(metadata!C934="",FALSE,TRUE),exact(metadata!C934,"other"))</f>
        <v>0</v>
      </c>
      <c r="R934">
        <f>AND(IF(metadata!D934="",FALSE,TRUE),exact(metadata!D934,"metagenome"))</f>
        <v>0</v>
      </c>
      <c r="S934">
        <f>AND(IF(metadata!E934="",FALSE,TRUE),exact(metadata!E934,"256318"))</f>
        <v>0</v>
      </c>
    </row>
    <row r="935" spans="1:19">
      <c r="A935" s="4">
        <f>IF(B935=" "," ",HYPERLINK(CONCATENATE("#metadata!",ADDRESS(INDEX($K$2:$K$1001,MATCH(ROWS($I$2:I935),$I$2:$I$1001,0),0),1)),INDEX($N$2:$N$1001,MATCH(ROWS($I$2:I935),$I$2:$I$1001,0),0)))</f>
        <v>0</v>
      </c>
      <c r="B935" s="3">
        <f>IF(OR(INDEX($J$2:$J$1001,MATCH(ROWS($I$2:I935),$I$2:$I$1001,0),1)&gt;=100000,INDEX($P$1005:$S$1005,1,MATCH(COLUMNS($P$1006:P1006),$P$1006:$S$1006,0))&gt;=100000), " ",IF(INDEX($P$2:$S$1001,MATCH(ROWS($I$2:I935),$I$2:$I$1001,0),MATCH(COLUMNS($P$1006:P1006),$P$1006:$S$1006,0)), HYPERLINK("#",""), HYPERLINK(CONCATENATE("#metadata!", ADDRESS(INDEX($K$2:$K$1001,MATCH(ROWS($I$2:I935),$I$2:$I$1001,0),0), INDEX($P$1004:$S$1004,1,MATCH(COLUMNS($P$1006:P1006),$P$1006:$S$1006,0)))),"Fix")))</f>
        <v>0</v>
      </c>
      <c r="C935" s="3">
        <f>IF(OR(INDEX($J$2:$J$1001,MATCH(ROWS($I$2:I935),$I$2:$I$1001,0),1)&gt;=100000,INDEX($P$1005:$S$1005,1,MATCH(COLUMNS($P$1006:Q1006),$P$1006:$S$1006,0))&gt;=100000), " ",IF(INDEX($P$2:$S$1001,MATCH(ROWS($I$2:I935),$I$2:$I$1001,0),MATCH(COLUMNS($P$1006:Q1006),$P$1006:$S$1006,0)), HYPERLINK("#",""), HYPERLINK(CONCATENATE("#metadata!", ADDRESS(INDEX($K$2:$K$1001,MATCH(ROWS($I$2:I935),$I$2:$I$1001,0),0), INDEX($P$1004:$S$1004,1,MATCH(COLUMNS($P$1006:Q1006),$P$1006:$S$1006,0)))),"Fix")))</f>
        <v>0</v>
      </c>
      <c r="D935" s="3">
        <f>IF(OR(INDEX($J$2:$J$1001,MATCH(ROWS($I$2:I935),$I$2:$I$1001,0),1)&gt;=100000,INDEX($P$1005:$S$1005,1,MATCH(COLUMNS($P$1006:R1006),$P$1006:$S$1006,0))&gt;=100000), " ",IF(INDEX($P$2:$S$1001,MATCH(ROWS($I$2:I935),$I$2:$I$1001,0),MATCH(COLUMNS($P$1006:R1006),$P$1006:$S$1006,0)), HYPERLINK("#",""), HYPERLINK(CONCATENATE("#metadata!", ADDRESS(INDEX($K$2:$K$1001,MATCH(ROWS($I$2:I935),$I$2:$I$1001,0),0), INDEX($P$1004:$S$1004,1,MATCH(COLUMNS($P$1006:R1006),$P$1006:$S$1006,0)))),"Fix")))</f>
        <v>0</v>
      </c>
      <c r="E935" s="3">
        <f>IF(OR(INDEX($J$2:$J$1001,MATCH(ROWS($I$2:I935),$I$2:$I$1001,0),1)&gt;=100000,INDEX($P$1005:$S$1005,1,MATCH(COLUMNS($P$1006:S1006),$P$1006:$S$1006,0))&gt;=100000), " ",IF(INDEX($P$2:$S$1001,MATCH(ROWS($I$2:I935),$I$2:$I$1001,0),MATCH(COLUMNS($P$1006:S1006),$P$1006:$S$1006,0)), HYPERLINK("#",""), HYPERLINK(CONCATENATE("#metadata!", ADDRESS(INDEX($K$2:$K$1001,MATCH(ROWS($I$2:I935),$I$2:$I$1001,0),0), INDEX($P$1004:$S$1004,1,MATCH(COLUMNS($P$1006:S1006),$P$1006:$S$1006,0)))),"Fix")))</f>
        <v>0</v>
      </c>
      <c r="I935">
        <v>0</v>
      </c>
      <c r="J935">
        <v>0</v>
      </c>
      <c r="K935">
        <v>0</v>
      </c>
      <c r="L935">
        <f>IF(M935,TRUE,AND(P935:S935))</f>
        <v>0</v>
      </c>
      <c r="M935">
        <f>COUNTBLANK(metadata!B935:E935)=COLUMNS(metadata!B935:E935)</f>
        <v>0</v>
      </c>
      <c r="N935">
        <v>0</v>
      </c>
      <c r="P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Q935">
        <f>AND(IF(metadata!C935="",FALSE,TRUE),exact(metadata!C935,"other"))</f>
        <v>0</v>
      </c>
      <c r="R935">
        <f>AND(IF(metadata!D935="",FALSE,TRUE),exact(metadata!D935,"metagenome"))</f>
        <v>0</v>
      </c>
      <c r="S935">
        <f>AND(IF(metadata!E935="",FALSE,TRUE),exact(metadata!E935,"256318"))</f>
        <v>0</v>
      </c>
    </row>
    <row r="936" spans="1:19">
      <c r="A936" s="4">
        <f>IF(B936=" "," ",HYPERLINK(CONCATENATE("#metadata!",ADDRESS(INDEX($K$2:$K$1001,MATCH(ROWS($I$2:I936),$I$2:$I$1001,0),0),1)),INDEX($N$2:$N$1001,MATCH(ROWS($I$2:I936),$I$2:$I$1001,0),0)))</f>
        <v>0</v>
      </c>
      <c r="B936" s="3">
        <f>IF(OR(INDEX($J$2:$J$1001,MATCH(ROWS($I$2:I936),$I$2:$I$1001,0),1)&gt;=100000,INDEX($P$1005:$S$1005,1,MATCH(COLUMNS($P$1006:P1006),$P$1006:$S$1006,0))&gt;=100000), " ",IF(INDEX($P$2:$S$1001,MATCH(ROWS($I$2:I936),$I$2:$I$1001,0),MATCH(COLUMNS($P$1006:P1006),$P$1006:$S$1006,0)), HYPERLINK("#",""), HYPERLINK(CONCATENATE("#metadata!", ADDRESS(INDEX($K$2:$K$1001,MATCH(ROWS($I$2:I936),$I$2:$I$1001,0),0), INDEX($P$1004:$S$1004,1,MATCH(COLUMNS($P$1006:P1006),$P$1006:$S$1006,0)))),"Fix")))</f>
        <v>0</v>
      </c>
      <c r="C936" s="3">
        <f>IF(OR(INDEX($J$2:$J$1001,MATCH(ROWS($I$2:I936),$I$2:$I$1001,0),1)&gt;=100000,INDEX($P$1005:$S$1005,1,MATCH(COLUMNS($P$1006:Q1006),$P$1006:$S$1006,0))&gt;=100000), " ",IF(INDEX($P$2:$S$1001,MATCH(ROWS($I$2:I936),$I$2:$I$1001,0),MATCH(COLUMNS($P$1006:Q1006),$P$1006:$S$1006,0)), HYPERLINK("#",""), HYPERLINK(CONCATENATE("#metadata!", ADDRESS(INDEX($K$2:$K$1001,MATCH(ROWS($I$2:I936),$I$2:$I$1001,0),0), INDEX($P$1004:$S$1004,1,MATCH(COLUMNS($P$1006:Q1006),$P$1006:$S$1006,0)))),"Fix")))</f>
        <v>0</v>
      </c>
      <c r="D936" s="3">
        <f>IF(OR(INDEX($J$2:$J$1001,MATCH(ROWS($I$2:I936),$I$2:$I$1001,0),1)&gt;=100000,INDEX($P$1005:$S$1005,1,MATCH(COLUMNS($P$1006:R1006),$P$1006:$S$1006,0))&gt;=100000), " ",IF(INDEX($P$2:$S$1001,MATCH(ROWS($I$2:I936),$I$2:$I$1001,0),MATCH(COLUMNS($P$1006:R1006),$P$1006:$S$1006,0)), HYPERLINK("#",""), HYPERLINK(CONCATENATE("#metadata!", ADDRESS(INDEX($K$2:$K$1001,MATCH(ROWS($I$2:I936),$I$2:$I$1001,0),0), INDEX($P$1004:$S$1004,1,MATCH(COLUMNS($P$1006:R1006),$P$1006:$S$1006,0)))),"Fix")))</f>
        <v>0</v>
      </c>
      <c r="E936" s="3">
        <f>IF(OR(INDEX($J$2:$J$1001,MATCH(ROWS($I$2:I936),$I$2:$I$1001,0),1)&gt;=100000,INDEX($P$1005:$S$1005,1,MATCH(COLUMNS($P$1006:S1006),$P$1006:$S$1006,0))&gt;=100000), " ",IF(INDEX($P$2:$S$1001,MATCH(ROWS($I$2:I936),$I$2:$I$1001,0),MATCH(COLUMNS($P$1006:S1006),$P$1006:$S$1006,0)), HYPERLINK("#",""), HYPERLINK(CONCATENATE("#metadata!", ADDRESS(INDEX($K$2:$K$1001,MATCH(ROWS($I$2:I936),$I$2:$I$1001,0),0), INDEX($P$1004:$S$1004,1,MATCH(COLUMNS($P$1006:S1006),$P$1006:$S$1006,0)))),"Fix")))</f>
        <v>0</v>
      </c>
      <c r="I936">
        <v>0</v>
      </c>
      <c r="J936">
        <v>0</v>
      </c>
      <c r="K936">
        <v>0</v>
      </c>
      <c r="L936">
        <f>IF(M936,TRUE,AND(P936:S936))</f>
        <v>0</v>
      </c>
      <c r="M936">
        <f>COUNTBLANK(metadata!B936:E936)=COLUMNS(metadata!B936:E936)</f>
        <v>0</v>
      </c>
      <c r="N936">
        <v>0</v>
      </c>
      <c r="P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Q936">
        <f>AND(IF(metadata!C936="",FALSE,TRUE),exact(metadata!C936,"other"))</f>
        <v>0</v>
      </c>
      <c r="R936">
        <f>AND(IF(metadata!D936="",FALSE,TRUE),exact(metadata!D936,"metagenome"))</f>
        <v>0</v>
      </c>
      <c r="S936">
        <f>AND(IF(metadata!E936="",FALSE,TRUE),exact(metadata!E936,"256318"))</f>
        <v>0</v>
      </c>
    </row>
    <row r="937" spans="1:19">
      <c r="A937" s="4">
        <f>IF(B937=" "," ",HYPERLINK(CONCATENATE("#metadata!",ADDRESS(INDEX($K$2:$K$1001,MATCH(ROWS($I$2:I937),$I$2:$I$1001,0),0),1)),INDEX($N$2:$N$1001,MATCH(ROWS($I$2:I937),$I$2:$I$1001,0),0)))</f>
        <v>0</v>
      </c>
      <c r="B937" s="3">
        <f>IF(OR(INDEX($J$2:$J$1001,MATCH(ROWS($I$2:I937),$I$2:$I$1001,0),1)&gt;=100000,INDEX($P$1005:$S$1005,1,MATCH(COLUMNS($P$1006:P1006),$P$1006:$S$1006,0))&gt;=100000), " ",IF(INDEX($P$2:$S$1001,MATCH(ROWS($I$2:I937),$I$2:$I$1001,0),MATCH(COLUMNS($P$1006:P1006),$P$1006:$S$1006,0)), HYPERLINK("#",""), HYPERLINK(CONCATENATE("#metadata!", ADDRESS(INDEX($K$2:$K$1001,MATCH(ROWS($I$2:I937),$I$2:$I$1001,0),0), INDEX($P$1004:$S$1004,1,MATCH(COLUMNS($P$1006:P1006),$P$1006:$S$1006,0)))),"Fix")))</f>
        <v>0</v>
      </c>
      <c r="C937" s="3">
        <f>IF(OR(INDEX($J$2:$J$1001,MATCH(ROWS($I$2:I937),$I$2:$I$1001,0),1)&gt;=100000,INDEX($P$1005:$S$1005,1,MATCH(COLUMNS($P$1006:Q1006),$P$1006:$S$1006,0))&gt;=100000), " ",IF(INDEX($P$2:$S$1001,MATCH(ROWS($I$2:I937),$I$2:$I$1001,0),MATCH(COLUMNS($P$1006:Q1006),$P$1006:$S$1006,0)), HYPERLINK("#",""), HYPERLINK(CONCATENATE("#metadata!", ADDRESS(INDEX($K$2:$K$1001,MATCH(ROWS($I$2:I937),$I$2:$I$1001,0),0), INDEX($P$1004:$S$1004,1,MATCH(COLUMNS($P$1006:Q1006),$P$1006:$S$1006,0)))),"Fix")))</f>
        <v>0</v>
      </c>
      <c r="D937" s="3">
        <f>IF(OR(INDEX($J$2:$J$1001,MATCH(ROWS($I$2:I937),$I$2:$I$1001,0),1)&gt;=100000,INDEX($P$1005:$S$1005,1,MATCH(COLUMNS($P$1006:R1006),$P$1006:$S$1006,0))&gt;=100000), " ",IF(INDEX($P$2:$S$1001,MATCH(ROWS($I$2:I937),$I$2:$I$1001,0),MATCH(COLUMNS($P$1006:R1006),$P$1006:$S$1006,0)), HYPERLINK("#",""), HYPERLINK(CONCATENATE("#metadata!", ADDRESS(INDEX($K$2:$K$1001,MATCH(ROWS($I$2:I937),$I$2:$I$1001,0),0), INDEX($P$1004:$S$1004,1,MATCH(COLUMNS($P$1006:R1006),$P$1006:$S$1006,0)))),"Fix")))</f>
        <v>0</v>
      </c>
      <c r="E937" s="3">
        <f>IF(OR(INDEX($J$2:$J$1001,MATCH(ROWS($I$2:I937),$I$2:$I$1001,0),1)&gt;=100000,INDEX($P$1005:$S$1005,1,MATCH(COLUMNS($P$1006:S1006),$P$1006:$S$1006,0))&gt;=100000), " ",IF(INDEX($P$2:$S$1001,MATCH(ROWS($I$2:I937),$I$2:$I$1001,0),MATCH(COLUMNS($P$1006:S1006),$P$1006:$S$1006,0)), HYPERLINK("#",""), HYPERLINK(CONCATENATE("#metadata!", ADDRESS(INDEX($K$2:$K$1001,MATCH(ROWS($I$2:I937),$I$2:$I$1001,0),0), INDEX($P$1004:$S$1004,1,MATCH(COLUMNS($P$1006:S1006),$P$1006:$S$1006,0)))),"Fix")))</f>
        <v>0</v>
      </c>
      <c r="I937">
        <v>0</v>
      </c>
      <c r="J937">
        <v>0</v>
      </c>
      <c r="K937">
        <v>0</v>
      </c>
      <c r="L937">
        <f>IF(M937,TRUE,AND(P937:S937))</f>
        <v>0</v>
      </c>
      <c r="M937">
        <f>COUNTBLANK(metadata!B937:E937)=COLUMNS(metadata!B937:E937)</f>
        <v>0</v>
      </c>
      <c r="N937">
        <v>0</v>
      </c>
      <c r="P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Q937">
        <f>AND(IF(metadata!C937="",FALSE,TRUE),exact(metadata!C937,"other"))</f>
        <v>0</v>
      </c>
      <c r="R937">
        <f>AND(IF(metadata!D937="",FALSE,TRUE),exact(metadata!D937,"metagenome"))</f>
        <v>0</v>
      </c>
      <c r="S937">
        <f>AND(IF(metadata!E937="",FALSE,TRUE),exact(metadata!E937,"256318"))</f>
        <v>0</v>
      </c>
    </row>
    <row r="938" spans="1:19">
      <c r="A938" s="4">
        <f>IF(B938=" "," ",HYPERLINK(CONCATENATE("#metadata!",ADDRESS(INDEX($K$2:$K$1001,MATCH(ROWS($I$2:I938),$I$2:$I$1001,0),0),1)),INDEX($N$2:$N$1001,MATCH(ROWS($I$2:I938),$I$2:$I$1001,0),0)))</f>
        <v>0</v>
      </c>
      <c r="B938" s="3">
        <f>IF(OR(INDEX($J$2:$J$1001,MATCH(ROWS($I$2:I938),$I$2:$I$1001,0),1)&gt;=100000,INDEX($P$1005:$S$1005,1,MATCH(COLUMNS($P$1006:P1006),$P$1006:$S$1006,0))&gt;=100000), " ",IF(INDEX($P$2:$S$1001,MATCH(ROWS($I$2:I938),$I$2:$I$1001,0),MATCH(COLUMNS($P$1006:P1006),$P$1006:$S$1006,0)), HYPERLINK("#",""), HYPERLINK(CONCATENATE("#metadata!", ADDRESS(INDEX($K$2:$K$1001,MATCH(ROWS($I$2:I938),$I$2:$I$1001,0),0), INDEX($P$1004:$S$1004,1,MATCH(COLUMNS($P$1006:P1006),$P$1006:$S$1006,0)))),"Fix")))</f>
        <v>0</v>
      </c>
      <c r="C938" s="3">
        <f>IF(OR(INDEX($J$2:$J$1001,MATCH(ROWS($I$2:I938),$I$2:$I$1001,0),1)&gt;=100000,INDEX($P$1005:$S$1005,1,MATCH(COLUMNS($P$1006:Q1006),$P$1006:$S$1006,0))&gt;=100000), " ",IF(INDEX($P$2:$S$1001,MATCH(ROWS($I$2:I938),$I$2:$I$1001,0),MATCH(COLUMNS($P$1006:Q1006),$P$1006:$S$1006,0)), HYPERLINK("#",""), HYPERLINK(CONCATENATE("#metadata!", ADDRESS(INDEX($K$2:$K$1001,MATCH(ROWS($I$2:I938),$I$2:$I$1001,0),0), INDEX($P$1004:$S$1004,1,MATCH(COLUMNS($P$1006:Q1006),$P$1006:$S$1006,0)))),"Fix")))</f>
        <v>0</v>
      </c>
      <c r="D938" s="3">
        <f>IF(OR(INDEX($J$2:$J$1001,MATCH(ROWS($I$2:I938),$I$2:$I$1001,0),1)&gt;=100000,INDEX($P$1005:$S$1005,1,MATCH(COLUMNS($P$1006:R1006),$P$1006:$S$1006,0))&gt;=100000), " ",IF(INDEX($P$2:$S$1001,MATCH(ROWS($I$2:I938),$I$2:$I$1001,0),MATCH(COLUMNS($P$1006:R1006),$P$1006:$S$1006,0)), HYPERLINK("#",""), HYPERLINK(CONCATENATE("#metadata!", ADDRESS(INDEX($K$2:$K$1001,MATCH(ROWS($I$2:I938),$I$2:$I$1001,0),0), INDEX($P$1004:$S$1004,1,MATCH(COLUMNS($P$1006:R1006),$P$1006:$S$1006,0)))),"Fix")))</f>
        <v>0</v>
      </c>
      <c r="E938" s="3">
        <f>IF(OR(INDEX($J$2:$J$1001,MATCH(ROWS($I$2:I938),$I$2:$I$1001,0),1)&gt;=100000,INDEX($P$1005:$S$1005,1,MATCH(COLUMNS($P$1006:S1006),$P$1006:$S$1006,0))&gt;=100000), " ",IF(INDEX($P$2:$S$1001,MATCH(ROWS($I$2:I938),$I$2:$I$1001,0),MATCH(COLUMNS($P$1006:S1006),$P$1006:$S$1006,0)), HYPERLINK("#",""), HYPERLINK(CONCATENATE("#metadata!", ADDRESS(INDEX($K$2:$K$1001,MATCH(ROWS($I$2:I938),$I$2:$I$1001,0),0), INDEX($P$1004:$S$1004,1,MATCH(COLUMNS($P$1006:S1006),$P$1006:$S$1006,0)))),"Fix")))</f>
        <v>0</v>
      </c>
      <c r="I938">
        <v>0</v>
      </c>
      <c r="J938">
        <v>0</v>
      </c>
      <c r="K938">
        <v>0</v>
      </c>
      <c r="L938">
        <f>IF(M938,TRUE,AND(P938:S938))</f>
        <v>0</v>
      </c>
      <c r="M938">
        <f>COUNTBLANK(metadata!B938:E938)=COLUMNS(metadata!B938:E938)</f>
        <v>0</v>
      </c>
      <c r="N938">
        <v>0</v>
      </c>
      <c r="P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Q938">
        <f>AND(IF(metadata!C938="",FALSE,TRUE),exact(metadata!C938,"other"))</f>
        <v>0</v>
      </c>
      <c r="R938">
        <f>AND(IF(metadata!D938="",FALSE,TRUE),exact(metadata!D938,"metagenome"))</f>
        <v>0</v>
      </c>
      <c r="S938">
        <f>AND(IF(metadata!E938="",FALSE,TRUE),exact(metadata!E938,"256318"))</f>
        <v>0</v>
      </c>
    </row>
    <row r="939" spans="1:19">
      <c r="A939" s="4">
        <f>IF(B939=" "," ",HYPERLINK(CONCATENATE("#metadata!",ADDRESS(INDEX($K$2:$K$1001,MATCH(ROWS($I$2:I939),$I$2:$I$1001,0),0),1)),INDEX($N$2:$N$1001,MATCH(ROWS($I$2:I939),$I$2:$I$1001,0),0)))</f>
        <v>0</v>
      </c>
      <c r="B939" s="3">
        <f>IF(OR(INDEX($J$2:$J$1001,MATCH(ROWS($I$2:I939),$I$2:$I$1001,0),1)&gt;=100000,INDEX($P$1005:$S$1005,1,MATCH(COLUMNS($P$1006:P1006),$P$1006:$S$1006,0))&gt;=100000), " ",IF(INDEX($P$2:$S$1001,MATCH(ROWS($I$2:I939),$I$2:$I$1001,0),MATCH(COLUMNS($P$1006:P1006),$P$1006:$S$1006,0)), HYPERLINK("#",""), HYPERLINK(CONCATENATE("#metadata!", ADDRESS(INDEX($K$2:$K$1001,MATCH(ROWS($I$2:I939),$I$2:$I$1001,0),0), INDEX($P$1004:$S$1004,1,MATCH(COLUMNS($P$1006:P1006),$P$1006:$S$1006,0)))),"Fix")))</f>
        <v>0</v>
      </c>
      <c r="C939" s="3">
        <f>IF(OR(INDEX($J$2:$J$1001,MATCH(ROWS($I$2:I939),$I$2:$I$1001,0),1)&gt;=100000,INDEX($P$1005:$S$1005,1,MATCH(COLUMNS($P$1006:Q1006),$P$1006:$S$1006,0))&gt;=100000), " ",IF(INDEX($P$2:$S$1001,MATCH(ROWS($I$2:I939),$I$2:$I$1001,0),MATCH(COLUMNS($P$1006:Q1006),$P$1006:$S$1006,0)), HYPERLINK("#",""), HYPERLINK(CONCATENATE("#metadata!", ADDRESS(INDEX($K$2:$K$1001,MATCH(ROWS($I$2:I939),$I$2:$I$1001,0),0), INDEX($P$1004:$S$1004,1,MATCH(COLUMNS($P$1006:Q1006),$P$1006:$S$1006,0)))),"Fix")))</f>
        <v>0</v>
      </c>
      <c r="D939" s="3">
        <f>IF(OR(INDEX($J$2:$J$1001,MATCH(ROWS($I$2:I939),$I$2:$I$1001,0),1)&gt;=100000,INDEX($P$1005:$S$1005,1,MATCH(COLUMNS($P$1006:R1006),$P$1006:$S$1006,0))&gt;=100000), " ",IF(INDEX($P$2:$S$1001,MATCH(ROWS($I$2:I939),$I$2:$I$1001,0),MATCH(COLUMNS($P$1006:R1006),$P$1006:$S$1006,0)), HYPERLINK("#",""), HYPERLINK(CONCATENATE("#metadata!", ADDRESS(INDEX($K$2:$K$1001,MATCH(ROWS($I$2:I939),$I$2:$I$1001,0),0), INDEX($P$1004:$S$1004,1,MATCH(COLUMNS($P$1006:R1006),$P$1006:$S$1006,0)))),"Fix")))</f>
        <v>0</v>
      </c>
      <c r="E939" s="3">
        <f>IF(OR(INDEX($J$2:$J$1001,MATCH(ROWS($I$2:I939),$I$2:$I$1001,0),1)&gt;=100000,INDEX($P$1005:$S$1005,1,MATCH(COLUMNS($P$1006:S1006),$P$1006:$S$1006,0))&gt;=100000), " ",IF(INDEX($P$2:$S$1001,MATCH(ROWS($I$2:I939),$I$2:$I$1001,0),MATCH(COLUMNS($P$1006:S1006),$P$1006:$S$1006,0)), HYPERLINK("#",""), HYPERLINK(CONCATENATE("#metadata!", ADDRESS(INDEX($K$2:$K$1001,MATCH(ROWS($I$2:I939),$I$2:$I$1001,0),0), INDEX($P$1004:$S$1004,1,MATCH(COLUMNS($P$1006:S1006),$P$1006:$S$1006,0)))),"Fix")))</f>
        <v>0</v>
      </c>
      <c r="I939">
        <v>0</v>
      </c>
      <c r="J939">
        <v>0</v>
      </c>
      <c r="K939">
        <v>0</v>
      </c>
      <c r="L939">
        <f>IF(M939,TRUE,AND(P939:S939))</f>
        <v>0</v>
      </c>
      <c r="M939">
        <f>COUNTBLANK(metadata!B939:E939)=COLUMNS(metadata!B939:E939)</f>
        <v>0</v>
      </c>
      <c r="N939">
        <v>0</v>
      </c>
      <c r="P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Q939">
        <f>AND(IF(metadata!C939="",FALSE,TRUE),exact(metadata!C939,"other"))</f>
        <v>0</v>
      </c>
      <c r="R939">
        <f>AND(IF(metadata!D939="",FALSE,TRUE),exact(metadata!D939,"metagenome"))</f>
        <v>0</v>
      </c>
      <c r="S939">
        <f>AND(IF(metadata!E939="",FALSE,TRUE),exact(metadata!E939,"256318"))</f>
        <v>0</v>
      </c>
    </row>
    <row r="940" spans="1:19">
      <c r="A940" s="4">
        <f>IF(B940=" "," ",HYPERLINK(CONCATENATE("#metadata!",ADDRESS(INDEX($K$2:$K$1001,MATCH(ROWS($I$2:I940),$I$2:$I$1001,0),0),1)),INDEX($N$2:$N$1001,MATCH(ROWS($I$2:I940),$I$2:$I$1001,0),0)))</f>
        <v>0</v>
      </c>
      <c r="B940" s="3">
        <f>IF(OR(INDEX($J$2:$J$1001,MATCH(ROWS($I$2:I940),$I$2:$I$1001,0),1)&gt;=100000,INDEX($P$1005:$S$1005,1,MATCH(COLUMNS($P$1006:P1006),$P$1006:$S$1006,0))&gt;=100000), " ",IF(INDEX($P$2:$S$1001,MATCH(ROWS($I$2:I940),$I$2:$I$1001,0),MATCH(COLUMNS($P$1006:P1006),$P$1006:$S$1006,0)), HYPERLINK("#",""), HYPERLINK(CONCATENATE("#metadata!", ADDRESS(INDEX($K$2:$K$1001,MATCH(ROWS($I$2:I940),$I$2:$I$1001,0),0), INDEX($P$1004:$S$1004,1,MATCH(COLUMNS($P$1006:P1006),$P$1006:$S$1006,0)))),"Fix")))</f>
        <v>0</v>
      </c>
      <c r="C940" s="3">
        <f>IF(OR(INDEX($J$2:$J$1001,MATCH(ROWS($I$2:I940),$I$2:$I$1001,0),1)&gt;=100000,INDEX($P$1005:$S$1005,1,MATCH(COLUMNS($P$1006:Q1006),$P$1006:$S$1006,0))&gt;=100000), " ",IF(INDEX($P$2:$S$1001,MATCH(ROWS($I$2:I940),$I$2:$I$1001,0),MATCH(COLUMNS($P$1006:Q1006),$P$1006:$S$1006,0)), HYPERLINK("#",""), HYPERLINK(CONCATENATE("#metadata!", ADDRESS(INDEX($K$2:$K$1001,MATCH(ROWS($I$2:I940),$I$2:$I$1001,0),0), INDEX($P$1004:$S$1004,1,MATCH(COLUMNS($P$1006:Q1006),$P$1006:$S$1006,0)))),"Fix")))</f>
        <v>0</v>
      </c>
      <c r="D940" s="3">
        <f>IF(OR(INDEX($J$2:$J$1001,MATCH(ROWS($I$2:I940),$I$2:$I$1001,0),1)&gt;=100000,INDEX($P$1005:$S$1005,1,MATCH(COLUMNS($P$1006:R1006),$P$1006:$S$1006,0))&gt;=100000), " ",IF(INDEX($P$2:$S$1001,MATCH(ROWS($I$2:I940),$I$2:$I$1001,0),MATCH(COLUMNS($P$1006:R1006),$P$1006:$S$1006,0)), HYPERLINK("#",""), HYPERLINK(CONCATENATE("#metadata!", ADDRESS(INDEX($K$2:$K$1001,MATCH(ROWS($I$2:I940),$I$2:$I$1001,0),0), INDEX($P$1004:$S$1004,1,MATCH(COLUMNS($P$1006:R1006),$P$1006:$S$1006,0)))),"Fix")))</f>
        <v>0</v>
      </c>
      <c r="E940" s="3">
        <f>IF(OR(INDEX($J$2:$J$1001,MATCH(ROWS($I$2:I940),$I$2:$I$1001,0),1)&gt;=100000,INDEX($P$1005:$S$1005,1,MATCH(COLUMNS($P$1006:S1006),$P$1006:$S$1006,0))&gt;=100000), " ",IF(INDEX($P$2:$S$1001,MATCH(ROWS($I$2:I940),$I$2:$I$1001,0),MATCH(COLUMNS($P$1006:S1006),$P$1006:$S$1006,0)), HYPERLINK("#",""), HYPERLINK(CONCATENATE("#metadata!", ADDRESS(INDEX($K$2:$K$1001,MATCH(ROWS($I$2:I940),$I$2:$I$1001,0),0), INDEX($P$1004:$S$1004,1,MATCH(COLUMNS($P$1006:S1006),$P$1006:$S$1006,0)))),"Fix")))</f>
        <v>0</v>
      </c>
      <c r="I940">
        <v>0</v>
      </c>
      <c r="J940">
        <v>0</v>
      </c>
      <c r="K940">
        <v>0</v>
      </c>
      <c r="L940">
        <f>IF(M940,TRUE,AND(P940:S940))</f>
        <v>0</v>
      </c>
      <c r="M940">
        <f>COUNTBLANK(metadata!B940:E940)=COLUMNS(metadata!B940:E940)</f>
        <v>0</v>
      </c>
      <c r="N940">
        <v>0</v>
      </c>
      <c r="P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Q940">
        <f>AND(IF(metadata!C940="",FALSE,TRUE),exact(metadata!C940,"other"))</f>
        <v>0</v>
      </c>
      <c r="R940">
        <f>AND(IF(metadata!D940="",FALSE,TRUE),exact(metadata!D940,"metagenome"))</f>
        <v>0</v>
      </c>
      <c r="S940">
        <f>AND(IF(metadata!E940="",FALSE,TRUE),exact(metadata!E940,"256318"))</f>
        <v>0</v>
      </c>
    </row>
    <row r="941" spans="1:19">
      <c r="A941" s="4">
        <f>IF(B941=" "," ",HYPERLINK(CONCATENATE("#metadata!",ADDRESS(INDEX($K$2:$K$1001,MATCH(ROWS($I$2:I941),$I$2:$I$1001,0),0),1)),INDEX($N$2:$N$1001,MATCH(ROWS($I$2:I941),$I$2:$I$1001,0),0)))</f>
        <v>0</v>
      </c>
      <c r="B941" s="3">
        <f>IF(OR(INDEX($J$2:$J$1001,MATCH(ROWS($I$2:I941),$I$2:$I$1001,0),1)&gt;=100000,INDEX($P$1005:$S$1005,1,MATCH(COLUMNS($P$1006:P1006),$P$1006:$S$1006,0))&gt;=100000), " ",IF(INDEX($P$2:$S$1001,MATCH(ROWS($I$2:I941),$I$2:$I$1001,0),MATCH(COLUMNS($P$1006:P1006),$P$1006:$S$1006,0)), HYPERLINK("#",""), HYPERLINK(CONCATENATE("#metadata!", ADDRESS(INDEX($K$2:$K$1001,MATCH(ROWS($I$2:I941),$I$2:$I$1001,0),0), INDEX($P$1004:$S$1004,1,MATCH(COLUMNS($P$1006:P1006),$P$1006:$S$1006,0)))),"Fix")))</f>
        <v>0</v>
      </c>
      <c r="C941" s="3">
        <f>IF(OR(INDEX($J$2:$J$1001,MATCH(ROWS($I$2:I941),$I$2:$I$1001,0),1)&gt;=100000,INDEX($P$1005:$S$1005,1,MATCH(COLUMNS($P$1006:Q1006),$P$1006:$S$1006,0))&gt;=100000), " ",IF(INDEX($P$2:$S$1001,MATCH(ROWS($I$2:I941),$I$2:$I$1001,0),MATCH(COLUMNS($P$1006:Q1006),$P$1006:$S$1006,0)), HYPERLINK("#",""), HYPERLINK(CONCATENATE("#metadata!", ADDRESS(INDEX($K$2:$K$1001,MATCH(ROWS($I$2:I941),$I$2:$I$1001,0),0), INDEX($P$1004:$S$1004,1,MATCH(COLUMNS($P$1006:Q1006),$P$1006:$S$1006,0)))),"Fix")))</f>
        <v>0</v>
      </c>
      <c r="D941" s="3">
        <f>IF(OR(INDEX($J$2:$J$1001,MATCH(ROWS($I$2:I941),$I$2:$I$1001,0),1)&gt;=100000,INDEX($P$1005:$S$1005,1,MATCH(COLUMNS($P$1006:R1006),$P$1006:$S$1006,0))&gt;=100000), " ",IF(INDEX($P$2:$S$1001,MATCH(ROWS($I$2:I941),$I$2:$I$1001,0),MATCH(COLUMNS($P$1006:R1006),$P$1006:$S$1006,0)), HYPERLINK("#",""), HYPERLINK(CONCATENATE("#metadata!", ADDRESS(INDEX($K$2:$K$1001,MATCH(ROWS($I$2:I941),$I$2:$I$1001,0),0), INDEX($P$1004:$S$1004,1,MATCH(COLUMNS($P$1006:R1006),$P$1006:$S$1006,0)))),"Fix")))</f>
        <v>0</v>
      </c>
      <c r="E941" s="3">
        <f>IF(OR(INDEX($J$2:$J$1001,MATCH(ROWS($I$2:I941),$I$2:$I$1001,0),1)&gt;=100000,INDEX($P$1005:$S$1005,1,MATCH(COLUMNS($P$1006:S1006),$P$1006:$S$1006,0))&gt;=100000), " ",IF(INDEX($P$2:$S$1001,MATCH(ROWS($I$2:I941),$I$2:$I$1001,0),MATCH(COLUMNS($P$1006:S1006),$P$1006:$S$1006,0)), HYPERLINK("#",""), HYPERLINK(CONCATENATE("#metadata!", ADDRESS(INDEX($K$2:$K$1001,MATCH(ROWS($I$2:I941),$I$2:$I$1001,0),0), INDEX($P$1004:$S$1004,1,MATCH(COLUMNS($P$1006:S1006),$P$1006:$S$1006,0)))),"Fix")))</f>
        <v>0</v>
      </c>
      <c r="I941">
        <v>0</v>
      </c>
      <c r="J941">
        <v>0</v>
      </c>
      <c r="K941">
        <v>0</v>
      </c>
      <c r="L941">
        <f>IF(M941,TRUE,AND(P941:S941))</f>
        <v>0</v>
      </c>
      <c r="M941">
        <f>COUNTBLANK(metadata!B941:E941)=COLUMNS(metadata!B941:E941)</f>
        <v>0</v>
      </c>
      <c r="N941">
        <v>0</v>
      </c>
      <c r="P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Q941">
        <f>AND(IF(metadata!C941="",FALSE,TRUE),exact(metadata!C941,"other"))</f>
        <v>0</v>
      </c>
      <c r="R941">
        <f>AND(IF(metadata!D941="",FALSE,TRUE),exact(metadata!D941,"metagenome"))</f>
        <v>0</v>
      </c>
      <c r="S941">
        <f>AND(IF(metadata!E941="",FALSE,TRUE),exact(metadata!E941,"256318"))</f>
        <v>0</v>
      </c>
    </row>
    <row r="942" spans="1:19">
      <c r="A942" s="4">
        <f>IF(B942=" "," ",HYPERLINK(CONCATENATE("#metadata!",ADDRESS(INDEX($K$2:$K$1001,MATCH(ROWS($I$2:I942),$I$2:$I$1001,0),0),1)),INDEX($N$2:$N$1001,MATCH(ROWS($I$2:I942),$I$2:$I$1001,0),0)))</f>
        <v>0</v>
      </c>
      <c r="B942" s="3">
        <f>IF(OR(INDEX($J$2:$J$1001,MATCH(ROWS($I$2:I942),$I$2:$I$1001,0),1)&gt;=100000,INDEX($P$1005:$S$1005,1,MATCH(COLUMNS($P$1006:P1006),$P$1006:$S$1006,0))&gt;=100000), " ",IF(INDEX($P$2:$S$1001,MATCH(ROWS($I$2:I942),$I$2:$I$1001,0),MATCH(COLUMNS($P$1006:P1006),$P$1006:$S$1006,0)), HYPERLINK("#",""), HYPERLINK(CONCATENATE("#metadata!", ADDRESS(INDEX($K$2:$K$1001,MATCH(ROWS($I$2:I942),$I$2:$I$1001,0),0), INDEX($P$1004:$S$1004,1,MATCH(COLUMNS($P$1006:P1006),$P$1006:$S$1006,0)))),"Fix")))</f>
        <v>0</v>
      </c>
      <c r="C942" s="3">
        <f>IF(OR(INDEX($J$2:$J$1001,MATCH(ROWS($I$2:I942),$I$2:$I$1001,0),1)&gt;=100000,INDEX($P$1005:$S$1005,1,MATCH(COLUMNS($P$1006:Q1006),$P$1006:$S$1006,0))&gt;=100000), " ",IF(INDEX($P$2:$S$1001,MATCH(ROWS($I$2:I942),$I$2:$I$1001,0),MATCH(COLUMNS($P$1006:Q1006),$P$1006:$S$1006,0)), HYPERLINK("#",""), HYPERLINK(CONCATENATE("#metadata!", ADDRESS(INDEX($K$2:$K$1001,MATCH(ROWS($I$2:I942),$I$2:$I$1001,0),0), INDEX($P$1004:$S$1004,1,MATCH(COLUMNS($P$1006:Q1006),$P$1006:$S$1006,0)))),"Fix")))</f>
        <v>0</v>
      </c>
      <c r="D942" s="3">
        <f>IF(OR(INDEX($J$2:$J$1001,MATCH(ROWS($I$2:I942),$I$2:$I$1001,0),1)&gt;=100000,INDEX($P$1005:$S$1005,1,MATCH(COLUMNS($P$1006:R1006),$P$1006:$S$1006,0))&gt;=100000), " ",IF(INDEX($P$2:$S$1001,MATCH(ROWS($I$2:I942),$I$2:$I$1001,0),MATCH(COLUMNS($P$1006:R1006),$P$1006:$S$1006,0)), HYPERLINK("#",""), HYPERLINK(CONCATENATE("#metadata!", ADDRESS(INDEX($K$2:$K$1001,MATCH(ROWS($I$2:I942),$I$2:$I$1001,0),0), INDEX($P$1004:$S$1004,1,MATCH(COLUMNS($P$1006:R1006),$P$1006:$S$1006,0)))),"Fix")))</f>
        <v>0</v>
      </c>
      <c r="E942" s="3">
        <f>IF(OR(INDEX($J$2:$J$1001,MATCH(ROWS($I$2:I942),$I$2:$I$1001,0),1)&gt;=100000,INDEX($P$1005:$S$1005,1,MATCH(COLUMNS($P$1006:S1006),$P$1006:$S$1006,0))&gt;=100000), " ",IF(INDEX($P$2:$S$1001,MATCH(ROWS($I$2:I942),$I$2:$I$1001,0),MATCH(COLUMNS($P$1006:S1006),$P$1006:$S$1006,0)), HYPERLINK("#",""), HYPERLINK(CONCATENATE("#metadata!", ADDRESS(INDEX($K$2:$K$1001,MATCH(ROWS($I$2:I942),$I$2:$I$1001,0),0), INDEX($P$1004:$S$1004,1,MATCH(COLUMNS($P$1006:S1006),$P$1006:$S$1006,0)))),"Fix")))</f>
        <v>0</v>
      </c>
      <c r="I942">
        <v>0</v>
      </c>
      <c r="J942">
        <v>0</v>
      </c>
      <c r="K942">
        <v>0</v>
      </c>
      <c r="L942">
        <f>IF(M942,TRUE,AND(P942:S942))</f>
        <v>0</v>
      </c>
      <c r="M942">
        <f>COUNTBLANK(metadata!B942:E942)=COLUMNS(metadata!B942:E942)</f>
        <v>0</v>
      </c>
      <c r="N942">
        <v>0</v>
      </c>
      <c r="P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Q942">
        <f>AND(IF(metadata!C942="",FALSE,TRUE),exact(metadata!C942,"other"))</f>
        <v>0</v>
      </c>
      <c r="R942">
        <f>AND(IF(metadata!D942="",FALSE,TRUE),exact(metadata!D942,"metagenome"))</f>
        <v>0</v>
      </c>
      <c r="S942">
        <f>AND(IF(metadata!E942="",FALSE,TRUE),exact(metadata!E942,"256318"))</f>
        <v>0</v>
      </c>
    </row>
    <row r="943" spans="1:19">
      <c r="A943" s="4">
        <f>IF(B943=" "," ",HYPERLINK(CONCATENATE("#metadata!",ADDRESS(INDEX($K$2:$K$1001,MATCH(ROWS($I$2:I943),$I$2:$I$1001,0),0),1)),INDEX($N$2:$N$1001,MATCH(ROWS($I$2:I943),$I$2:$I$1001,0),0)))</f>
        <v>0</v>
      </c>
      <c r="B943" s="3">
        <f>IF(OR(INDEX($J$2:$J$1001,MATCH(ROWS($I$2:I943),$I$2:$I$1001,0),1)&gt;=100000,INDEX($P$1005:$S$1005,1,MATCH(COLUMNS($P$1006:P1006),$P$1006:$S$1006,0))&gt;=100000), " ",IF(INDEX($P$2:$S$1001,MATCH(ROWS($I$2:I943),$I$2:$I$1001,0),MATCH(COLUMNS($P$1006:P1006),$P$1006:$S$1006,0)), HYPERLINK("#",""), HYPERLINK(CONCATENATE("#metadata!", ADDRESS(INDEX($K$2:$K$1001,MATCH(ROWS($I$2:I943),$I$2:$I$1001,0),0), INDEX($P$1004:$S$1004,1,MATCH(COLUMNS($P$1006:P1006),$P$1006:$S$1006,0)))),"Fix")))</f>
        <v>0</v>
      </c>
      <c r="C943" s="3">
        <f>IF(OR(INDEX($J$2:$J$1001,MATCH(ROWS($I$2:I943),$I$2:$I$1001,0),1)&gt;=100000,INDEX($P$1005:$S$1005,1,MATCH(COLUMNS($P$1006:Q1006),$P$1006:$S$1006,0))&gt;=100000), " ",IF(INDEX($P$2:$S$1001,MATCH(ROWS($I$2:I943),$I$2:$I$1001,0),MATCH(COLUMNS($P$1006:Q1006),$P$1006:$S$1006,0)), HYPERLINK("#",""), HYPERLINK(CONCATENATE("#metadata!", ADDRESS(INDEX($K$2:$K$1001,MATCH(ROWS($I$2:I943),$I$2:$I$1001,0),0), INDEX($P$1004:$S$1004,1,MATCH(COLUMNS($P$1006:Q1006),$P$1006:$S$1006,0)))),"Fix")))</f>
        <v>0</v>
      </c>
      <c r="D943" s="3">
        <f>IF(OR(INDEX($J$2:$J$1001,MATCH(ROWS($I$2:I943),$I$2:$I$1001,0),1)&gt;=100000,INDEX($P$1005:$S$1005,1,MATCH(COLUMNS($P$1006:R1006),$P$1006:$S$1006,0))&gt;=100000), " ",IF(INDEX($P$2:$S$1001,MATCH(ROWS($I$2:I943),$I$2:$I$1001,0),MATCH(COLUMNS($P$1006:R1006),$P$1006:$S$1006,0)), HYPERLINK("#",""), HYPERLINK(CONCATENATE("#metadata!", ADDRESS(INDEX($K$2:$K$1001,MATCH(ROWS($I$2:I943),$I$2:$I$1001,0),0), INDEX($P$1004:$S$1004,1,MATCH(COLUMNS($P$1006:R1006),$P$1006:$S$1006,0)))),"Fix")))</f>
        <v>0</v>
      </c>
      <c r="E943" s="3">
        <f>IF(OR(INDEX($J$2:$J$1001,MATCH(ROWS($I$2:I943),$I$2:$I$1001,0),1)&gt;=100000,INDEX($P$1005:$S$1005,1,MATCH(COLUMNS($P$1006:S1006),$P$1006:$S$1006,0))&gt;=100000), " ",IF(INDEX($P$2:$S$1001,MATCH(ROWS($I$2:I943),$I$2:$I$1001,0),MATCH(COLUMNS($P$1006:S1006),$P$1006:$S$1006,0)), HYPERLINK("#",""), HYPERLINK(CONCATENATE("#metadata!", ADDRESS(INDEX($K$2:$K$1001,MATCH(ROWS($I$2:I943),$I$2:$I$1001,0),0), INDEX($P$1004:$S$1004,1,MATCH(COLUMNS($P$1006:S1006),$P$1006:$S$1006,0)))),"Fix")))</f>
        <v>0</v>
      </c>
      <c r="I943">
        <v>0</v>
      </c>
      <c r="J943">
        <v>0</v>
      </c>
      <c r="K943">
        <v>0</v>
      </c>
      <c r="L943">
        <f>IF(M943,TRUE,AND(P943:S943))</f>
        <v>0</v>
      </c>
      <c r="M943">
        <f>COUNTBLANK(metadata!B943:E943)=COLUMNS(metadata!B943:E943)</f>
        <v>0</v>
      </c>
      <c r="N943">
        <v>0</v>
      </c>
      <c r="P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Q943">
        <f>AND(IF(metadata!C943="",FALSE,TRUE),exact(metadata!C943,"other"))</f>
        <v>0</v>
      </c>
      <c r="R943">
        <f>AND(IF(metadata!D943="",FALSE,TRUE),exact(metadata!D943,"metagenome"))</f>
        <v>0</v>
      </c>
      <c r="S943">
        <f>AND(IF(metadata!E943="",FALSE,TRUE),exact(metadata!E943,"256318"))</f>
        <v>0</v>
      </c>
    </row>
    <row r="944" spans="1:19">
      <c r="A944" s="4">
        <f>IF(B944=" "," ",HYPERLINK(CONCATENATE("#metadata!",ADDRESS(INDEX($K$2:$K$1001,MATCH(ROWS($I$2:I944),$I$2:$I$1001,0),0),1)),INDEX($N$2:$N$1001,MATCH(ROWS($I$2:I944),$I$2:$I$1001,0),0)))</f>
        <v>0</v>
      </c>
      <c r="B944" s="3">
        <f>IF(OR(INDEX($J$2:$J$1001,MATCH(ROWS($I$2:I944),$I$2:$I$1001,0),1)&gt;=100000,INDEX($P$1005:$S$1005,1,MATCH(COLUMNS($P$1006:P1006),$P$1006:$S$1006,0))&gt;=100000), " ",IF(INDEX($P$2:$S$1001,MATCH(ROWS($I$2:I944),$I$2:$I$1001,0),MATCH(COLUMNS($P$1006:P1006),$P$1006:$S$1006,0)), HYPERLINK("#",""), HYPERLINK(CONCATENATE("#metadata!", ADDRESS(INDEX($K$2:$K$1001,MATCH(ROWS($I$2:I944),$I$2:$I$1001,0),0), INDEX($P$1004:$S$1004,1,MATCH(COLUMNS($P$1006:P1006),$P$1006:$S$1006,0)))),"Fix")))</f>
        <v>0</v>
      </c>
      <c r="C944" s="3">
        <f>IF(OR(INDEX($J$2:$J$1001,MATCH(ROWS($I$2:I944),$I$2:$I$1001,0),1)&gt;=100000,INDEX($P$1005:$S$1005,1,MATCH(COLUMNS($P$1006:Q1006),$P$1006:$S$1006,0))&gt;=100000), " ",IF(INDEX($P$2:$S$1001,MATCH(ROWS($I$2:I944),$I$2:$I$1001,0),MATCH(COLUMNS($P$1006:Q1006),$P$1006:$S$1006,0)), HYPERLINK("#",""), HYPERLINK(CONCATENATE("#metadata!", ADDRESS(INDEX($K$2:$K$1001,MATCH(ROWS($I$2:I944),$I$2:$I$1001,0),0), INDEX($P$1004:$S$1004,1,MATCH(COLUMNS($P$1006:Q1006),$P$1006:$S$1006,0)))),"Fix")))</f>
        <v>0</v>
      </c>
      <c r="D944" s="3">
        <f>IF(OR(INDEX($J$2:$J$1001,MATCH(ROWS($I$2:I944),$I$2:$I$1001,0),1)&gt;=100000,INDEX($P$1005:$S$1005,1,MATCH(COLUMNS($P$1006:R1006),$P$1006:$S$1006,0))&gt;=100000), " ",IF(INDEX($P$2:$S$1001,MATCH(ROWS($I$2:I944),$I$2:$I$1001,0),MATCH(COLUMNS($P$1006:R1006),$P$1006:$S$1006,0)), HYPERLINK("#",""), HYPERLINK(CONCATENATE("#metadata!", ADDRESS(INDEX($K$2:$K$1001,MATCH(ROWS($I$2:I944),$I$2:$I$1001,0),0), INDEX($P$1004:$S$1004,1,MATCH(COLUMNS($P$1006:R1006),$P$1006:$S$1006,0)))),"Fix")))</f>
        <v>0</v>
      </c>
      <c r="E944" s="3">
        <f>IF(OR(INDEX($J$2:$J$1001,MATCH(ROWS($I$2:I944),$I$2:$I$1001,0),1)&gt;=100000,INDEX($P$1005:$S$1005,1,MATCH(COLUMNS($P$1006:S1006),$P$1006:$S$1006,0))&gt;=100000), " ",IF(INDEX($P$2:$S$1001,MATCH(ROWS($I$2:I944),$I$2:$I$1001,0),MATCH(COLUMNS($P$1006:S1006),$P$1006:$S$1006,0)), HYPERLINK("#",""), HYPERLINK(CONCATENATE("#metadata!", ADDRESS(INDEX($K$2:$K$1001,MATCH(ROWS($I$2:I944),$I$2:$I$1001,0),0), INDEX($P$1004:$S$1004,1,MATCH(COLUMNS($P$1006:S1006),$P$1006:$S$1006,0)))),"Fix")))</f>
        <v>0</v>
      </c>
      <c r="I944">
        <v>0</v>
      </c>
      <c r="J944">
        <v>0</v>
      </c>
      <c r="K944">
        <v>0</v>
      </c>
      <c r="L944">
        <f>IF(M944,TRUE,AND(P944:S944))</f>
        <v>0</v>
      </c>
      <c r="M944">
        <f>COUNTBLANK(metadata!B944:E944)=COLUMNS(metadata!B944:E944)</f>
        <v>0</v>
      </c>
      <c r="N944">
        <v>0</v>
      </c>
      <c r="P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Q944">
        <f>AND(IF(metadata!C944="",FALSE,TRUE),exact(metadata!C944,"other"))</f>
        <v>0</v>
      </c>
      <c r="R944">
        <f>AND(IF(metadata!D944="",FALSE,TRUE),exact(metadata!D944,"metagenome"))</f>
        <v>0</v>
      </c>
      <c r="S944">
        <f>AND(IF(metadata!E944="",FALSE,TRUE),exact(metadata!E944,"256318"))</f>
        <v>0</v>
      </c>
    </row>
    <row r="945" spans="1:19">
      <c r="A945" s="4">
        <f>IF(B945=" "," ",HYPERLINK(CONCATENATE("#metadata!",ADDRESS(INDEX($K$2:$K$1001,MATCH(ROWS($I$2:I945),$I$2:$I$1001,0),0),1)),INDEX($N$2:$N$1001,MATCH(ROWS($I$2:I945),$I$2:$I$1001,0),0)))</f>
        <v>0</v>
      </c>
      <c r="B945" s="3">
        <f>IF(OR(INDEX($J$2:$J$1001,MATCH(ROWS($I$2:I945),$I$2:$I$1001,0),1)&gt;=100000,INDEX($P$1005:$S$1005,1,MATCH(COLUMNS($P$1006:P1006),$P$1006:$S$1006,0))&gt;=100000), " ",IF(INDEX($P$2:$S$1001,MATCH(ROWS($I$2:I945),$I$2:$I$1001,0),MATCH(COLUMNS($P$1006:P1006),$P$1006:$S$1006,0)), HYPERLINK("#",""), HYPERLINK(CONCATENATE("#metadata!", ADDRESS(INDEX($K$2:$K$1001,MATCH(ROWS($I$2:I945),$I$2:$I$1001,0),0), INDEX($P$1004:$S$1004,1,MATCH(COLUMNS($P$1006:P1006),$P$1006:$S$1006,0)))),"Fix")))</f>
        <v>0</v>
      </c>
      <c r="C945" s="3">
        <f>IF(OR(INDEX($J$2:$J$1001,MATCH(ROWS($I$2:I945),$I$2:$I$1001,0),1)&gt;=100000,INDEX($P$1005:$S$1005,1,MATCH(COLUMNS($P$1006:Q1006),$P$1006:$S$1006,0))&gt;=100000), " ",IF(INDEX($P$2:$S$1001,MATCH(ROWS($I$2:I945),$I$2:$I$1001,0),MATCH(COLUMNS($P$1006:Q1006),$P$1006:$S$1006,0)), HYPERLINK("#",""), HYPERLINK(CONCATENATE("#metadata!", ADDRESS(INDEX($K$2:$K$1001,MATCH(ROWS($I$2:I945),$I$2:$I$1001,0),0), INDEX($P$1004:$S$1004,1,MATCH(COLUMNS($P$1006:Q1006),$P$1006:$S$1006,0)))),"Fix")))</f>
        <v>0</v>
      </c>
      <c r="D945" s="3">
        <f>IF(OR(INDEX($J$2:$J$1001,MATCH(ROWS($I$2:I945),$I$2:$I$1001,0),1)&gt;=100000,INDEX($P$1005:$S$1005,1,MATCH(COLUMNS($P$1006:R1006),$P$1006:$S$1006,0))&gt;=100000), " ",IF(INDEX($P$2:$S$1001,MATCH(ROWS($I$2:I945),$I$2:$I$1001,0),MATCH(COLUMNS($P$1006:R1006),$P$1006:$S$1006,0)), HYPERLINK("#",""), HYPERLINK(CONCATENATE("#metadata!", ADDRESS(INDEX($K$2:$K$1001,MATCH(ROWS($I$2:I945),$I$2:$I$1001,0),0), INDEX($P$1004:$S$1004,1,MATCH(COLUMNS($P$1006:R1006),$P$1006:$S$1006,0)))),"Fix")))</f>
        <v>0</v>
      </c>
      <c r="E945" s="3">
        <f>IF(OR(INDEX($J$2:$J$1001,MATCH(ROWS($I$2:I945),$I$2:$I$1001,0),1)&gt;=100000,INDEX($P$1005:$S$1005,1,MATCH(COLUMNS($P$1006:S1006),$P$1006:$S$1006,0))&gt;=100000), " ",IF(INDEX($P$2:$S$1001,MATCH(ROWS($I$2:I945),$I$2:$I$1001,0),MATCH(COLUMNS($P$1006:S1006),$P$1006:$S$1006,0)), HYPERLINK("#",""), HYPERLINK(CONCATENATE("#metadata!", ADDRESS(INDEX($K$2:$K$1001,MATCH(ROWS($I$2:I945),$I$2:$I$1001,0),0), INDEX($P$1004:$S$1004,1,MATCH(COLUMNS($P$1006:S1006),$P$1006:$S$1006,0)))),"Fix")))</f>
        <v>0</v>
      </c>
      <c r="I945">
        <v>0</v>
      </c>
      <c r="J945">
        <v>0</v>
      </c>
      <c r="K945">
        <v>0</v>
      </c>
      <c r="L945">
        <f>IF(M945,TRUE,AND(P945:S945))</f>
        <v>0</v>
      </c>
      <c r="M945">
        <f>COUNTBLANK(metadata!B945:E945)=COLUMNS(metadata!B945:E945)</f>
        <v>0</v>
      </c>
      <c r="N945">
        <v>0</v>
      </c>
      <c r="P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Q945">
        <f>AND(IF(metadata!C945="",FALSE,TRUE),exact(metadata!C945,"other"))</f>
        <v>0</v>
      </c>
      <c r="R945">
        <f>AND(IF(metadata!D945="",FALSE,TRUE),exact(metadata!D945,"metagenome"))</f>
        <v>0</v>
      </c>
      <c r="S945">
        <f>AND(IF(metadata!E945="",FALSE,TRUE),exact(metadata!E945,"256318"))</f>
        <v>0</v>
      </c>
    </row>
    <row r="946" spans="1:19">
      <c r="A946" s="4">
        <f>IF(B946=" "," ",HYPERLINK(CONCATENATE("#metadata!",ADDRESS(INDEX($K$2:$K$1001,MATCH(ROWS($I$2:I946),$I$2:$I$1001,0),0),1)),INDEX($N$2:$N$1001,MATCH(ROWS($I$2:I946),$I$2:$I$1001,0),0)))</f>
        <v>0</v>
      </c>
      <c r="B946" s="3">
        <f>IF(OR(INDEX($J$2:$J$1001,MATCH(ROWS($I$2:I946),$I$2:$I$1001,0),1)&gt;=100000,INDEX($P$1005:$S$1005,1,MATCH(COLUMNS($P$1006:P1006),$P$1006:$S$1006,0))&gt;=100000), " ",IF(INDEX($P$2:$S$1001,MATCH(ROWS($I$2:I946),$I$2:$I$1001,0),MATCH(COLUMNS($P$1006:P1006),$P$1006:$S$1006,0)), HYPERLINK("#",""), HYPERLINK(CONCATENATE("#metadata!", ADDRESS(INDEX($K$2:$K$1001,MATCH(ROWS($I$2:I946),$I$2:$I$1001,0),0), INDEX($P$1004:$S$1004,1,MATCH(COLUMNS($P$1006:P1006),$P$1006:$S$1006,0)))),"Fix")))</f>
        <v>0</v>
      </c>
      <c r="C946" s="3">
        <f>IF(OR(INDEX($J$2:$J$1001,MATCH(ROWS($I$2:I946),$I$2:$I$1001,0),1)&gt;=100000,INDEX($P$1005:$S$1005,1,MATCH(COLUMNS($P$1006:Q1006),$P$1006:$S$1006,0))&gt;=100000), " ",IF(INDEX($P$2:$S$1001,MATCH(ROWS($I$2:I946),$I$2:$I$1001,0),MATCH(COLUMNS($P$1006:Q1006),$P$1006:$S$1006,0)), HYPERLINK("#",""), HYPERLINK(CONCATENATE("#metadata!", ADDRESS(INDEX($K$2:$K$1001,MATCH(ROWS($I$2:I946),$I$2:$I$1001,0),0), INDEX($P$1004:$S$1004,1,MATCH(COLUMNS($P$1006:Q1006),$P$1006:$S$1006,0)))),"Fix")))</f>
        <v>0</v>
      </c>
      <c r="D946" s="3">
        <f>IF(OR(INDEX($J$2:$J$1001,MATCH(ROWS($I$2:I946),$I$2:$I$1001,0),1)&gt;=100000,INDEX($P$1005:$S$1005,1,MATCH(COLUMNS($P$1006:R1006),$P$1006:$S$1006,0))&gt;=100000), " ",IF(INDEX($P$2:$S$1001,MATCH(ROWS($I$2:I946),$I$2:$I$1001,0),MATCH(COLUMNS($P$1006:R1006),$P$1006:$S$1006,0)), HYPERLINK("#",""), HYPERLINK(CONCATENATE("#metadata!", ADDRESS(INDEX($K$2:$K$1001,MATCH(ROWS($I$2:I946),$I$2:$I$1001,0),0), INDEX($P$1004:$S$1004,1,MATCH(COLUMNS($P$1006:R1006),$P$1006:$S$1006,0)))),"Fix")))</f>
        <v>0</v>
      </c>
      <c r="E946" s="3">
        <f>IF(OR(INDEX($J$2:$J$1001,MATCH(ROWS($I$2:I946),$I$2:$I$1001,0),1)&gt;=100000,INDEX($P$1005:$S$1005,1,MATCH(COLUMNS($P$1006:S1006),$P$1006:$S$1006,0))&gt;=100000), " ",IF(INDEX($P$2:$S$1001,MATCH(ROWS($I$2:I946),$I$2:$I$1001,0),MATCH(COLUMNS($P$1006:S1006),$P$1006:$S$1006,0)), HYPERLINK("#",""), HYPERLINK(CONCATENATE("#metadata!", ADDRESS(INDEX($K$2:$K$1001,MATCH(ROWS($I$2:I946),$I$2:$I$1001,0),0), INDEX($P$1004:$S$1004,1,MATCH(COLUMNS($P$1006:S1006),$P$1006:$S$1006,0)))),"Fix")))</f>
        <v>0</v>
      </c>
      <c r="I946">
        <v>0</v>
      </c>
      <c r="J946">
        <v>0</v>
      </c>
      <c r="K946">
        <v>0</v>
      </c>
      <c r="L946">
        <f>IF(M946,TRUE,AND(P946:S946))</f>
        <v>0</v>
      </c>
      <c r="M946">
        <f>COUNTBLANK(metadata!B946:E946)=COLUMNS(metadata!B946:E946)</f>
        <v>0</v>
      </c>
      <c r="N946">
        <v>0</v>
      </c>
      <c r="P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Q946">
        <f>AND(IF(metadata!C946="",FALSE,TRUE),exact(metadata!C946,"other"))</f>
        <v>0</v>
      </c>
      <c r="R946">
        <f>AND(IF(metadata!D946="",FALSE,TRUE),exact(metadata!D946,"metagenome"))</f>
        <v>0</v>
      </c>
      <c r="S946">
        <f>AND(IF(metadata!E946="",FALSE,TRUE),exact(metadata!E946,"256318"))</f>
        <v>0</v>
      </c>
    </row>
    <row r="947" spans="1:19">
      <c r="A947" s="4">
        <f>IF(B947=" "," ",HYPERLINK(CONCATENATE("#metadata!",ADDRESS(INDEX($K$2:$K$1001,MATCH(ROWS($I$2:I947),$I$2:$I$1001,0),0),1)),INDEX($N$2:$N$1001,MATCH(ROWS($I$2:I947),$I$2:$I$1001,0),0)))</f>
        <v>0</v>
      </c>
      <c r="B947" s="3">
        <f>IF(OR(INDEX($J$2:$J$1001,MATCH(ROWS($I$2:I947),$I$2:$I$1001,0),1)&gt;=100000,INDEX($P$1005:$S$1005,1,MATCH(COLUMNS($P$1006:P1006),$P$1006:$S$1006,0))&gt;=100000), " ",IF(INDEX($P$2:$S$1001,MATCH(ROWS($I$2:I947),$I$2:$I$1001,0),MATCH(COLUMNS($P$1006:P1006),$P$1006:$S$1006,0)), HYPERLINK("#",""), HYPERLINK(CONCATENATE("#metadata!", ADDRESS(INDEX($K$2:$K$1001,MATCH(ROWS($I$2:I947),$I$2:$I$1001,0),0), INDEX($P$1004:$S$1004,1,MATCH(COLUMNS($P$1006:P1006),$P$1006:$S$1006,0)))),"Fix")))</f>
        <v>0</v>
      </c>
      <c r="C947" s="3">
        <f>IF(OR(INDEX($J$2:$J$1001,MATCH(ROWS($I$2:I947),$I$2:$I$1001,0),1)&gt;=100000,INDEX($P$1005:$S$1005,1,MATCH(COLUMNS($P$1006:Q1006),$P$1006:$S$1006,0))&gt;=100000), " ",IF(INDEX($P$2:$S$1001,MATCH(ROWS($I$2:I947),$I$2:$I$1001,0),MATCH(COLUMNS($P$1006:Q1006),$P$1006:$S$1006,0)), HYPERLINK("#",""), HYPERLINK(CONCATENATE("#metadata!", ADDRESS(INDEX($K$2:$K$1001,MATCH(ROWS($I$2:I947),$I$2:$I$1001,0),0), INDEX($P$1004:$S$1004,1,MATCH(COLUMNS($P$1006:Q1006),$P$1006:$S$1006,0)))),"Fix")))</f>
        <v>0</v>
      </c>
      <c r="D947" s="3">
        <f>IF(OR(INDEX($J$2:$J$1001,MATCH(ROWS($I$2:I947),$I$2:$I$1001,0),1)&gt;=100000,INDEX($P$1005:$S$1005,1,MATCH(COLUMNS($P$1006:R1006),$P$1006:$S$1006,0))&gt;=100000), " ",IF(INDEX($P$2:$S$1001,MATCH(ROWS($I$2:I947),$I$2:$I$1001,0),MATCH(COLUMNS($P$1006:R1006),$P$1006:$S$1006,0)), HYPERLINK("#",""), HYPERLINK(CONCATENATE("#metadata!", ADDRESS(INDEX($K$2:$K$1001,MATCH(ROWS($I$2:I947),$I$2:$I$1001,0),0), INDEX($P$1004:$S$1004,1,MATCH(COLUMNS($P$1006:R1006),$P$1006:$S$1006,0)))),"Fix")))</f>
        <v>0</v>
      </c>
      <c r="E947" s="3">
        <f>IF(OR(INDEX($J$2:$J$1001,MATCH(ROWS($I$2:I947),$I$2:$I$1001,0),1)&gt;=100000,INDEX($P$1005:$S$1005,1,MATCH(COLUMNS($P$1006:S1006),$P$1006:$S$1006,0))&gt;=100000), " ",IF(INDEX($P$2:$S$1001,MATCH(ROWS($I$2:I947),$I$2:$I$1001,0),MATCH(COLUMNS($P$1006:S1006),$P$1006:$S$1006,0)), HYPERLINK("#",""), HYPERLINK(CONCATENATE("#metadata!", ADDRESS(INDEX($K$2:$K$1001,MATCH(ROWS($I$2:I947),$I$2:$I$1001,0),0), INDEX($P$1004:$S$1004,1,MATCH(COLUMNS($P$1006:S1006),$P$1006:$S$1006,0)))),"Fix")))</f>
        <v>0</v>
      </c>
      <c r="I947">
        <v>0</v>
      </c>
      <c r="J947">
        <v>0</v>
      </c>
      <c r="K947">
        <v>0</v>
      </c>
      <c r="L947">
        <f>IF(M947,TRUE,AND(P947:S947))</f>
        <v>0</v>
      </c>
      <c r="M947">
        <f>COUNTBLANK(metadata!B947:E947)=COLUMNS(metadata!B947:E947)</f>
        <v>0</v>
      </c>
      <c r="N947">
        <v>0</v>
      </c>
      <c r="P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Q947">
        <f>AND(IF(metadata!C947="",FALSE,TRUE),exact(metadata!C947,"other"))</f>
        <v>0</v>
      </c>
      <c r="R947">
        <f>AND(IF(metadata!D947="",FALSE,TRUE),exact(metadata!D947,"metagenome"))</f>
        <v>0</v>
      </c>
      <c r="S947">
        <f>AND(IF(metadata!E947="",FALSE,TRUE),exact(metadata!E947,"256318"))</f>
        <v>0</v>
      </c>
    </row>
    <row r="948" spans="1:19">
      <c r="A948" s="4">
        <f>IF(B948=" "," ",HYPERLINK(CONCATENATE("#metadata!",ADDRESS(INDEX($K$2:$K$1001,MATCH(ROWS($I$2:I948),$I$2:$I$1001,0),0),1)),INDEX($N$2:$N$1001,MATCH(ROWS($I$2:I948),$I$2:$I$1001,0),0)))</f>
        <v>0</v>
      </c>
      <c r="B948" s="3">
        <f>IF(OR(INDEX($J$2:$J$1001,MATCH(ROWS($I$2:I948),$I$2:$I$1001,0),1)&gt;=100000,INDEX($P$1005:$S$1005,1,MATCH(COLUMNS($P$1006:P1006),$P$1006:$S$1006,0))&gt;=100000), " ",IF(INDEX($P$2:$S$1001,MATCH(ROWS($I$2:I948),$I$2:$I$1001,0),MATCH(COLUMNS($P$1006:P1006),$P$1006:$S$1006,0)), HYPERLINK("#",""), HYPERLINK(CONCATENATE("#metadata!", ADDRESS(INDEX($K$2:$K$1001,MATCH(ROWS($I$2:I948),$I$2:$I$1001,0),0), INDEX($P$1004:$S$1004,1,MATCH(COLUMNS($P$1006:P1006),$P$1006:$S$1006,0)))),"Fix")))</f>
        <v>0</v>
      </c>
      <c r="C948" s="3">
        <f>IF(OR(INDEX($J$2:$J$1001,MATCH(ROWS($I$2:I948),$I$2:$I$1001,0),1)&gt;=100000,INDEX($P$1005:$S$1005,1,MATCH(COLUMNS($P$1006:Q1006),$P$1006:$S$1006,0))&gt;=100000), " ",IF(INDEX($P$2:$S$1001,MATCH(ROWS($I$2:I948),$I$2:$I$1001,0),MATCH(COLUMNS($P$1006:Q1006),$P$1006:$S$1006,0)), HYPERLINK("#",""), HYPERLINK(CONCATENATE("#metadata!", ADDRESS(INDEX($K$2:$K$1001,MATCH(ROWS($I$2:I948),$I$2:$I$1001,0),0), INDEX($P$1004:$S$1004,1,MATCH(COLUMNS($P$1006:Q1006),$P$1006:$S$1006,0)))),"Fix")))</f>
        <v>0</v>
      </c>
      <c r="D948" s="3">
        <f>IF(OR(INDEX($J$2:$J$1001,MATCH(ROWS($I$2:I948),$I$2:$I$1001,0),1)&gt;=100000,INDEX($P$1005:$S$1005,1,MATCH(COLUMNS($P$1006:R1006),$P$1006:$S$1006,0))&gt;=100000), " ",IF(INDEX($P$2:$S$1001,MATCH(ROWS($I$2:I948),$I$2:$I$1001,0),MATCH(COLUMNS($P$1006:R1006),$P$1006:$S$1006,0)), HYPERLINK("#",""), HYPERLINK(CONCATENATE("#metadata!", ADDRESS(INDEX($K$2:$K$1001,MATCH(ROWS($I$2:I948),$I$2:$I$1001,0),0), INDEX($P$1004:$S$1004,1,MATCH(COLUMNS($P$1006:R1006),$P$1006:$S$1006,0)))),"Fix")))</f>
        <v>0</v>
      </c>
      <c r="E948" s="3">
        <f>IF(OR(INDEX($J$2:$J$1001,MATCH(ROWS($I$2:I948),$I$2:$I$1001,0),1)&gt;=100000,INDEX($P$1005:$S$1005,1,MATCH(COLUMNS($P$1006:S1006),$P$1006:$S$1006,0))&gt;=100000), " ",IF(INDEX($P$2:$S$1001,MATCH(ROWS($I$2:I948),$I$2:$I$1001,0),MATCH(COLUMNS($P$1006:S1006),$P$1006:$S$1006,0)), HYPERLINK("#",""), HYPERLINK(CONCATENATE("#metadata!", ADDRESS(INDEX($K$2:$K$1001,MATCH(ROWS($I$2:I948),$I$2:$I$1001,0),0), INDEX($P$1004:$S$1004,1,MATCH(COLUMNS($P$1006:S1006),$P$1006:$S$1006,0)))),"Fix")))</f>
        <v>0</v>
      </c>
      <c r="I948">
        <v>0</v>
      </c>
      <c r="J948">
        <v>0</v>
      </c>
      <c r="K948">
        <v>0</v>
      </c>
      <c r="L948">
        <f>IF(M948,TRUE,AND(P948:S948))</f>
        <v>0</v>
      </c>
      <c r="M948">
        <f>COUNTBLANK(metadata!B948:E948)=COLUMNS(metadata!B948:E948)</f>
        <v>0</v>
      </c>
      <c r="N948">
        <v>0</v>
      </c>
      <c r="P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Q948">
        <f>AND(IF(metadata!C948="",FALSE,TRUE),exact(metadata!C948,"other"))</f>
        <v>0</v>
      </c>
      <c r="R948">
        <f>AND(IF(metadata!D948="",FALSE,TRUE),exact(metadata!D948,"metagenome"))</f>
        <v>0</v>
      </c>
      <c r="S948">
        <f>AND(IF(metadata!E948="",FALSE,TRUE),exact(metadata!E948,"256318"))</f>
        <v>0</v>
      </c>
    </row>
    <row r="949" spans="1:19">
      <c r="A949" s="4">
        <f>IF(B949=" "," ",HYPERLINK(CONCATENATE("#metadata!",ADDRESS(INDEX($K$2:$K$1001,MATCH(ROWS($I$2:I949),$I$2:$I$1001,0),0),1)),INDEX($N$2:$N$1001,MATCH(ROWS($I$2:I949),$I$2:$I$1001,0),0)))</f>
        <v>0</v>
      </c>
      <c r="B949" s="3">
        <f>IF(OR(INDEX($J$2:$J$1001,MATCH(ROWS($I$2:I949),$I$2:$I$1001,0),1)&gt;=100000,INDEX($P$1005:$S$1005,1,MATCH(COLUMNS($P$1006:P1006),$P$1006:$S$1006,0))&gt;=100000), " ",IF(INDEX($P$2:$S$1001,MATCH(ROWS($I$2:I949),$I$2:$I$1001,0),MATCH(COLUMNS($P$1006:P1006),$P$1006:$S$1006,0)), HYPERLINK("#",""), HYPERLINK(CONCATENATE("#metadata!", ADDRESS(INDEX($K$2:$K$1001,MATCH(ROWS($I$2:I949),$I$2:$I$1001,0),0), INDEX($P$1004:$S$1004,1,MATCH(COLUMNS($P$1006:P1006),$P$1006:$S$1006,0)))),"Fix")))</f>
        <v>0</v>
      </c>
      <c r="C949" s="3">
        <f>IF(OR(INDEX($J$2:$J$1001,MATCH(ROWS($I$2:I949),$I$2:$I$1001,0),1)&gt;=100000,INDEX($P$1005:$S$1005,1,MATCH(COLUMNS($P$1006:Q1006),$P$1006:$S$1006,0))&gt;=100000), " ",IF(INDEX($P$2:$S$1001,MATCH(ROWS($I$2:I949),$I$2:$I$1001,0),MATCH(COLUMNS($P$1006:Q1006),$P$1006:$S$1006,0)), HYPERLINK("#",""), HYPERLINK(CONCATENATE("#metadata!", ADDRESS(INDEX($K$2:$K$1001,MATCH(ROWS($I$2:I949),$I$2:$I$1001,0),0), INDEX($P$1004:$S$1004,1,MATCH(COLUMNS($P$1006:Q1006),$P$1006:$S$1006,0)))),"Fix")))</f>
        <v>0</v>
      </c>
      <c r="D949" s="3">
        <f>IF(OR(INDEX($J$2:$J$1001,MATCH(ROWS($I$2:I949),$I$2:$I$1001,0),1)&gt;=100000,INDEX($P$1005:$S$1005,1,MATCH(COLUMNS($P$1006:R1006),$P$1006:$S$1006,0))&gt;=100000), " ",IF(INDEX($P$2:$S$1001,MATCH(ROWS($I$2:I949),$I$2:$I$1001,0),MATCH(COLUMNS($P$1006:R1006),$P$1006:$S$1006,0)), HYPERLINK("#",""), HYPERLINK(CONCATENATE("#metadata!", ADDRESS(INDEX($K$2:$K$1001,MATCH(ROWS($I$2:I949),$I$2:$I$1001,0),0), INDEX($P$1004:$S$1004,1,MATCH(COLUMNS($P$1006:R1006),$P$1006:$S$1006,0)))),"Fix")))</f>
        <v>0</v>
      </c>
      <c r="E949" s="3">
        <f>IF(OR(INDEX($J$2:$J$1001,MATCH(ROWS($I$2:I949),$I$2:$I$1001,0),1)&gt;=100000,INDEX($P$1005:$S$1005,1,MATCH(COLUMNS($P$1006:S1006),$P$1006:$S$1006,0))&gt;=100000), " ",IF(INDEX($P$2:$S$1001,MATCH(ROWS($I$2:I949),$I$2:$I$1001,0),MATCH(COLUMNS($P$1006:S1006),$P$1006:$S$1006,0)), HYPERLINK("#",""), HYPERLINK(CONCATENATE("#metadata!", ADDRESS(INDEX($K$2:$K$1001,MATCH(ROWS($I$2:I949),$I$2:$I$1001,0),0), INDEX($P$1004:$S$1004,1,MATCH(COLUMNS($P$1006:S1006),$P$1006:$S$1006,0)))),"Fix")))</f>
        <v>0</v>
      </c>
      <c r="I949">
        <v>0</v>
      </c>
      <c r="J949">
        <v>0</v>
      </c>
      <c r="K949">
        <v>0</v>
      </c>
      <c r="L949">
        <f>IF(M949,TRUE,AND(P949:S949))</f>
        <v>0</v>
      </c>
      <c r="M949">
        <f>COUNTBLANK(metadata!B949:E949)=COLUMNS(metadata!B949:E949)</f>
        <v>0</v>
      </c>
      <c r="N949">
        <v>0</v>
      </c>
      <c r="P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Q949">
        <f>AND(IF(metadata!C949="",FALSE,TRUE),exact(metadata!C949,"other"))</f>
        <v>0</v>
      </c>
      <c r="R949">
        <f>AND(IF(metadata!D949="",FALSE,TRUE),exact(metadata!D949,"metagenome"))</f>
        <v>0</v>
      </c>
      <c r="S949">
        <f>AND(IF(metadata!E949="",FALSE,TRUE),exact(metadata!E949,"256318"))</f>
        <v>0</v>
      </c>
    </row>
    <row r="950" spans="1:19">
      <c r="A950" s="4">
        <f>IF(B950=" "," ",HYPERLINK(CONCATENATE("#metadata!",ADDRESS(INDEX($K$2:$K$1001,MATCH(ROWS($I$2:I950),$I$2:$I$1001,0),0),1)),INDEX($N$2:$N$1001,MATCH(ROWS($I$2:I950),$I$2:$I$1001,0),0)))</f>
        <v>0</v>
      </c>
      <c r="B950" s="3">
        <f>IF(OR(INDEX($J$2:$J$1001,MATCH(ROWS($I$2:I950),$I$2:$I$1001,0),1)&gt;=100000,INDEX($P$1005:$S$1005,1,MATCH(COLUMNS($P$1006:P1006),$P$1006:$S$1006,0))&gt;=100000), " ",IF(INDEX($P$2:$S$1001,MATCH(ROWS($I$2:I950),$I$2:$I$1001,0),MATCH(COLUMNS($P$1006:P1006),$P$1006:$S$1006,0)), HYPERLINK("#",""), HYPERLINK(CONCATENATE("#metadata!", ADDRESS(INDEX($K$2:$K$1001,MATCH(ROWS($I$2:I950),$I$2:$I$1001,0),0), INDEX($P$1004:$S$1004,1,MATCH(COLUMNS($P$1006:P1006),$P$1006:$S$1006,0)))),"Fix")))</f>
        <v>0</v>
      </c>
      <c r="C950" s="3">
        <f>IF(OR(INDEX($J$2:$J$1001,MATCH(ROWS($I$2:I950),$I$2:$I$1001,0),1)&gt;=100000,INDEX($P$1005:$S$1005,1,MATCH(COLUMNS($P$1006:Q1006),$P$1006:$S$1006,0))&gt;=100000), " ",IF(INDEX($P$2:$S$1001,MATCH(ROWS($I$2:I950),$I$2:$I$1001,0),MATCH(COLUMNS($P$1006:Q1006),$P$1006:$S$1006,0)), HYPERLINK("#",""), HYPERLINK(CONCATENATE("#metadata!", ADDRESS(INDEX($K$2:$K$1001,MATCH(ROWS($I$2:I950),$I$2:$I$1001,0),0), INDEX($P$1004:$S$1004,1,MATCH(COLUMNS($P$1006:Q1006),$P$1006:$S$1006,0)))),"Fix")))</f>
        <v>0</v>
      </c>
      <c r="D950" s="3">
        <f>IF(OR(INDEX($J$2:$J$1001,MATCH(ROWS($I$2:I950),$I$2:$I$1001,0),1)&gt;=100000,INDEX($P$1005:$S$1005,1,MATCH(COLUMNS($P$1006:R1006),$P$1006:$S$1006,0))&gt;=100000), " ",IF(INDEX($P$2:$S$1001,MATCH(ROWS($I$2:I950),$I$2:$I$1001,0),MATCH(COLUMNS($P$1006:R1006),$P$1006:$S$1006,0)), HYPERLINK("#",""), HYPERLINK(CONCATENATE("#metadata!", ADDRESS(INDEX($K$2:$K$1001,MATCH(ROWS($I$2:I950),$I$2:$I$1001,0),0), INDEX($P$1004:$S$1004,1,MATCH(COLUMNS($P$1006:R1006),$P$1006:$S$1006,0)))),"Fix")))</f>
        <v>0</v>
      </c>
      <c r="E950" s="3">
        <f>IF(OR(INDEX($J$2:$J$1001,MATCH(ROWS($I$2:I950),$I$2:$I$1001,0),1)&gt;=100000,INDEX($P$1005:$S$1005,1,MATCH(COLUMNS($P$1006:S1006),$P$1006:$S$1006,0))&gt;=100000), " ",IF(INDEX($P$2:$S$1001,MATCH(ROWS($I$2:I950),$I$2:$I$1001,0),MATCH(COLUMNS($P$1006:S1006),$P$1006:$S$1006,0)), HYPERLINK("#",""), HYPERLINK(CONCATENATE("#metadata!", ADDRESS(INDEX($K$2:$K$1001,MATCH(ROWS($I$2:I950),$I$2:$I$1001,0),0), INDEX($P$1004:$S$1004,1,MATCH(COLUMNS($P$1006:S1006),$P$1006:$S$1006,0)))),"Fix")))</f>
        <v>0</v>
      </c>
      <c r="I950">
        <v>0</v>
      </c>
      <c r="J950">
        <v>0</v>
      </c>
      <c r="K950">
        <v>0</v>
      </c>
      <c r="L950">
        <f>IF(M950,TRUE,AND(P950:S950))</f>
        <v>0</v>
      </c>
      <c r="M950">
        <f>COUNTBLANK(metadata!B950:E950)=COLUMNS(metadata!B950:E950)</f>
        <v>0</v>
      </c>
      <c r="N950">
        <v>0</v>
      </c>
      <c r="P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Q950">
        <f>AND(IF(metadata!C950="",FALSE,TRUE),exact(metadata!C950,"other"))</f>
        <v>0</v>
      </c>
      <c r="R950">
        <f>AND(IF(metadata!D950="",FALSE,TRUE),exact(metadata!D950,"metagenome"))</f>
        <v>0</v>
      </c>
      <c r="S950">
        <f>AND(IF(metadata!E950="",FALSE,TRUE),exact(metadata!E950,"256318"))</f>
        <v>0</v>
      </c>
    </row>
    <row r="951" spans="1:19">
      <c r="A951" s="4">
        <f>IF(B951=" "," ",HYPERLINK(CONCATENATE("#metadata!",ADDRESS(INDEX($K$2:$K$1001,MATCH(ROWS($I$2:I951),$I$2:$I$1001,0),0),1)),INDEX($N$2:$N$1001,MATCH(ROWS($I$2:I951),$I$2:$I$1001,0),0)))</f>
        <v>0</v>
      </c>
      <c r="B951" s="3">
        <f>IF(OR(INDEX($J$2:$J$1001,MATCH(ROWS($I$2:I951),$I$2:$I$1001,0),1)&gt;=100000,INDEX($P$1005:$S$1005,1,MATCH(COLUMNS($P$1006:P1006),$P$1006:$S$1006,0))&gt;=100000), " ",IF(INDEX($P$2:$S$1001,MATCH(ROWS($I$2:I951),$I$2:$I$1001,0),MATCH(COLUMNS($P$1006:P1006),$P$1006:$S$1006,0)), HYPERLINK("#",""), HYPERLINK(CONCATENATE("#metadata!", ADDRESS(INDEX($K$2:$K$1001,MATCH(ROWS($I$2:I951),$I$2:$I$1001,0),0), INDEX($P$1004:$S$1004,1,MATCH(COLUMNS($P$1006:P1006),$P$1006:$S$1006,0)))),"Fix")))</f>
        <v>0</v>
      </c>
      <c r="C951" s="3">
        <f>IF(OR(INDEX($J$2:$J$1001,MATCH(ROWS($I$2:I951),$I$2:$I$1001,0),1)&gt;=100000,INDEX($P$1005:$S$1005,1,MATCH(COLUMNS($P$1006:Q1006),$P$1006:$S$1006,0))&gt;=100000), " ",IF(INDEX($P$2:$S$1001,MATCH(ROWS($I$2:I951),$I$2:$I$1001,0),MATCH(COLUMNS($P$1006:Q1006),$P$1006:$S$1006,0)), HYPERLINK("#",""), HYPERLINK(CONCATENATE("#metadata!", ADDRESS(INDEX($K$2:$K$1001,MATCH(ROWS($I$2:I951),$I$2:$I$1001,0),0), INDEX($P$1004:$S$1004,1,MATCH(COLUMNS($P$1006:Q1006),$P$1006:$S$1006,0)))),"Fix")))</f>
        <v>0</v>
      </c>
      <c r="D951" s="3">
        <f>IF(OR(INDEX($J$2:$J$1001,MATCH(ROWS($I$2:I951),$I$2:$I$1001,0),1)&gt;=100000,INDEX($P$1005:$S$1005,1,MATCH(COLUMNS($P$1006:R1006),$P$1006:$S$1006,0))&gt;=100000), " ",IF(INDEX($P$2:$S$1001,MATCH(ROWS($I$2:I951),$I$2:$I$1001,0),MATCH(COLUMNS($P$1006:R1006),$P$1006:$S$1006,0)), HYPERLINK("#",""), HYPERLINK(CONCATENATE("#metadata!", ADDRESS(INDEX($K$2:$K$1001,MATCH(ROWS($I$2:I951),$I$2:$I$1001,0),0), INDEX($P$1004:$S$1004,1,MATCH(COLUMNS($P$1006:R1006),$P$1006:$S$1006,0)))),"Fix")))</f>
        <v>0</v>
      </c>
      <c r="E951" s="3">
        <f>IF(OR(INDEX($J$2:$J$1001,MATCH(ROWS($I$2:I951),$I$2:$I$1001,0),1)&gt;=100000,INDEX($P$1005:$S$1005,1,MATCH(COLUMNS($P$1006:S1006),$P$1006:$S$1006,0))&gt;=100000), " ",IF(INDEX($P$2:$S$1001,MATCH(ROWS($I$2:I951),$I$2:$I$1001,0),MATCH(COLUMNS($P$1006:S1006),$P$1006:$S$1006,0)), HYPERLINK("#",""), HYPERLINK(CONCATENATE("#metadata!", ADDRESS(INDEX($K$2:$K$1001,MATCH(ROWS($I$2:I951),$I$2:$I$1001,0),0), INDEX($P$1004:$S$1004,1,MATCH(COLUMNS($P$1006:S1006),$P$1006:$S$1006,0)))),"Fix")))</f>
        <v>0</v>
      </c>
      <c r="I951">
        <v>0</v>
      </c>
      <c r="J951">
        <v>0</v>
      </c>
      <c r="K951">
        <v>0</v>
      </c>
      <c r="L951">
        <f>IF(M951,TRUE,AND(P951:S951))</f>
        <v>0</v>
      </c>
      <c r="M951">
        <f>COUNTBLANK(metadata!B951:E951)=COLUMNS(metadata!B951:E951)</f>
        <v>0</v>
      </c>
      <c r="N951">
        <v>0</v>
      </c>
      <c r="P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Q951">
        <f>AND(IF(metadata!C951="",FALSE,TRUE),exact(metadata!C951,"other"))</f>
        <v>0</v>
      </c>
      <c r="R951">
        <f>AND(IF(metadata!D951="",FALSE,TRUE),exact(metadata!D951,"metagenome"))</f>
        <v>0</v>
      </c>
      <c r="S951">
        <f>AND(IF(metadata!E951="",FALSE,TRUE),exact(metadata!E951,"256318"))</f>
        <v>0</v>
      </c>
    </row>
    <row r="952" spans="1:19">
      <c r="A952" s="4">
        <f>IF(B952=" "," ",HYPERLINK(CONCATENATE("#metadata!",ADDRESS(INDEX($K$2:$K$1001,MATCH(ROWS($I$2:I952),$I$2:$I$1001,0),0),1)),INDEX($N$2:$N$1001,MATCH(ROWS($I$2:I952),$I$2:$I$1001,0),0)))</f>
        <v>0</v>
      </c>
      <c r="B952" s="3">
        <f>IF(OR(INDEX($J$2:$J$1001,MATCH(ROWS($I$2:I952),$I$2:$I$1001,0),1)&gt;=100000,INDEX($P$1005:$S$1005,1,MATCH(COLUMNS($P$1006:P1006),$P$1006:$S$1006,0))&gt;=100000), " ",IF(INDEX($P$2:$S$1001,MATCH(ROWS($I$2:I952),$I$2:$I$1001,0),MATCH(COLUMNS($P$1006:P1006),$P$1006:$S$1006,0)), HYPERLINK("#",""), HYPERLINK(CONCATENATE("#metadata!", ADDRESS(INDEX($K$2:$K$1001,MATCH(ROWS($I$2:I952),$I$2:$I$1001,0),0), INDEX($P$1004:$S$1004,1,MATCH(COLUMNS($P$1006:P1006),$P$1006:$S$1006,0)))),"Fix")))</f>
        <v>0</v>
      </c>
      <c r="C952" s="3">
        <f>IF(OR(INDEX($J$2:$J$1001,MATCH(ROWS($I$2:I952),$I$2:$I$1001,0),1)&gt;=100000,INDEX($P$1005:$S$1005,1,MATCH(COLUMNS($P$1006:Q1006),$P$1006:$S$1006,0))&gt;=100000), " ",IF(INDEX($P$2:$S$1001,MATCH(ROWS($I$2:I952),$I$2:$I$1001,0),MATCH(COLUMNS($P$1006:Q1006),$P$1006:$S$1006,0)), HYPERLINK("#",""), HYPERLINK(CONCATENATE("#metadata!", ADDRESS(INDEX($K$2:$K$1001,MATCH(ROWS($I$2:I952),$I$2:$I$1001,0),0), INDEX($P$1004:$S$1004,1,MATCH(COLUMNS($P$1006:Q1006),$P$1006:$S$1006,0)))),"Fix")))</f>
        <v>0</v>
      </c>
      <c r="D952" s="3">
        <f>IF(OR(INDEX($J$2:$J$1001,MATCH(ROWS($I$2:I952),$I$2:$I$1001,0),1)&gt;=100000,INDEX($P$1005:$S$1005,1,MATCH(COLUMNS($P$1006:R1006),$P$1006:$S$1006,0))&gt;=100000), " ",IF(INDEX($P$2:$S$1001,MATCH(ROWS($I$2:I952),$I$2:$I$1001,0),MATCH(COLUMNS($P$1006:R1006),$P$1006:$S$1006,0)), HYPERLINK("#",""), HYPERLINK(CONCATENATE("#metadata!", ADDRESS(INDEX($K$2:$K$1001,MATCH(ROWS($I$2:I952),$I$2:$I$1001,0),0), INDEX($P$1004:$S$1004,1,MATCH(COLUMNS($P$1006:R1006),$P$1006:$S$1006,0)))),"Fix")))</f>
        <v>0</v>
      </c>
      <c r="E952" s="3">
        <f>IF(OR(INDEX($J$2:$J$1001,MATCH(ROWS($I$2:I952),$I$2:$I$1001,0),1)&gt;=100000,INDEX($P$1005:$S$1005,1,MATCH(COLUMNS($P$1006:S1006),$P$1006:$S$1006,0))&gt;=100000), " ",IF(INDEX($P$2:$S$1001,MATCH(ROWS($I$2:I952),$I$2:$I$1001,0),MATCH(COLUMNS($P$1006:S1006),$P$1006:$S$1006,0)), HYPERLINK("#",""), HYPERLINK(CONCATENATE("#metadata!", ADDRESS(INDEX($K$2:$K$1001,MATCH(ROWS($I$2:I952),$I$2:$I$1001,0),0), INDEX($P$1004:$S$1004,1,MATCH(COLUMNS($P$1006:S1006),$P$1006:$S$1006,0)))),"Fix")))</f>
        <v>0</v>
      </c>
      <c r="I952">
        <v>0</v>
      </c>
      <c r="J952">
        <v>0</v>
      </c>
      <c r="K952">
        <v>0</v>
      </c>
      <c r="L952">
        <f>IF(M952,TRUE,AND(P952:S952))</f>
        <v>0</v>
      </c>
      <c r="M952">
        <f>COUNTBLANK(metadata!B952:E952)=COLUMNS(metadata!B952:E952)</f>
        <v>0</v>
      </c>
      <c r="N952">
        <v>0</v>
      </c>
      <c r="P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Q952">
        <f>AND(IF(metadata!C952="",FALSE,TRUE),exact(metadata!C952,"other"))</f>
        <v>0</v>
      </c>
      <c r="R952">
        <f>AND(IF(metadata!D952="",FALSE,TRUE),exact(metadata!D952,"metagenome"))</f>
        <v>0</v>
      </c>
      <c r="S952">
        <f>AND(IF(metadata!E952="",FALSE,TRUE),exact(metadata!E952,"256318"))</f>
        <v>0</v>
      </c>
    </row>
    <row r="953" spans="1:19">
      <c r="A953" s="4">
        <f>IF(B953=" "," ",HYPERLINK(CONCATENATE("#metadata!",ADDRESS(INDEX($K$2:$K$1001,MATCH(ROWS($I$2:I953),$I$2:$I$1001,0),0),1)),INDEX($N$2:$N$1001,MATCH(ROWS($I$2:I953),$I$2:$I$1001,0),0)))</f>
        <v>0</v>
      </c>
      <c r="B953" s="3">
        <f>IF(OR(INDEX($J$2:$J$1001,MATCH(ROWS($I$2:I953),$I$2:$I$1001,0),1)&gt;=100000,INDEX($P$1005:$S$1005,1,MATCH(COLUMNS($P$1006:P1006),$P$1006:$S$1006,0))&gt;=100000), " ",IF(INDEX($P$2:$S$1001,MATCH(ROWS($I$2:I953),$I$2:$I$1001,0),MATCH(COLUMNS($P$1006:P1006),$P$1006:$S$1006,0)), HYPERLINK("#",""), HYPERLINK(CONCATENATE("#metadata!", ADDRESS(INDEX($K$2:$K$1001,MATCH(ROWS($I$2:I953),$I$2:$I$1001,0),0), INDEX($P$1004:$S$1004,1,MATCH(COLUMNS($P$1006:P1006),$P$1006:$S$1006,0)))),"Fix")))</f>
        <v>0</v>
      </c>
      <c r="C953" s="3">
        <f>IF(OR(INDEX($J$2:$J$1001,MATCH(ROWS($I$2:I953),$I$2:$I$1001,0),1)&gt;=100000,INDEX($P$1005:$S$1005,1,MATCH(COLUMNS($P$1006:Q1006),$P$1006:$S$1006,0))&gt;=100000), " ",IF(INDEX($P$2:$S$1001,MATCH(ROWS($I$2:I953),$I$2:$I$1001,0),MATCH(COLUMNS($P$1006:Q1006),$P$1006:$S$1006,0)), HYPERLINK("#",""), HYPERLINK(CONCATENATE("#metadata!", ADDRESS(INDEX($K$2:$K$1001,MATCH(ROWS($I$2:I953),$I$2:$I$1001,0),0), INDEX($P$1004:$S$1004,1,MATCH(COLUMNS($P$1006:Q1006),$P$1006:$S$1006,0)))),"Fix")))</f>
        <v>0</v>
      </c>
      <c r="D953" s="3">
        <f>IF(OR(INDEX($J$2:$J$1001,MATCH(ROWS($I$2:I953),$I$2:$I$1001,0),1)&gt;=100000,INDEX($P$1005:$S$1005,1,MATCH(COLUMNS($P$1006:R1006),$P$1006:$S$1006,0))&gt;=100000), " ",IF(INDEX($P$2:$S$1001,MATCH(ROWS($I$2:I953),$I$2:$I$1001,0),MATCH(COLUMNS($P$1006:R1006),$P$1006:$S$1006,0)), HYPERLINK("#",""), HYPERLINK(CONCATENATE("#metadata!", ADDRESS(INDEX($K$2:$K$1001,MATCH(ROWS($I$2:I953),$I$2:$I$1001,0),0), INDEX($P$1004:$S$1004,1,MATCH(COLUMNS($P$1006:R1006),$P$1006:$S$1006,0)))),"Fix")))</f>
        <v>0</v>
      </c>
      <c r="E953" s="3">
        <f>IF(OR(INDEX($J$2:$J$1001,MATCH(ROWS($I$2:I953),$I$2:$I$1001,0),1)&gt;=100000,INDEX($P$1005:$S$1005,1,MATCH(COLUMNS($P$1006:S1006),$P$1006:$S$1006,0))&gt;=100000), " ",IF(INDEX($P$2:$S$1001,MATCH(ROWS($I$2:I953),$I$2:$I$1001,0),MATCH(COLUMNS($P$1006:S1006),$P$1006:$S$1006,0)), HYPERLINK("#",""), HYPERLINK(CONCATENATE("#metadata!", ADDRESS(INDEX($K$2:$K$1001,MATCH(ROWS($I$2:I953),$I$2:$I$1001,0),0), INDEX($P$1004:$S$1004,1,MATCH(COLUMNS($P$1006:S1006),$P$1006:$S$1006,0)))),"Fix")))</f>
        <v>0</v>
      </c>
      <c r="I953">
        <v>0</v>
      </c>
      <c r="J953">
        <v>0</v>
      </c>
      <c r="K953">
        <v>0</v>
      </c>
      <c r="L953">
        <f>IF(M953,TRUE,AND(P953:S953))</f>
        <v>0</v>
      </c>
      <c r="M953">
        <f>COUNTBLANK(metadata!B953:E953)=COLUMNS(metadata!B953:E953)</f>
        <v>0</v>
      </c>
      <c r="N953">
        <v>0</v>
      </c>
      <c r="P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Q953">
        <f>AND(IF(metadata!C953="",FALSE,TRUE),exact(metadata!C953,"other"))</f>
        <v>0</v>
      </c>
      <c r="R953">
        <f>AND(IF(metadata!D953="",FALSE,TRUE),exact(metadata!D953,"metagenome"))</f>
        <v>0</v>
      </c>
      <c r="S953">
        <f>AND(IF(metadata!E953="",FALSE,TRUE),exact(metadata!E953,"256318"))</f>
        <v>0</v>
      </c>
    </row>
    <row r="954" spans="1:19">
      <c r="A954" s="4">
        <f>IF(B954=" "," ",HYPERLINK(CONCATENATE("#metadata!",ADDRESS(INDEX($K$2:$K$1001,MATCH(ROWS($I$2:I954),$I$2:$I$1001,0),0),1)),INDEX($N$2:$N$1001,MATCH(ROWS($I$2:I954),$I$2:$I$1001,0),0)))</f>
        <v>0</v>
      </c>
      <c r="B954" s="3">
        <f>IF(OR(INDEX($J$2:$J$1001,MATCH(ROWS($I$2:I954),$I$2:$I$1001,0),1)&gt;=100000,INDEX($P$1005:$S$1005,1,MATCH(COLUMNS($P$1006:P1006),$P$1006:$S$1006,0))&gt;=100000), " ",IF(INDEX($P$2:$S$1001,MATCH(ROWS($I$2:I954),$I$2:$I$1001,0),MATCH(COLUMNS($P$1006:P1006),$P$1006:$S$1006,0)), HYPERLINK("#",""), HYPERLINK(CONCATENATE("#metadata!", ADDRESS(INDEX($K$2:$K$1001,MATCH(ROWS($I$2:I954),$I$2:$I$1001,0),0), INDEX($P$1004:$S$1004,1,MATCH(COLUMNS($P$1006:P1006),$P$1006:$S$1006,0)))),"Fix")))</f>
        <v>0</v>
      </c>
      <c r="C954" s="3">
        <f>IF(OR(INDEX($J$2:$J$1001,MATCH(ROWS($I$2:I954),$I$2:$I$1001,0),1)&gt;=100000,INDEX($P$1005:$S$1005,1,MATCH(COLUMNS($P$1006:Q1006),$P$1006:$S$1006,0))&gt;=100000), " ",IF(INDEX($P$2:$S$1001,MATCH(ROWS($I$2:I954),$I$2:$I$1001,0),MATCH(COLUMNS($P$1006:Q1006),$P$1006:$S$1006,0)), HYPERLINK("#",""), HYPERLINK(CONCATENATE("#metadata!", ADDRESS(INDEX($K$2:$K$1001,MATCH(ROWS($I$2:I954),$I$2:$I$1001,0),0), INDEX($P$1004:$S$1004,1,MATCH(COLUMNS($P$1006:Q1006),$P$1006:$S$1006,0)))),"Fix")))</f>
        <v>0</v>
      </c>
      <c r="D954" s="3">
        <f>IF(OR(INDEX($J$2:$J$1001,MATCH(ROWS($I$2:I954),$I$2:$I$1001,0),1)&gt;=100000,INDEX($P$1005:$S$1005,1,MATCH(COLUMNS($P$1006:R1006),$P$1006:$S$1006,0))&gt;=100000), " ",IF(INDEX($P$2:$S$1001,MATCH(ROWS($I$2:I954),$I$2:$I$1001,0),MATCH(COLUMNS($P$1006:R1006),$P$1006:$S$1006,0)), HYPERLINK("#",""), HYPERLINK(CONCATENATE("#metadata!", ADDRESS(INDEX($K$2:$K$1001,MATCH(ROWS($I$2:I954),$I$2:$I$1001,0),0), INDEX($P$1004:$S$1004,1,MATCH(COLUMNS($P$1006:R1006),$P$1006:$S$1006,0)))),"Fix")))</f>
        <v>0</v>
      </c>
      <c r="E954" s="3">
        <f>IF(OR(INDEX($J$2:$J$1001,MATCH(ROWS($I$2:I954),$I$2:$I$1001,0),1)&gt;=100000,INDEX($P$1005:$S$1005,1,MATCH(COLUMNS($P$1006:S1006),$P$1006:$S$1006,0))&gt;=100000), " ",IF(INDEX($P$2:$S$1001,MATCH(ROWS($I$2:I954),$I$2:$I$1001,0),MATCH(COLUMNS($P$1006:S1006),$P$1006:$S$1006,0)), HYPERLINK("#",""), HYPERLINK(CONCATENATE("#metadata!", ADDRESS(INDEX($K$2:$K$1001,MATCH(ROWS($I$2:I954),$I$2:$I$1001,0),0), INDEX($P$1004:$S$1004,1,MATCH(COLUMNS($P$1006:S1006),$P$1006:$S$1006,0)))),"Fix")))</f>
        <v>0</v>
      </c>
      <c r="I954">
        <v>0</v>
      </c>
      <c r="J954">
        <v>0</v>
      </c>
      <c r="K954">
        <v>0</v>
      </c>
      <c r="L954">
        <f>IF(M954,TRUE,AND(P954:S954))</f>
        <v>0</v>
      </c>
      <c r="M954">
        <f>COUNTBLANK(metadata!B954:E954)=COLUMNS(metadata!B954:E954)</f>
        <v>0</v>
      </c>
      <c r="N954">
        <v>0</v>
      </c>
      <c r="P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Q954">
        <f>AND(IF(metadata!C954="",FALSE,TRUE),exact(metadata!C954,"other"))</f>
        <v>0</v>
      </c>
      <c r="R954">
        <f>AND(IF(metadata!D954="",FALSE,TRUE),exact(metadata!D954,"metagenome"))</f>
        <v>0</v>
      </c>
      <c r="S954">
        <f>AND(IF(metadata!E954="",FALSE,TRUE),exact(metadata!E954,"256318"))</f>
        <v>0</v>
      </c>
    </row>
    <row r="955" spans="1:19">
      <c r="A955" s="4">
        <f>IF(B955=" "," ",HYPERLINK(CONCATENATE("#metadata!",ADDRESS(INDEX($K$2:$K$1001,MATCH(ROWS($I$2:I955),$I$2:$I$1001,0),0),1)),INDEX($N$2:$N$1001,MATCH(ROWS($I$2:I955),$I$2:$I$1001,0),0)))</f>
        <v>0</v>
      </c>
      <c r="B955" s="3">
        <f>IF(OR(INDEX($J$2:$J$1001,MATCH(ROWS($I$2:I955),$I$2:$I$1001,0),1)&gt;=100000,INDEX($P$1005:$S$1005,1,MATCH(COLUMNS($P$1006:P1006),$P$1006:$S$1006,0))&gt;=100000), " ",IF(INDEX($P$2:$S$1001,MATCH(ROWS($I$2:I955),$I$2:$I$1001,0),MATCH(COLUMNS($P$1006:P1006),$P$1006:$S$1006,0)), HYPERLINK("#",""), HYPERLINK(CONCATENATE("#metadata!", ADDRESS(INDEX($K$2:$K$1001,MATCH(ROWS($I$2:I955),$I$2:$I$1001,0),0), INDEX($P$1004:$S$1004,1,MATCH(COLUMNS($P$1006:P1006),$P$1006:$S$1006,0)))),"Fix")))</f>
        <v>0</v>
      </c>
      <c r="C955" s="3">
        <f>IF(OR(INDEX($J$2:$J$1001,MATCH(ROWS($I$2:I955),$I$2:$I$1001,0),1)&gt;=100000,INDEX($P$1005:$S$1005,1,MATCH(COLUMNS($P$1006:Q1006),$P$1006:$S$1006,0))&gt;=100000), " ",IF(INDEX($P$2:$S$1001,MATCH(ROWS($I$2:I955),$I$2:$I$1001,0),MATCH(COLUMNS($P$1006:Q1006),$P$1006:$S$1006,0)), HYPERLINK("#",""), HYPERLINK(CONCATENATE("#metadata!", ADDRESS(INDEX($K$2:$K$1001,MATCH(ROWS($I$2:I955),$I$2:$I$1001,0),0), INDEX($P$1004:$S$1004,1,MATCH(COLUMNS($P$1006:Q1006),$P$1006:$S$1006,0)))),"Fix")))</f>
        <v>0</v>
      </c>
      <c r="D955" s="3">
        <f>IF(OR(INDEX($J$2:$J$1001,MATCH(ROWS($I$2:I955),$I$2:$I$1001,0),1)&gt;=100000,INDEX($P$1005:$S$1005,1,MATCH(COLUMNS($P$1006:R1006),$P$1006:$S$1006,0))&gt;=100000), " ",IF(INDEX($P$2:$S$1001,MATCH(ROWS($I$2:I955),$I$2:$I$1001,0),MATCH(COLUMNS($P$1006:R1006),$P$1006:$S$1006,0)), HYPERLINK("#",""), HYPERLINK(CONCATENATE("#metadata!", ADDRESS(INDEX($K$2:$K$1001,MATCH(ROWS($I$2:I955),$I$2:$I$1001,0),0), INDEX($P$1004:$S$1004,1,MATCH(COLUMNS($P$1006:R1006),$P$1006:$S$1006,0)))),"Fix")))</f>
        <v>0</v>
      </c>
      <c r="E955" s="3">
        <f>IF(OR(INDEX($J$2:$J$1001,MATCH(ROWS($I$2:I955),$I$2:$I$1001,0),1)&gt;=100000,INDEX($P$1005:$S$1005,1,MATCH(COLUMNS($P$1006:S1006),$P$1006:$S$1006,0))&gt;=100000), " ",IF(INDEX($P$2:$S$1001,MATCH(ROWS($I$2:I955),$I$2:$I$1001,0),MATCH(COLUMNS($P$1006:S1006),$P$1006:$S$1006,0)), HYPERLINK("#",""), HYPERLINK(CONCATENATE("#metadata!", ADDRESS(INDEX($K$2:$K$1001,MATCH(ROWS($I$2:I955),$I$2:$I$1001,0),0), INDEX($P$1004:$S$1004,1,MATCH(COLUMNS($P$1006:S1006),$P$1006:$S$1006,0)))),"Fix")))</f>
        <v>0</v>
      </c>
      <c r="I955">
        <v>0</v>
      </c>
      <c r="J955">
        <v>0</v>
      </c>
      <c r="K955">
        <v>0</v>
      </c>
      <c r="L955">
        <f>IF(M955,TRUE,AND(P955:S955))</f>
        <v>0</v>
      </c>
      <c r="M955">
        <f>COUNTBLANK(metadata!B955:E955)=COLUMNS(metadata!B955:E955)</f>
        <v>0</v>
      </c>
      <c r="N955">
        <v>0</v>
      </c>
      <c r="P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Q955">
        <f>AND(IF(metadata!C955="",FALSE,TRUE),exact(metadata!C955,"other"))</f>
        <v>0</v>
      </c>
      <c r="R955">
        <f>AND(IF(metadata!D955="",FALSE,TRUE),exact(metadata!D955,"metagenome"))</f>
        <v>0</v>
      </c>
      <c r="S955">
        <f>AND(IF(metadata!E955="",FALSE,TRUE),exact(metadata!E955,"256318"))</f>
        <v>0</v>
      </c>
    </row>
    <row r="956" spans="1:19">
      <c r="A956" s="4">
        <f>IF(B956=" "," ",HYPERLINK(CONCATENATE("#metadata!",ADDRESS(INDEX($K$2:$K$1001,MATCH(ROWS($I$2:I956),$I$2:$I$1001,0),0),1)),INDEX($N$2:$N$1001,MATCH(ROWS($I$2:I956),$I$2:$I$1001,0),0)))</f>
        <v>0</v>
      </c>
      <c r="B956" s="3">
        <f>IF(OR(INDEX($J$2:$J$1001,MATCH(ROWS($I$2:I956),$I$2:$I$1001,0),1)&gt;=100000,INDEX($P$1005:$S$1005,1,MATCH(COLUMNS($P$1006:P1006),$P$1006:$S$1006,0))&gt;=100000), " ",IF(INDEX($P$2:$S$1001,MATCH(ROWS($I$2:I956),$I$2:$I$1001,0),MATCH(COLUMNS($P$1006:P1006),$P$1006:$S$1006,0)), HYPERLINK("#",""), HYPERLINK(CONCATENATE("#metadata!", ADDRESS(INDEX($K$2:$K$1001,MATCH(ROWS($I$2:I956),$I$2:$I$1001,0),0), INDEX($P$1004:$S$1004,1,MATCH(COLUMNS($P$1006:P1006),$P$1006:$S$1006,0)))),"Fix")))</f>
        <v>0</v>
      </c>
      <c r="C956" s="3">
        <f>IF(OR(INDEX($J$2:$J$1001,MATCH(ROWS($I$2:I956),$I$2:$I$1001,0),1)&gt;=100000,INDEX($P$1005:$S$1005,1,MATCH(COLUMNS($P$1006:Q1006),$P$1006:$S$1006,0))&gt;=100000), " ",IF(INDEX($P$2:$S$1001,MATCH(ROWS($I$2:I956),$I$2:$I$1001,0),MATCH(COLUMNS($P$1006:Q1006),$P$1006:$S$1006,0)), HYPERLINK("#",""), HYPERLINK(CONCATENATE("#metadata!", ADDRESS(INDEX($K$2:$K$1001,MATCH(ROWS($I$2:I956),$I$2:$I$1001,0),0), INDEX($P$1004:$S$1004,1,MATCH(COLUMNS($P$1006:Q1006),$P$1006:$S$1006,0)))),"Fix")))</f>
        <v>0</v>
      </c>
      <c r="D956" s="3">
        <f>IF(OR(INDEX($J$2:$J$1001,MATCH(ROWS($I$2:I956),$I$2:$I$1001,0),1)&gt;=100000,INDEX($P$1005:$S$1005,1,MATCH(COLUMNS($P$1006:R1006),$P$1006:$S$1006,0))&gt;=100000), " ",IF(INDEX($P$2:$S$1001,MATCH(ROWS($I$2:I956),$I$2:$I$1001,0),MATCH(COLUMNS($P$1006:R1006),$P$1006:$S$1006,0)), HYPERLINK("#",""), HYPERLINK(CONCATENATE("#metadata!", ADDRESS(INDEX($K$2:$K$1001,MATCH(ROWS($I$2:I956),$I$2:$I$1001,0),0), INDEX($P$1004:$S$1004,1,MATCH(COLUMNS($P$1006:R1006),$P$1006:$S$1006,0)))),"Fix")))</f>
        <v>0</v>
      </c>
      <c r="E956" s="3">
        <f>IF(OR(INDEX($J$2:$J$1001,MATCH(ROWS($I$2:I956),$I$2:$I$1001,0),1)&gt;=100000,INDEX($P$1005:$S$1005,1,MATCH(COLUMNS($P$1006:S1006),$P$1006:$S$1006,0))&gt;=100000), " ",IF(INDEX($P$2:$S$1001,MATCH(ROWS($I$2:I956),$I$2:$I$1001,0),MATCH(COLUMNS($P$1006:S1006),$P$1006:$S$1006,0)), HYPERLINK("#",""), HYPERLINK(CONCATENATE("#metadata!", ADDRESS(INDEX($K$2:$K$1001,MATCH(ROWS($I$2:I956),$I$2:$I$1001,0),0), INDEX($P$1004:$S$1004,1,MATCH(COLUMNS($P$1006:S1006),$P$1006:$S$1006,0)))),"Fix")))</f>
        <v>0</v>
      </c>
      <c r="I956">
        <v>0</v>
      </c>
      <c r="J956">
        <v>0</v>
      </c>
      <c r="K956">
        <v>0</v>
      </c>
      <c r="L956">
        <f>IF(M956,TRUE,AND(P956:S956))</f>
        <v>0</v>
      </c>
      <c r="M956">
        <f>COUNTBLANK(metadata!B956:E956)=COLUMNS(metadata!B956:E956)</f>
        <v>0</v>
      </c>
      <c r="N956">
        <v>0</v>
      </c>
      <c r="P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Q956">
        <f>AND(IF(metadata!C956="",FALSE,TRUE),exact(metadata!C956,"other"))</f>
        <v>0</v>
      </c>
      <c r="R956">
        <f>AND(IF(metadata!D956="",FALSE,TRUE),exact(metadata!D956,"metagenome"))</f>
        <v>0</v>
      </c>
      <c r="S956">
        <f>AND(IF(metadata!E956="",FALSE,TRUE),exact(metadata!E956,"256318"))</f>
        <v>0</v>
      </c>
    </row>
    <row r="957" spans="1:19">
      <c r="A957" s="4">
        <f>IF(B957=" "," ",HYPERLINK(CONCATENATE("#metadata!",ADDRESS(INDEX($K$2:$K$1001,MATCH(ROWS($I$2:I957),$I$2:$I$1001,0),0),1)),INDEX($N$2:$N$1001,MATCH(ROWS($I$2:I957),$I$2:$I$1001,0),0)))</f>
        <v>0</v>
      </c>
      <c r="B957" s="3">
        <f>IF(OR(INDEX($J$2:$J$1001,MATCH(ROWS($I$2:I957),$I$2:$I$1001,0),1)&gt;=100000,INDEX($P$1005:$S$1005,1,MATCH(COLUMNS($P$1006:P1006),$P$1006:$S$1006,0))&gt;=100000), " ",IF(INDEX($P$2:$S$1001,MATCH(ROWS($I$2:I957),$I$2:$I$1001,0),MATCH(COLUMNS($P$1006:P1006),$P$1006:$S$1006,0)), HYPERLINK("#",""), HYPERLINK(CONCATENATE("#metadata!", ADDRESS(INDEX($K$2:$K$1001,MATCH(ROWS($I$2:I957),$I$2:$I$1001,0),0), INDEX($P$1004:$S$1004,1,MATCH(COLUMNS($P$1006:P1006),$P$1006:$S$1006,0)))),"Fix")))</f>
        <v>0</v>
      </c>
      <c r="C957" s="3">
        <f>IF(OR(INDEX($J$2:$J$1001,MATCH(ROWS($I$2:I957),$I$2:$I$1001,0),1)&gt;=100000,INDEX($P$1005:$S$1005,1,MATCH(COLUMNS($P$1006:Q1006),$P$1006:$S$1006,0))&gt;=100000), " ",IF(INDEX($P$2:$S$1001,MATCH(ROWS($I$2:I957),$I$2:$I$1001,0),MATCH(COLUMNS($P$1006:Q1006),$P$1006:$S$1006,0)), HYPERLINK("#",""), HYPERLINK(CONCATENATE("#metadata!", ADDRESS(INDEX($K$2:$K$1001,MATCH(ROWS($I$2:I957),$I$2:$I$1001,0),0), INDEX($P$1004:$S$1004,1,MATCH(COLUMNS($P$1006:Q1006),$P$1006:$S$1006,0)))),"Fix")))</f>
        <v>0</v>
      </c>
      <c r="D957" s="3">
        <f>IF(OR(INDEX($J$2:$J$1001,MATCH(ROWS($I$2:I957),$I$2:$I$1001,0),1)&gt;=100000,INDEX($P$1005:$S$1005,1,MATCH(COLUMNS($P$1006:R1006),$P$1006:$S$1006,0))&gt;=100000), " ",IF(INDEX($P$2:$S$1001,MATCH(ROWS($I$2:I957),$I$2:$I$1001,0),MATCH(COLUMNS($P$1006:R1006),$P$1006:$S$1006,0)), HYPERLINK("#",""), HYPERLINK(CONCATENATE("#metadata!", ADDRESS(INDEX($K$2:$K$1001,MATCH(ROWS($I$2:I957),$I$2:$I$1001,0),0), INDEX($P$1004:$S$1004,1,MATCH(COLUMNS($P$1006:R1006),$P$1006:$S$1006,0)))),"Fix")))</f>
        <v>0</v>
      </c>
      <c r="E957" s="3">
        <f>IF(OR(INDEX($J$2:$J$1001,MATCH(ROWS($I$2:I957),$I$2:$I$1001,0),1)&gt;=100000,INDEX($P$1005:$S$1005,1,MATCH(COLUMNS($P$1006:S1006),$P$1006:$S$1006,0))&gt;=100000), " ",IF(INDEX($P$2:$S$1001,MATCH(ROWS($I$2:I957),$I$2:$I$1001,0),MATCH(COLUMNS($P$1006:S1006),$P$1006:$S$1006,0)), HYPERLINK("#",""), HYPERLINK(CONCATENATE("#metadata!", ADDRESS(INDEX($K$2:$K$1001,MATCH(ROWS($I$2:I957),$I$2:$I$1001,0),0), INDEX($P$1004:$S$1004,1,MATCH(COLUMNS($P$1006:S1006),$P$1006:$S$1006,0)))),"Fix")))</f>
        <v>0</v>
      </c>
      <c r="I957">
        <v>0</v>
      </c>
      <c r="J957">
        <v>0</v>
      </c>
      <c r="K957">
        <v>0</v>
      </c>
      <c r="L957">
        <f>IF(M957,TRUE,AND(P957:S957))</f>
        <v>0</v>
      </c>
      <c r="M957">
        <f>COUNTBLANK(metadata!B957:E957)=COLUMNS(metadata!B957:E957)</f>
        <v>0</v>
      </c>
      <c r="N957">
        <v>0</v>
      </c>
      <c r="P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Q957">
        <f>AND(IF(metadata!C957="",FALSE,TRUE),exact(metadata!C957,"other"))</f>
        <v>0</v>
      </c>
      <c r="R957">
        <f>AND(IF(metadata!D957="",FALSE,TRUE),exact(metadata!D957,"metagenome"))</f>
        <v>0</v>
      </c>
      <c r="S957">
        <f>AND(IF(metadata!E957="",FALSE,TRUE),exact(metadata!E957,"256318"))</f>
        <v>0</v>
      </c>
    </row>
    <row r="958" spans="1:19">
      <c r="A958" s="4">
        <f>IF(B958=" "," ",HYPERLINK(CONCATENATE("#metadata!",ADDRESS(INDEX($K$2:$K$1001,MATCH(ROWS($I$2:I958),$I$2:$I$1001,0),0),1)),INDEX($N$2:$N$1001,MATCH(ROWS($I$2:I958),$I$2:$I$1001,0),0)))</f>
        <v>0</v>
      </c>
      <c r="B958" s="3">
        <f>IF(OR(INDEX($J$2:$J$1001,MATCH(ROWS($I$2:I958),$I$2:$I$1001,0),1)&gt;=100000,INDEX($P$1005:$S$1005,1,MATCH(COLUMNS($P$1006:P1006),$P$1006:$S$1006,0))&gt;=100000), " ",IF(INDEX($P$2:$S$1001,MATCH(ROWS($I$2:I958),$I$2:$I$1001,0),MATCH(COLUMNS($P$1006:P1006),$P$1006:$S$1006,0)), HYPERLINK("#",""), HYPERLINK(CONCATENATE("#metadata!", ADDRESS(INDEX($K$2:$K$1001,MATCH(ROWS($I$2:I958),$I$2:$I$1001,0),0), INDEX($P$1004:$S$1004,1,MATCH(COLUMNS($P$1006:P1006),$P$1006:$S$1006,0)))),"Fix")))</f>
        <v>0</v>
      </c>
      <c r="C958" s="3">
        <f>IF(OR(INDEX($J$2:$J$1001,MATCH(ROWS($I$2:I958),$I$2:$I$1001,0),1)&gt;=100000,INDEX($P$1005:$S$1005,1,MATCH(COLUMNS($P$1006:Q1006),$P$1006:$S$1006,0))&gt;=100000), " ",IF(INDEX($P$2:$S$1001,MATCH(ROWS($I$2:I958),$I$2:$I$1001,0),MATCH(COLUMNS($P$1006:Q1006),$P$1006:$S$1006,0)), HYPERLINK("#",""), HYPERLINK(CONCATENATE("#metadata!", ADDRESS(INDEX($K$2:$K$1001,MATCH(ROWS($I$2:I958),$I$2:$I$1001,0),0), INDEX($P$1004:$S$1004,1,MATCH(COLUMNS($P$1006:Q1006),$P$1006:$S$1006,0)))),"Fix")))</f>
        <v>0</v>
      </c>
      <c r="D958" s="3">
        <f>IF(OR(INDEX($J$2:$J$1001,MATCH(ROWS($I$2:I958),$I$2:$I$1001,0),1)&gt;=100000,INDEX($P$1005:$S$1005,1,MATCH(COLUMNS($P$1006:R1006),$P$1006:$S$1006,0))&gt;=100000), " ",IF(INDEX($P$2:$S$1001,MATCH(ROWS($I$2:I958),$I$2:$I$1001,0),MATCH(COLUMNS($P$1006:R1006),$P$1006:$S$1006,0)), HYPERLINK("#",""), HYPERLINK(CONCATENATE("#metadata!", ADDRESS(INDEX($K$2:$K$1001,MATCH(ROWS($I$2:I958),$I$2:$I$1001,0),0), INDEX($P$1004:$S$1004,1,MATCH(COLUMNS($P$1006:R1006),$P$1006:$S$1006,0)))),"Fix")))</f>
        <v>0</v>
      </c>
      <c r="E958" s="3">
        <f>IF(OR(INDEX($J$2:$J$1001,MATCH(ROWS($I$2:I958),$I$2:$I$1001,0),1)&gt;=100000,INDEX($P$1005:$S$1005,1,MATCH(COLUMNS($P$1006:S1006),$P$1006:$S$1006,0))&gt;=100000), " ",IF(INDEX($P$2:$S$1001,MATCH(ROWS($I$2:I958),$I$2:$I$1001,0),MATCH(COLUMNS($P$1006:S1006),$P$1006:$S$1006,0)), HYPERLINK("#",""), HYPERLINK(CONCATENATE("#metadata!", ADDRESS(INDEX($K$2:$K$1001,MATCH(ROWS($I$2:I958),$I$2:$I$1001,0),0), INDEX($P$1004:$S$1004,1,MATCH(COLUMNS($P$1006:S1006),$P$1006:$S$1006,0)))),"Fix")))</f>
        <v>0</v>
      </c>
      <c r="I958">
        <v>0</v>
      </c>
      <c r="J958">
        <v>0</v>
      </c>
      <c r="K958">
        <v>0</v>
      </c>
      <c r="L958">
        <f>IF(M958,TRUE,AND(P958:S958))</f>
        <v>0</v>
      </c>
      <c r="M958">
        <f>COUNTBLANK(metadata!B958:E958)=COLUMNS(metadata!B958:E958)</f>
        <v>0</v>
      </c>
      <c r="N958">
        <v>0</v>
      </c>
      <c r="P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Q958">
        <f>AND(IF(metadata!C958="",FALSE,TRUE),exact(metadata!C958,"other"))</f>
        <v>0</v>
      </c>
      <c r="R958">
        <f>AND(IF(metadata!D958="",FALSE,TRUE),exact(metadata!D958,"metagenome"))</f>
        <v>0</v>
      </c>
      <c r="S958">
        <f>AND(IF(metadata!E958="",FALSE,TRUE),exact(metadata!E958,"256318"))</f>
        <v>0</v>
      </c>
    </row>
    <row r="959" spans="1:19">
      <c r="A959" s="4">
        <f>IF(B959=" "," ",HYPERLINK(CONCATENATE("#metadata!",ADDRESS(INDEX($K$2:$K$1001,MATCH(ROWS($I$2:I959),$I$2:$I$1001,0),0),1)),INDEX($N$2:$N$1001,MATCH(ROWS($I$2:I959),$I$2:$I$1001,0),0)))</f>
        <v>0</v>
      </c>
      <c r="B959" s="3">
        <f>IF(OR(INDEX($J$2:$J$1001,MATCH(ROWS($I$2:I959),$I$2:$I$1001,0),1)&gt;=100000,INDEX($P$1005:$S$1005,1,MATCH(COLUMNS($P$1006:P1006),$P$1006:$S$1006,0))&gt;=100000), " ",IF(INDEX($P$2:$S$1001,MATCH(ROWS($I$2:I959),$I$2:$I$1001,0),MATCH(COLUMNS($P$1006:P1006),$P$1006:$S$1006,0)), HYPERLINK("#",""), HYPERLINK(CONCATENATE("#metadata!", ADDRESS(INDEX($K$2:$K$1001,MATCH(ROWS($I$2:I959),$I$2:$I$1001,0),0), INDEX($P$1004:$S$1004,1,MATCH(COLUMNS($P$1006:P1006),$P$1006:$S$1006,0)))),"Fix")))</f>
        <v>0</v>
      </c>
      <c r="C959" s="3">
        <f>IF(OR(INDEX($J$2:$J$1001,MATCH(ROWS($I$2:I959),$I$2:$I$1001,0),1)&gt;=100000,INDEX($P$1005:$S$1005,1,MATCH(COLUMNS($P$1006:Q1006),$P$1006:$S$1006,0))&gt;=100000), " ",IF(INDEX($P$2:$S$1001,MATCH(ROWS($I$2:I959),$I$2:$I$1001,0),MATCH(COLUMNS($P$1006:Q1006),$P$1006:$S$1006,0)), HYPERLINK("#",""), HYPERLINK(CONCATENATE("#metadata!", ADDRESS(INDEX($K$2:$K$1001,MATCH(ROWS($I$2:I959),$I$2:$I$1001,0),0), INDEX($P$1004:$S$1004,1,MATCH(COLUMNS($P$1006:Q1006),$P$1006:$S$1006,0)))),"Fix")))</f>
        <v>0</v>
      </c>
      <c r="D959" s="3">
        <f>IF(OR(INDEX($J$2:$J$1001,MATCH(ROWS($I$2:I959),$I$2:$I$1001,0),1)&gt;=100000,INDEX($P$1005:$S$1005,1,MATCH(COLUMNS($P$1006:R1006),$P$1006:$S$1006,0))&gt;=100000), " ",IF(INDEX($P$2:$S$1001,MATCH(ROWS($I$2:I959),$I$2:$I$1001,0),MATCH(COLUMNS($P$1006:R1006),$P$1006:$S$1006,0)), HYPERLINK("#",""), HYPERLINK(CONCATENATE("#metadata!", ADDRESS(INDEX($K$2:$K$1001,MATCH(ROWS($I$2:I959),$I$2:$I$1001,0),0), INDEX($P$1004:$S$1004,1,MATCH(COLUMNS($P$1006:R1006),$P$1006:$S$1006,0)))),"Fix")))</f>
        <v>0</v>
      </c>
      <c r="E959" s="3">
        <f>IF(OR(INDEX($J$2:$J$1001,MATCH(ROWS($I$2:I959),$I$2:$I$1001,0),1)&gt;=100000,INDEX($P$1005:$S$1005,1,MATCH(COLUMNS($P$1006:S1006),$P$1006:$S$1006,0))&gt;=100000), " ",IF(INDEX($P$2:$S$1001,MATCH(ROWS($I$2:I959),$I$2:$I$1001,0),MATCH(COLUMNS($P$1006:S1006),$P$1006:$S$1006,0)), HYPERLINK("#",""), HYPERLINK(CONCATENATE("#metadata!", ADDRESS(INDEX($K$2:$K$1001,MATCH(ROWS($I$2:I959),$I$2:$I$1001,0),0), INDEX($P$1004:$S$1004,1,MATCH(COLUMNS($P$1006:S1006),$P$1006:$S$1006,0)))),"Fix")))</f>
        <v>0</v>
      </c>
      <c r="I959">
        <v>0</v>
      </c>
      <c r="J959">
        <v>0</v>
      </c>
      <c r="K959">
        <v>0</v>
      </c>
      <c r="L959">
        <f>IF(M959,TRUE,AND(P959:S959))</f>
        <v>0</v>
      </c>
      <c r="M959">
        <f>COUNTBLANK(metadata!B959:E959)=COLUMNS(metadata!B959:E959)</f>
        <v>0</v>
      </c>
      <c r="N959">
        <v>0</v>
      </c>
      <c r="P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Q959">
        <f>AND(IF(metadata!C959="",FALSE,TRUE),exact(metadata!C959,"other"))</f>
        <v>0</v>
      </c>
      <c r="R959">
        <f>AND(IF(metadata!D959="",FALSE,TRUE),exact(metadata!D959,"metagenome"))</f>
        <v>0</v>
      </c>
      <c r="S959">
        <f>AND(IF(metadata!E959="",FALSE,TRUE),exact(metadata!E959,"256318"))</f>
        <v>0</v>
      </c>
    </row>
    <row r="960" spans="1:19">
      <c r="A960" s="4">
        <f>IF(B960=" "," ",HYPERLINK(CONCATENATE("#metadata!",ADDRESS(INDEX($K$2:$K$1001,MATCH(ROWS($I$2:I960),$I$2:$I$1001,0),0),1)),INDEX($N$2:$N$1001,MATCH(ROWS($I$2:I960),$I$2:$I$1001,0),0)))</f>
        <v>0</v>
      </c>
      <c r="B960" s="3">
        <f>IF(OR(INDEX($J$2:$J$1001,MATCH(ROWS($I$2:I960),$I$2:$I$1001,0),1)&gt;=100000,INDEX($P$1005:$S$1005,1,MATCH(COLUMNS($P$1006:P1006),$P$1006:$S$1006,0))&gt;=100000), " ",IF(INDEX($P$2:$S$1001,MATCH(ROWS($I$2:I960),$I$2:$I$1001,0),MATCH(COLUMNS($P$1006:P1006),$P$1006:$S$1006,0)), HYPERLINK("#",""), HYPERLINK(CONCATENATE("#metadata!", ADDRESS(INDEX($K$2:$K$1001,MATCH(ROWS($I$2:I960),$I$2:$I$1001,0),0), INDEX($P$1004:$S$1004,1,MATCH(COLUMNS($P$1006:P1006),$P$1006:$S$1006,0)))),"Fix")))</f>
        <v>0</v>
      </c>
      <c r="C960" s="3">
        <f>IF(OR(INDEX($J$2:$J$1001,MATCH(ROWS($I$2:I960),$I$2:$I$1001,0),1)&gt;=100000,INDEX($P$1005:$S$1005,1,MATCH(COLUMNS($P$1006:Q1006),$P$1006:$S$1006,0))&gt;=100000), " ",IF(INDEX($P$2:$S$1001,MATCH(ROWS($I$2:I960),$I$2:$I$1001,0),MATCH(COLUMNS($P$1006:Q1006),$P$1006:$S$1006,0)), HYPERLINK("#",""), HYPERLINK(CONCATENATE("#metadata!", ADDRESS(INDEX($K$2:$K$1001,MATCH(ROWS($I$2:I960),$I$2:$I$1001,0),0), INDEX($P$1004:$S$1004,1,MATCH(COLUMNS($P$1006:Q1006),$P$1006:$S$1006,0)))),"Fix")))</f>
        <v>0</v>
      </c>
      <c r="D960" s="3">
        <f>IF(OR(INDEX($J$2:$J$1001,MATCH(ROWS($I$2:I960),$I$2:$I$1001,0),1)&gt;=100000,INDEX($P$1005:$S$1005,1,MATCH(COLUMNS($P$1006:R1006),$P$1006:$S$1006,0))&gt;=100000), " ",IF(INDEX($P$2:$S$1001,MATCH(ROWS($I$2:I960),$I$2:$I$1001,0),MATCH(COLUMNS($P$1006:R1006),$P$1006:$S$1006,0)), HYPERLINK("#",""), HYPERLINK(CONCATENATE("#metadata!", ADDRESS(INDEX($K$2:$K$1001,MATCH(ROWS($I$2:I960),$I$2:$I$1001,0),0), INDEX($P$1004:$S$1004,1,MATCH(COLUMNS($P$1006:R1006),$P$1006:$S$1006,0)))),"Fix")))</f>
        <v>0</v>
      </c>
      <c r="E960" s="3">
        <f>IF(OR(INDEX($J$2:$J$1001,MATCH(ROWS($I$2:I960),$I$2:$I$1001,0),1)&gt;=100000,INDEX($P$1005:$S$1005,1,MATCH(COLUMNS($P$1006:S1006),$P$1006:$S$1006,0))&gt;=100000), " ",IF(INDEX($P$2:$S$1001,MATCH(ROWS($I$2:I960),$I$2:$I$1001,0),MATCH(COLUMNS($P$1006:S1006),$P$1006:$S$1006,0)), HYPERLINK("#",""), HYPERLINK(CONCATENATE("#metadata!", ADDRESS(INDEX($K$2:$K$1001,MATCH(ROWS($I$2:I960),$I$2:$I$1001,0),0), INDEX($P$1004:$S$1004,1,MATCH(COLUMNS($P$1006:S1006),$P$1006:$S$1006,0)))),"Fix")))</f>
        <v>0</v>
      </c>
      <c r="I960">
        <v>0</v>
      </c>
      <c r="J960">
        <v>0</v>
      </c>
      <c r="K960">
        <v>0</v>
      </c>
      <c r="L960">
        <f>IF(M960,TRUE,AND(P960:S960))</f>
        <v>0</v>
      </c>
      <c r="M960">
        <f>COUNTBLANK(metadata!B960:E960)=COLUMNS(metadata!B960:E960)</f>
        <v>0</v>
      </c>
      <c r="N960">
        <v>0</v>
      </c>
      <c r="P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Q960">
        <f>AND(IF(metadata!C960="",FALSE,TRUE),exact(metadata!C960,"other"))</f>
        <v>0</v>
      </c>
      <c r="R960">
        <f>AND(IF(metadata!D960="",FALSE,TRUE),exact(metadata!D960,"metagenome"))</f>
        <v>0</v>
      </c>
      <c r="S960">
        <f>AND(IF(metadata!E960="",FALSE,TRUE),exact(metadata!E960,"256318"))</f>
        <v>0</v>
      </c>
    </row>
    <row r="961" spans="1:19">
      <c r="A961" s="4">
        <f>IF(B961=" "," ",HYPERLINK(CONCATENATE("#metadata!",ADDRESS(INDEX($K$2:$K$1001,MATCH(ROWS($I$2:I961),$I$2:$I$1001,0),0),1)),INDEX($N$2:$N$1001,MATCH(ROWS($I$2:I961),$I$2:$I$1001,0),0)))</f>
        <v>0</v>
      </c>
      <c r="B961" s="3">
        <f>IF(OR(INDEX($J$2:$J$1001,MATCH(ROWS($I$2:I961),$I$2:$I$1001,0),1)&gt;=100000,INDEX($P$1005:$S$1005,1,MATCH(COLUMNS($P$1006:P1006),$P$1006:$S$1006,0))&gt;=100000), " ",IF(INDEX($P$2:$S$1001,MATCH(ROWS($I$2:I961),$I$2:$I$1001,0),MATCH(COLUMNS($P$1006:P1006),$P$1006:$S$1006,0)), HYPERLINK("#",""), HYPERLINK(CONCATENATE("#metadata!", ADDRESS(INDEX($K$2:$K$1001,MATCH(ROWS($I$2:I961),$I$2:$I$1001,0),0), INDEX($P$1004:$S$1004,1,MATCH(COLUMNS($P$1006:P1006),$P$1006:$S$1006,0)))),"Fix")))</f>
        <v>0</v>
      </c>
      <c r="C961" s="3">
        <f>IF(OR(INDEX($J$2:$J$1001,MATCH(ROWS($I$2:I961),$I$2:$I$1001,0),1)&gt;=100000,INDEX($P$1005:$S$1005,1,MATCH(COLUMNS($P$1006:Q1006),$P$1006:$S$1006,0))&gt;=100000), " ",IF(INDEX($P$2:$S$1001,MATCH(ROWS($I$2:I961),$I$2:$I$1001,0),MATCH(COLUMNS($P$1006:Q1006),$P$1006:$S$1006,0)), HYPERLINK("#",""), HYPERLINK(CONCATENATE("#metadata!", ADDRESS(INDEX($K$2:$K$1001,MATCH(ROWS($I$2:I961),$I$2:$I$1001,0),0), INDEX($P$1004:$S$1004,1,MATCH(COLUMNS($P$1006:Q1006),$P$1006:$S$1006,0)))),"Fix")))</f>
        <v>0</v>
      </c>
      <c r="D961" s="3">
        <f>IF(OR(INDEX($J$2:$J$1001,MATCH(ROWS($I$2:I961),$I$2:$I$1001,0),1)&gt;=100000,INDEX($P$1005:$S$1005,1,MATCH(COLUMNS($P$1006:R1006),$P$1006:$S$1006,0))&gt;=100000), " ",IF(INDEX($P$2:$S$1001,MATCH(ROWS($I$2:I961),$I$2:$I$1001,0),MATCH(COLUMNS($P$1006:R1006),$P$1006:$S$1006,0)), HYPERLINK("#",""), HYPERLINK(CONCATENATE("#metadata!", ADDRESS(INDEX($K$2:$K$1001,MATCH(ROWS($I$2:I961),$I$2:$I$1001,0),0), INDEX($P$1004:$S$1004,1,MATCH(COLUMNS($P$1006:R1006),$P$1006:$S$1006,0)))),"Fix")))</f>
        <v>0</v>
      </c>
      <c r="E961" s="3">
        <f>IF(OR(INDEX($J$2:$J$1001,MATCH(ROWS($I$2:I961),$I$2:$I$1001,0),1)&gt;=100000,INDEX($P$1005:$S$1005,1,MATCH(COLUMNS($P$1006:S1006),$P$1006:$S$1006,0))&gt;=100000), " ",IF(INDEX($P$2:$S$1001,MATCH(ROWS($I$2:I961),$I$2:$I$1001,0),MATCH(COLUMNS($P$1006:S1006),$P$1006:$S$1006,0)), HYPERLINK("#",""), HYPERLINK(CONCATENATE("#metadata!", ADDRESS(INDEX($K$2:$K$1001,MATCH(ROWS($I$2:I961),$I$2:$I$1001,0),0), INDEX($P$1004:$S$1004,1,MATCH(COLUMNS($P$1006:S1006),$P$1006:$S$1006,0)))),"Fix")))</f>
        <v>0</v>
      </c>
      <c r="I961">
        <v>0</v>
      </c>
      <c r="J961">
        <v>0</v>
      </c>
      <c r="K961">
        <v>0</v>
      </c>
      <c r="L961">
        <f>IF(M961,TRUE,AND(P961:S961))</f>
        <v>0</v>
      </c>
      <c r="M961">
        <f>COUNTBLANK(metadata!B961:E961)=COLUMNS(metadata!B961:E961)</f>
        <v>0</v>
      </c>
      <c r="N961">
        <v>0</v>
      </c>
      <c r="P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Q961">
        <f>AND(IF(metadata!C961="",FALSE,TRUE),exact(metadata!C961,"other"))</f>
        <v>0</v>
      </c>
      <c r="R961">
        <f>AND(IF(metadata!D961="",FALSE,TRUE),exact(metadata!D961,"metagenome"))</f>
        <v>0</v>
      </c>
      <c r="S961">
        <f>AND(IF(metadata!E961="",FALSE,TRUE),exact(metadata!E961,"256318"))</f>
        <v>0</v>
      </c>
    </row>
    <row r="962" spans="1:19">
      <c r="A962" s="4">
        <f>IF(B962=" "," ",HYPERLINK(CONCATENATE("#metadata!",ADDRESS(INDEX($K$2:$K$1001,MATCH(ROWS($I$2:I962),$I$2:$I$1001,0),0),1)),INDEX($N$2:$N$1001,MATCH(ROWS($I$2:I962),$I$2:$I$1001,0),0)))</f>
        <v>0</v>
      </c>
      <c r="B962" s="3">
        <f>IF(OR(INDEX($J$2:$J$1001,MATCH(ROWS($I$2:I962),$I$2:$I$1001,0),1)&gt;=100000,INDEX($P$1005:$S$1005,1,MATCH(COLUMNS($P$1006:P1006),$P$1006:$S$1006,0))&gt;=100000), " ",IF(INDEX($P$2:$S$1001,MATCH(ROWS($I$2:I962),$I$2:$I$1001,0),MATCH(COLUMNS($P$1006:P1006),$P$1006:$S$1006,0)), HYPERLINK("#",""), HYPERLINK(CONCATENATE("#metadata!", ADDRESS(INDEX($K$2:$K$1001,MATCH(ROWS($I$2:I962),$I$2:$I$1001,0),0), INDEX($P$1004:$S$1004,1,MATCH(COLUMNS($P$1006:P1006),$P$1006:$S$1006,0)))),"Fix")))</f>
        <v>0</v>
      </c>
      <c r="C962" s="3">
        <f>IF(OR(INDEX($J$2:$J$1001,MATCH(ROWS($I$2:I962),$I$2:$I$1001,0),1)&gt;=100000,INDEX($P$1005:$S$1005,1,MATCH(COLUMNS($P$1006:Q1006),$P$1006:$S$1006,0))&gt;=100000), " ",IF(INDEX($P$2:$S$1001,MATCH(ROWS($I$2:I962),$I$2:$I$1001,0),MATCH(COLUMNS($P$1006:Q1006),$P$1006:$S$1006,0)), HYPERLINK("#",""), HYPERLINK(CONCATENATE("#metadata!", ADDRESS(INDEX($K$2:$K$1001,MATCH(ROWS($I$2:I962),$I$2:$I$1001,0),0), INDEX($P$1004:$S$1004,1,MATCH(COLUMNS($P$1006:Q1006),$P$1006:$S$1006,0)))),"Fix")))</f>
        <v>0</v>
      </c>
      <c r="D962" s="3">
        <f>IF(OR(INDEX($J$2:$J$1001,MATCH(ROWS($I$2:I962),$I$2:$I$1001,0),1)&gt;=100000,INDEX($P$1005:$S$1005,1,MATCH(COLUMNS($P$1006:R1006),$P$1006:$S$1006,0))&gt;=100000), " ",IF(INDEX($P$2:$S$1001,MATCH(ROWS($I$2:I962),$I$2:$I$1001,0),MATCH(COLUMNS($P$1006:R1006),$P$1006:$S$1006,0)), HYPERLINK("#",""), HYPERLINK(CONCATENATE("#metadata!", ADDRESS(INDEX($K$2:$K$1001,MATCH(ROWS($I$2:I962),$I$2:$I$1001,0),0), INDEX($P$1004:$S$1004,1,MATCH(COLUMNS($P$1006:R1006),$P$1006:$S$1006,0)))),"Fix")))</f>
        <v>0</v>
      </c>
      <c r="E962" s="3">
        <f>IF(OR(INDEX($J$2:$J$1001,MATCH(ROWS($I$2:I962),$I$2:$I$1001,0),1)&gt;=100000,INDEX($P$1005:$S$1005,1,MATCH(COLUMNS($P$1006:S1006),$P$1006:$S$1006,0))&gt;=100000), " ",IF(INDEX($P$2:$S$1001,MATCH(ROWS($I$2:I962),$I$2:$I$1001,0),MATCH(COLUMNS($P$1006:S1006),$P$1006:$S$1006,0)), HYPERLINK("#",""), HYPERLINK(CONCATENATE("#metadata!", ADDRESS(INDEX($K$2:$K$1001,MATCH(ROWS($I$2:I962),$I$2:$I$1001,0),0), INDEX($P$1004:$S$1004,1,MATCH(COLUMNS($P$1006:S1006),$P$1006:$S$1006,0)))),"Fix")))</f>
        <v>0</v>
      </c>
      <c r="I962">
        <v>0</v>
      </c>
      <c r="J962">
        <v>0</v>
      </c>
      <c r="K962">
        <v>0</v>
      </c>
      <c r="L962">
        <f>IF(M962,TRUE,AND(P962:S962))</f>
        <v>0</v>
      </c>
      <c r="M962">
        <f>COUNTBLANK(metadata!B962:E962)=COLUMNS(metadata!B962:E962)</f>
        <v>0</v>
      </c>
      <c r="N962">
        <v>0</v>
      </c>
      <c r="P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Q962">
        <f>AND(IF(metadata!C962="",FALSE,TRUE),exact(metadata!C962,"other"))</f>
        <v>0</v>
      </c>
      <c r="R962">
        <f>AND(IF(metadata!D962="",FALSE,TRUE),exact(metadata!D962,"metagenome"))</f>
        <v>0</v>
      </c>
      <c r="S962">
        <f>AND(IF(metadata!E962="",FALSE,TRUE),exact(metadata!E962,"256318"))</f>
        <v>0</v>
      </c>
    </row>
    <row r="963" spans="1:19">
      <c r="A963" s="4">
        <f>IF(B963=" "," ",HYPERLINK(CONCATENATE("#metadata!",ADDRESS(INDEX($K$2:$K$1001,MATCH(ROWS($I$2:I963),$I$2:$I$1001,0),0),1)),INDEX($N$2:$N$1001,MATCH(ROWS($I$2:I963),$I$2:$I$1001,0),0)))</f>
        <v>0</v>
      </c>
      <c r="B963" s="3">
        <f>IF(OR(INDEX($J$2:$J$1001,MATCH(ROWS($I$2:I963),$I$2:$I$1001,0),1)&gt;=100000,INDEX($P$1005:$S$1005,1,MATCH(COLUMNS($P$1006:P1006),$P$1006:$S$1006,0))&gt;=100000), " ",IF(INDEX($P$2:$S$1001,MATCH(ROWS($I$2:I963),$I$2:$I$1001,0),MATCH(COLUMNS($P$1006:P1006),$P$1006:$S$1006,0)), HYPERLINK("#",""), HYPERLINK(CONCATENATE("#metadata!", ADDRESS(INDEX($K$2:$K$1001,MATCH(ROWS($I$2:I963),$I$2:$I$1001,0),0), INDEX($P$1004:$S$1004,1,MATCH(COLUMNS($P$1006:P1006),$P$1006:$S$1006,0)))),"Fix")))</f>
        <v>0</v>
      </c>
      <c r="C963" s="3">
        <f>IF(OR(INDEX($J$2:$J$1001,MATCH(ROWS($I$2:I963),$I$2:$I$1001,0),1)&gt;=100000,INDEX($P$1005:$S$1005,1,MATCH(COLUMNS($P$1006:Q1006),$P$1006:$S$1006,0))&gt;=100000), " ",IF(INDEX($P$2:$S$1001,MATCH(ROWS($I$2:I963),$I$2:$I$1001,0),MATCH(COLUMNS($P$1006:Q1006),$P$1006:$S$1006,0)), HYPERLINK("#",""), HYPERLINK(CONCATENATE("#metadata!", ADDRESS(INDEX($K$2:$K$1001,MATCH(ROWS($I$2:I963),$I$2:$I$1001,0),0), INDEX($P$1004:$S$1004,1,MATCH(COLUMNS($P$1006:Q1006),$P$1006:$S$1006,0)))),"Fix")))</f>
        <v>0</v>
      </c>
      <c r="D963" s="3">
        <f>IF(OR(INDEX($J$2:$J$1001,MATCH(ROWS($I$2:I963),$I$2:$I$1001,0),1)&gt;=100000,INDEX($P$1005:$S$1005,1,MATCH(COLUMNS($P$1006:R1006),$P$1006:$S$1006,0))&gt;=100000), " ",IF(INDEX($P$2:$S$1001,MATCH(ROWS($I$2:I963),$I$2:$I$1001,0),MATCH(COLUMNS($P$1006:R1006),$P$1006:$S$1006,0)), HYPERLINK("#",""), HYPERLINK(CONCATENATE("#metadata!", ADDRESS(INDEX($K$2:$K$1001,MATCH(ROWS($I$2:I963),$I$2:$I$1001,0),0), INDEX($P$1004:$S$1004,1,MATCH(COLUMNS($P$1006:R1006),$P$1006:$S$1006,0)))),"Fix")))</f>
        <v>0</v>
      </c>
      <c r="E963" s="3">
        <f>IF(OR(INDEX($J$2:$J$1001,MATCH(ROWS($I$2:I963),$I$2:$I$1001,0),1)&gt;=100000,INDEX($P$1005:$S$1005,1,MATCH(COLUMNS($P$1006:S1006),$P$1006:$S$1006,0))&gt;=100000), " ",IF(INDEX($P$2:$S$1001,MATCH(ROWS($I$2:I963),$I$2:$I$1001,0),MATCH(COLUMNS($P$1006:S1006),$P$1006:$S$1006,0)), HYPERLINK("#",""), HYPERLINK(CONCATENATE("#metadata!", ADDRESS(INDEX($K$2:$K$1001,MATCH(ROWS($I$2:I963),$I$2:$I$1001,0),0), INDEX($P$1004:$S$1004,1,MATCH(COLUMNS($P$1006:S1006),$P$1006:$S$1006,0)))),"Fix")))</f>
        <v>0</v>
      </c>
      <c r="I963">
        <v>0</v>
      </c>
      <c r="J963">
        <v>0</v>
      </c>
      <c r="K963">
        <v>0</v>
      </c>
      <c r="L963">
        <f>IF(M963,TRUE,AND(P963:S963))</f>
        <v>0</v>
      </c>
      <c r="M963">
        <f>COUNTBLANK(metadata!B963:E963)=COLUMNS(metadata!B963:E963)</f>
        <v>0</v>
      </c>
      <c r="N963">
        <v>0</v>
      </c>
      <c r="P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Q963">
        <f>AND(IF(metadata!C963="",FALSE,TRUE),exact(metadata!C963,"other"))</f>
        <v>0</v>
      </c>
      <c r="R963">
        <f>AND(IF(metadata!D963="",FALSE,TRUE),exact(metadata!D963,"metagenome"))</f>
        <v>0</v>
      </c>
      <c r="S963">
        <f>AND(IF(metadata!E963="",FALSE,TRUE),exact(metadata!E963,"256318"))</f>
        <v>0</v>
      </c>
    </row>
    <row r="964" spans="1:19">
      <c r="A964" s="4">
        <f>IF(B964=" "," ",HYPERLINK(CONCATENATE("#metadata!",ADDRESS(INDEX($K$2:$K$1001,MATCH(ROWS($I$2:I964),$I$2:$I$1001,0),0),1)),INDEX($N$2:$N$1001,MATCH(ROWS($I$2:I964),$I$2:$I$1001,0),0)))</f>
        <v>0</v>
      </c>
      <c r="B964" s="3">
        <f>IF(OR(INDEX($J$2:$J$1001,MATCH(ROWS($I$2:I964),$I$2:$I$1001,0),1)&gt;=100000,INDEX($P$1005:$S$1005,1,MATCH(COLUMNS($P$1006:P1006),$P$1006:$S$1006,0))&gt;=100000), " ",IF(INDEX($P$2:$S$1001,MATCH(ROWS($I$2:I964),$I$2:$I$1001,0),MATCH(COLUMNS($P$1006:P1006),$P$1006:$S$1006,0)), HYPERLINK("#",""), HYPERLINK(CONCATENATE("#metadata!", ADDRESS(INDEX($K$2:$K$1001,MATCH(ROWS($I$2:I964),$I$2:$I$1001,0),0), INDEX($P$1004:$S$1004,1,MATCH(COLUMNS($P$1006:P1006),$P$1006:$S$1006,0)))),"Fix")))</f>
        <v>0</v>
      </c>
      <c r="C964" s="3">
        <f>IF(OR(INDEX($J$2:$J$1001,MATCH(ROWS($I$2:I964),$I$2:$I$1001,0),1)&gt;=100000,INDEX($P$1005:$S$1005,1,MATCH(COLUMNS($P$1006:Q1006),$P$1006:$S$1006,0))&gt;=100000), " ",IF(INDEX($P$2:$S$1001,MATCH(ROWS($I$2:I964),$I$2:$I$1001,0),MATCH(COLUMNS($P$1006:Q1006),$P$1006:$S$1006,0)), HYPERLINK("#",""), HYPERLINK(CONCATENATE("#metadata!", ADDRESS(INDEX($K$2:$K$1001,MATCH(ROWS($I$2:I964),$I$2:$I$1001,0),0), INDEX($P$1004:$S$1004,1,MATCH(COLUMNS($P$1006:Q1006),$P$1006:$S$1006,0)))),"Fix")))</f>
        <v>0</v>
      </c>
      <c r="D964" s="3">
        <f>IF(OR(INDEX($J$2:$J$1001,MATCH(ROWS($I$2:I964),$I$2:$I$1001,0),1)&gt;=100000,INDEX($P$1005:$S$1005,1,MATCH(COLUMNS($P$1006:R1006),$P$1006:$S$1006,0))&gt;=100000), " ",IF(INDEX($P$2:$S$1001,MATCH(ROWS($I$2:I964),$I$2:$I$1001,0),MATCH(COLUMNS($P$1006:R1006),$P$1006:$S$1006,0)), HYPERLINK("#",""), HYPERLINK(CONCATENATE("#metadata!", ADDRESS(INDEX($K$2:$K$1001,MATCH(ROWS($I$2:I964),$I$2:$I$1001,0),0), INDEX($P$1004:$S$1004,1,MATCH(COLUMNS($P$1006:R1006),$P$1006:$S$1006,0)))),"Fix")))</f>
        <v>0</v>
      </c>
      <c r="E964" s="3">
        <f>IF(OR(INDEX($J$2:$J$1001,MATCH(ROWS($I$2:I964),$I$2:$I$1001,0),1)&gt;=100000,INDEX($P$1005:$S$1005,1,MATCH(COLUMNS($P$1006:S1006),$P$1006:$S$1006,0))&gt;=100000), " ",IF(INDEX($P$2:$S$1001,MATCH(ROWS($I$2:I964),$I$2:$I$1001,0),MATCH(COLUMNS($P$1006:S1006),$P$1006:$S$1006,0)), HYPERLINK("#",""), HYPERLINK(CONCATENATE("#metadata!", ADDRESS(INDEX($K$2:$K$1001,MATCH(ROWS($I$2:I964),$I$2:$I$1001,0),0), INDEX($P$1004:$S$1004,1,MATCH(COLUMNS($P$1006:S1006),$P$1006:$S$1006,0)))),"Fix")))</f>
        <v>0</v>
      </c>
      <c r="I964">
        <v>0</v>
      </c>
      <c r="J964">
        <v>0</v>
      </c>
      <c r="K964">
        <v>0</v>
      </c>
      <c r="L964">
        <f>IF(M964,TRUE,AND(P964:S964))</f>
        <v>0</v>
      </c>
      <c r="M964">
        <f>COUNTBLANK(metadata!B964:E964)=COLUMNS(metadata!B964:E964)</f>
        <v>0</v>
      </c>
      <c r="N964">
        <v>0</v>
      </c>
      <c r="P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Q964">
        <f>AND(IF(metadata!C964="",FALSE,TRUE),exact(metadata!C964,"other"))</f>
        <v>0</v>
      </c>
      <c r="R964">
        <f>AND(IF(metadata!D964="",FALSE,TRUE),exact(metadata!D964,"metagenome"))</f>
        <v>0</v>
      </c>
      <c r="S964">
        <f>AND(IF(metadata!E964="",FALSE,TRUE),exact(metadata!E964,"256318"))</f>
        <v>0</v>
      </c>
    </row>
    <row r="965" spans="1:19">
      <c r="A965" s="4">
        <f>IF(B965=" "," ",HYPERLINK(CONCATENATE("#metadata!",ADDRESS(INDEX($K$2:$K$1001,MATCH(ROWS($I$2:I965),$I$2:$I$1001,0),0),1)),INDEX($N$2:$N$1001,MATCH(ROWS($I$2:I965),$I$2:$I$1001,0),0)))</f>
        <v>0</v>
      </c>
      <c r="B965" s="3">
        <f>IF(OR(INDEX($J$2:$J$1001,MATCH(ROWS($I$2:I965),$I$2:$I$1001,0),1)&gt;=100000,INDEX($P$1005:$S$1005,1,MATCH(COLUMNS($P$1006:P1006),$P$1006:$S$1006,0))&gt;=100000), " ",IF(INDEX($P$2:$S$1001,MATCH(ROWS($I$2:I965),$I$2:$I$1001,0),MATCH(COLUMNS($P$1006:P1006),$P$1006:$S$1006,0)), HYPERLINK("#",""), HYPERLINK(CONCATENATE("#metadata!", ADDRESS(INDEX($K$2:$K$1001,MATCH(ROWS($I$2:I965),$I$2:$I$1001,0),0), INDEX($P$1004:$S$1004,1,MATCH(COLUMNS($P$1006:P1006),$P$1006:$S$1006,0)))),"Fix")))</f>
        <v>0</v>
      </c>
      <c r="C965" s="3">
        <f>IF(OR(INDEX($J$2:$J$1001,MATCH(ROWS($I$2:I965),$I$2:$I$1001,0),1)&gt;=100000,INDEX($P$1005:$S$1005,1,MATCH(COLUMNS($P$1006:Q1006),$P$1006:$S$1006,0))&gt;=100000), " ",IF(INDEX($P$2:$S$1001,MATCH(ROWS($I$2:I965),$I$2:$I$1001,0),MATCH(COLUMNS($P$1006:Q1006),$P$1006:$S$1006,0)), HYPERLINK("#",""), HYPERLINK(CONCATENATE("#metadata!", ADDRESS(INDEX($K$2:$K$1001,MATCH(ROWS($I$2:I965),$I$2:$I$1001,0),0), INDEX($P$1004:$S$1004,1,MATCH(COLUMNS($P$1006:Q1006),$P$1006:$S$1006,0)))),"Fix")))</f>
        <v>0</v>
      </c>
      <c r="D965" s="3">
        <f>IF(OR(INDEX($J$2:$J$1001,MATCH(ROWS($I$2:I965),$I$2:$I$1001,0),1)&gt;=100000,INDEX($P$1005:$S$1005,1,MATCH(COLUMNS($P$1006:R1006),$P$1006:$S$1006,0))&gt;=100000), " ",IF(INDEX($P$2:$S$1001,MATCH(ROWS($I$2:I965),$I$2:$I$1001,0),MATCH(COLUMNS($P$1006:R1006),$P$1006:$S$1006,0)), HYPERLINK("#",""), HYPERLINK(CONCATENATE("#metadata!", ADDRESS(INDEX($K$2:$K$1001,MATCH(ROWS($I$2:I965),$I$2:$I$1001,0),0), INDEX($P$1004:$S$1004,1,MATCH(COLUMNS($P$1006:R1006),$P$1006:$S$1006,0)))),"Fix")))</f>
        <v>0</v>
      </c>
      <c r="E965" s="3">
        <f>IF(OR(INDEX($J$2:$J$1001,MATCH(ROWS($I$2:I965),$I$2:$I$1001,0),1)&gt;=100000,INDEX($P$1005:$S$1005,1,MATCH(COLUMNS($P$1006:S1006),$P$1006:$S$1006,0))&gt;=100000), " ",IF(INDEX($P$2:$S$1001,MATCH(ROWS($I$2:I965),$I$2:$I$1001,0),MATCH(COLUMNS($P$1006:S1006),$P$1006:$S$1006,0)), HYPERLINK("#",""), HYPERLINK(CONCATENATE("#metadata!", ADDRESS(INDEX($K$2:$K$1001,MATCH(ROWS($I$2:I965),$I$2:$I$1001,0),0), INDEX($P$1004:$S$1004,1,MATCH(COLUMNS($P$1006:S1006),$P$1006:$S$1006,0)))),"Fix")))</f>
        <v>0</v>
      </c>
      <c r="I965">
        <v>0</v>
      </c>
      <c r="J965">
        <v>0</v>
      </c>
      <c r="K965">
        <v>0</v>
      </c>
      <c r="L965">
        <f>IF(M965,TRUE,AND(P965:S965))</f>
        <v>0</v>
      </c>
      <c r="M965">
        <f>COUNTBLANK(metadata!B965:E965)=COLUMNS(metadata!B965:E965)</f>
        <v>0</v>
      </c>
      <c r="N965">
        <v>0</v>
      </c>
      <c r="P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Q965">
        <f>AND(IF(metadata!C965="",FALSE,TRUE),exact(metadata!C965,"other"))</f>
        <v>0</v>
      </c>
      <c r="R965">
        <f>AND(IF(metadata!D965="",FALSE,TRUE),exact(metadata!D965,"metagenome"))</f>
        <v>0</v>
      </c>
      <c r="S965">
        <f>AND(IF(metadata!E965="",FALSE,TRUE),exact(metadata!E965,"256318"))</f>
        <v>0</v>
      </c>
    </row>
    <row r="966" spans="1:19">
      <c r="A966" s="4">
        <f>IF(B966=" "," ",HYPERLINK(CONCATENATE("#metadata!",ADDRESS(INDEX($K$2:$K$1001,MATCH(ROWS($I$2:I966),$I$2:$I$1001,0),0),1)),INDEX($N$2:$N$1001,MATCH(ROWS($I$2:I966),$I$2:$I$1001,0),0)))</f>
        <v>0</v>
      </c>
      <c r="B966" s="3">
        <f>IF(OR(INDEX($J$2:$J$1001,MATCH(ROWS($I$2:I966),$I$2:$I$1001,0),1)&gt;=100000,INDEX($P$1005:$S$1005,1,MATCH(COLUMNS($P$1006:P1006),$P$1006:$S$1006,0))&gt;=100000), " ",IF(INDEX($P$2:$S$1001,MATCH(ROWS($I$2:I966),$I$2:$I$1001,0),MATCH(COLUMNS($P$1006:P1006),$P$1006:$S$1006,0)), HYPERLINK("#",""), HYPERLINK(CONCATENATE("#metadata!", ADDRESS(INDEX($K$2:$K$1001,MATCH(ROWS($I$2:I966),$I$2:$I$1001,0),0), INDEX($P$1004:$S$1004,1,MATCH(COLUMNS($P$1006:P1006),$P$1006:$S$1006,0)))),"Fix")))</f>
        <v>0</v>
      </c>
      <c r="C966" s="3">
        <f>IF(OR(INDEX($J$2:$J$1001,MATCH(ROWS($I$2:I966),$I$2:$I$1001,0),1)&gt;=100000,INDEX($P$1005:$S$1005,1,MATCH(COLUMNS($P$1006:Q1006),$P$1006:$S$1006,0))&gt;=100000), " ",IF(INDEX($P$2:$S$1001,MATCH(ROWS($I$2:I966),$I$2:$I$1001,0),MATCH(COLUMNS($P$1006:Q1006),$P$1006:$S$1006,0)), HYPERLINK("#",""), HYPERLINK(CONCATENATE("#metadata!", ADDRESS(INDEX($K$2:$K$1001,MATCH(ROWS($I$2:I966),$I$2:$I$1001,0),0), INDEX($P$1004:$S$1004,1,MATCH(COLUMNS($P$1006:Q1006),$P$1006:$S$1006,0)))),"Fix")))</f>
        <v>0</v>
      </c>
      <c r="D966" s="3">
        <f>IF(OR(INDEX($J$2:$J$1001,MATCH(ROWS($I$2:I966),$I$2:$I$1001,0),1)&gt;=100000,INDEX($P$1005:$S$1005,1,MATCH(COLUMNS($P$1006:R1006),$P$1006:$S$1006,0))&gt;=100000), " ",IF(INDEX($P$2:$S$1001,MATCH(ROWS($I$2:I966),$I$2:$I$1001,0),MATCH(COLUMNS($P$1006:R1006),$P$1006:$S$1006,0)), HYPERLINK("#",""), HYPERLINK(CONCATENATE("#metadata!", ADDRESS(INDEX($K$2:$K$1001,MATCH(ROWS($I$2:I966),$I$2:$I$1001,0),0), INDEX($P$1004:$S$1004,1,MATCH(COLUMNS($P$1006:R1006),$P$1006:$S$1006,0)))),"Fix")))</f>
        <v>0</v>
      </c>
      <c r="E966" s="3">
        <f>IF(OR(INDEX($J$2:$J$1001,MATCH(ROWS($I$2:I966),$I$2:$I$1001,0),1)&gt;=100000,INDEX($P$1005:$S$1005,1,MATCH(COLUMNS($P$1006:S1006),$P$1006:$S$1006,0))&gt;=100000), " ",IF(INDEX($P$2:$S$1001,MATCH(ROWS($I$2:I966),$I$2:$I$1001,0),MATCH(COLUMNS($P$1006:S1006),$P$1006:$S$1006,0)), HYPERLINK("#",""), HYPERLINK(CONCATENATE("#metadata!", ADDRESS(INDEX($K$2:$K$1001,MATCH(ROWS($I$2:I966),$I$2:$I$1001,0),0), INDEX($P$1004:$S$1004,1,MATCH(COLUMNS($P$1006:S1006),$P$1006:$S$1006,0)))),"Fix")))</f>
        <v>0</v>
      </c>
      <c r="I966">
        <v>0</v>
      </c>
      <c r="J966">
        <v>0</v>
      </c>
      <c r="K966">
        <v>0</v>
      </c>
      <c r="L966">
        <f>IF(M966,TRUE,AND(P966:S966))</f>
        <v>0</v>
      </c>
      <c r="M966">
        <f>COUNTBLANK(metadata!B966:E966)=COLUMNS(metadata!B966:E966)</f>
        <v>0</v>
      </c>
      <c r="N966">
        <v>0</v>
      </c>
      <c r="P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Q966">
        <f>AND(IF(metadata!C966="",FALSE,TRUE),exact(metadata!C966,"other"))</f>
        <v>0</v>
      </c>
      <c r="R966">
        <f>AND(IF(metadata!D966="",FALSE,TRUE),exact(metadata!D966,"metagenome"))</f>
        <v>0</v>
      </c>
      <c r="S966">
        <f>AND(IF(metadata!E966="",FALSE,TRUE),exact(metadata!E966,"256318"))</f>
        <v>0</v>
      </c>
    </row>
    <row r="967" spans="1:19">
      <c r="A967" s="4">
        <f>IF(B967=" "," ",HYPERLINK(CONCATENATE("#metadata!",ADDRESS(INDEX($K$2:$K$1001,MATCH(ROWS($I$2:I967),$I$2:$I$1001,0),0),1)),INDEX($N$2:$N$1001,MATCH(ROWS($I$2:I967),$I$2:$I$1001,0),0)))</f>
        <v>0</v>
      </c>
      <c r="B967" s="3">
        <f>IF(OR(INDEX($J$2:$J$1001,MATCH(ROWS($I$2:I967),$I$2:$I$1001,0),1)&gt;=100000,INDEX($P$1005:$S$1005,1,MATCH(COLUMNS($P$1006:P1006),$P$1006:$S$1006,0))&gt;=100000), " ",IF(INDEX($P$2:$S$1001,MATCH(ROWS($I$2:I967),$I$2:$I$1001,0),MATCH(COLUMNS($P$1006:P1006),$P$1006:$S$1006,0)), HYPERLINK("#",""), HYPERLINK(CONCATENATE("#metadata!", ADDRESS(INDEX($K$2:$K$1001,MATCH(ROWS($I$2:I967),$I$2:$I$1001,0),0), INDEX($P$1004:$S$1004,1,MATCH(COLUMNS($P$1006:P1006),$P$1006:$S$1006,0)))),"Fix")))</f>
        <v>0</v>
      </c>
      <c r="C967" s="3">
        <f>IF(OR(INDEX($J$2:$J$1001,MATCH(ROWS($I$2:I967),$I$2:$I$1001,0),1)&gt;=100000,INDEX($P$1005:$S$1005,1,MATCH(COLUMNS($P$1006:Q1006),$P$1006:$S$1006,0))&gt;=100000), " ",IF(INDEX($P$2:$S$1001,MATCH(ROWS($I$2:I967),$I$2:$I$1001,0),MATCH(COLUMNS($P$1006:Q1006),$P$1006:$S$1006,0)), HYPERLINK("#",""), HYPERLINK(CONCATENATE("#metadata!", ADDRESS(INDEX($K$2:$K$1001,MATCH(ROWS($I$2:I967),$I$2:$I$1001,0),0), INDEX($P$1004:$S$1004,1,MATCH(COLUMNS($P$1006:Q1006),$P$1006:$S$1006,0)))),"Fix")))</f>
        <v>0</v>
      </c>
      <c r="D967" s="3">
        <f>IF(OR(INDEX($J$2:$J$1001,MATCH(ROWS($I$2:I967),$I$2:$I$1001,0),1)&gt;=100000,INDEX($P$1005:$S$1005,1,MATCH(COLUMNS($P$1006:R1006),$P$1006:$S$1006,0))&gt;=100000), " ",IF(INDEX($P$2:$S$1001,MATCH(ROWS($I$2:I967),$I$2:$I$1001,0),MATCH(COLUMNS($P$1006:R1006),$P$1006:$S$1006,0)), HYPERLINK("#",""), HYPERLINK(CONCATENATE("#metadata!", ADDRESS(INDEX($K$2:$K$1001,MATCH(ROWS($I$2:I967),$I$2:$I$1001,0),0), INDEX($P$1004:$S$1004,1,MATCH(COLUMNS($P$1006:R1006),$P$1006:$S$1006,0)))),"Fix")))</f>
        <v>0</v>
      </c>
      <c r="E967" s="3">
        <f>IF(OR(INDEX($J$2:$J$1001,MATCH(ROWS($I$2:I967),$I$2:$I$1001,0),1)&gt;=100000,INDEX($P$1005:$S$1005,1,MATCH(COLUMNS($P$1006:S1006),$P$1006:$S$1006,0))&gt;=100000), " ",IF(INDEX($P$2:$S$1001,MATCH(ROWS($I$2:I967),$I$2:$I$1001,0),MATCH(COLUMNS($P$1006:S1006),$P$1006:$S$1006,0)), HYPERLINK("#",""), HYPERLINK(CONCATENATE("#metadata!", ADDRESS(INDEX($K$2:$K$1001,MATCH(ROWS($I$2:I967),$I$2:$I$1001,0),0), INDEX($P$1004:$S$1004,1,MATCH(COLUMNS($P$1006:S1006),$P$1006:$S$1006,0)))),"Fix")))</f>
        <v>0</v>
      </c>
      <c r="I967">
        <v>0</v>
      </c>
      <c r="J967">
        <v>0</v>
      </c>
      <c r="K967">
        <v>0</v>
      </c>
      <c r="L967">
        <f>IF(M967,TRUE,AND(P967:S967))</f>
        <v>0</v>
      </c>
      <c r="M967">
        <f>COUNTBLANK(metadata!B967:E967)=COLUMNS(metadata!B967:E967)</f>
        <v>0</v>
      </c>
      <c r="N967">
        <v>0</v>
      </c>
      <c r="P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Q967">
        <f>AND(IF(metadata!C967="",FALSE,TRUE),exact(metadata!C967,"other"))</f>
        <v>0</v>
      </c>
      <c r="R967">
        <f>AND(IF(metadata!D967="",FALSE,TRUE),exact(metadata!D967,"metagenome"))</f>
        <v>0</v>
      </c>
      <c r="S967">
        <f>AND(IF(metadata!E967="",FALSE,TRUE),exact(metadata!E967,"256318"))</f>
        <v>0</v>
      </c>
    </row>
    <row r="968" spans="1:19">
      <c r="A968" s="4">
        <f>IF(B968=" "," ",HYPERLINK(CONCATENATE("#metadata!",ADDRESS(INDEX($K$2:$K$1001,MATCH(ROWS($I$2:I968),$I$2:$I$1001,0),0),1)),INDEX($N$2:$N$1001,MATCH(ROWS($I$2:I968),$I$2:$I$1001,0),0)))</f>
        <v>0</v>
      </c>
      <c r="B968" s="3">
        <f>IF(OR(INDEX($J$2:$J$1001,MATCH(ROWS($I$2:I968),$I$2:$I$1001,0),1)&gt;=100000,INDEX($P$1005:$S$1005,1,MATCH(COLUMNS($P$1006:P1006),$P$1006:$S$1006,0))&gt;=100000), " ",IF(INDEX($P$2:$S$1001,MATCH(ROWS($I$2:I968),$I$2:$I$1001,0),MATCH(COLUMNS($P$1006:P1006),$P$1006:$S$1006,0)), HYPERLINK("#",""), HYPERLINK(CONCATENATE("#metadata!", ADDRESS(INDEX($K$2:$K$1001,MATCH(ROWS($I$2:I968),$I$2:$I$1001,0),0), INDEX($P$1004:$S$1004,1,MATCH(COLUMNS($P$1006:P1006),$P$1006:$S$1006,0)))),"Fix")))</f>
        <v>0</v>
      </c>
      <c r="C968" s="3">
        <f>IF(OR(INDEX($J$2:$J$1001,MATCH(ROWS($I$2:I968),$I$2:$I$1001,0),1)&gt;=100000,INDEX($P$1005:$S$1005,1,MATCH(COLUMNS($P$1006:Q1006),$P$1006:$S$1006,0))&gt;=100000), " ",IF(INDEX($P$2:$S$1001,MATCH(ROWS($I$2:I968),$I$2:$I$1001,0),MATCH(COLUMNS($P$1006:Q1006),$P$1006:$S$1006,0)), HYPERLINK("#",""), HYPERLINK(CONCATENATE("#metadata!", ADDRESS(INDEX($K$2:$K$1001,MATCH(ROWS($I$2:I968),$I$2:$I$1001,0),0), INDEX($P$1004:$S$1004,1,MATCH(COLUMNS($P$1006:Q1006),$P$1006:$S$1006,0)))),"Fix")))</f>
        <v>0</v>
      </c>
      <c r="D968" s="3">
        <f>IF(OR(INDEX($J$2:$J$1001,MATCH(ROWS($I$2:I968),$I$2:$I$1001,0),1)&gt;=100000,INDEX($P$1005:$S$1005,1,MATCH(COLUMNS($P$1006:R1006),$P$1006:$S$1006,0))&gt;=100000), " ",IF(INDEX($P$2:$S$1001,MATCH(ROWS($I$2:I968),$I$2:$I$1001,0),MATCH(COLUMNS($P$1006:R1006),$P$1006:$S$1006,0)), HYPERLINK("#",""), HYPERLINK(CONCATENATE("#metadata!", ADDRESS(INDEX($K$2:$K$1001,MATCH(ROWS($I$2:I968),$I$2:$I$1001,0),0), INDEX($P$1004:$S$1004,1,MATCH(COLUMNS($P$1006:R1006),$P$1006:$S$1006,0)))),"Fix")))</f>
        <v>0</v>
      </c>
      <c r="E968" s="3">
        <f>IF(OR(INDEX($J$2:$J$1001,MATCH(ROWS($I$2:I968),$I$2:$I$1001,0),1)&gt;=100000,INDEX($P$1005:$S$1005,1,MATCH(COLUMNS($P$1006:S1006),$P$1006:$S$1006,0))&gt;=100000), " ",IF(INDEX($P$2:$S$1001,MATCH(ROWS($I$2:I968),$I$2:$I$1001,0),MATCH(COLUMNS($P$1006:S1006),$P$1006:$S$1006,0)), HYPERLINK("#",""), HYPERLINK(CONCATENATE("#metadata!", ADDRESS(INDEX($K$2:$K$1001,MATCH(ROWS($I$2:I968),$I$2:$I$1001,0),0), INDEX($P$1004:$S$1004,1,MATCH(COLUMNS($P$1006:S1006),$P$1006:$S$1006,0)))),"Fix")))</f>
        <v>0</v>
      </c>
      <c r="I968">
        <v>0</v>
      </c>
      <c r="J968">
        <v>0</v>
      </c>
      <c r="K968">
        <v>0</v>
      </c>
      <c r="L968">
        <f>IF(M968,TRUE,AND(P968:S968))</f>
        <v>0</v>
      </c>
      <c r="M968">
        <f>COUNTBLANK(metadata!B968:E968)=COLUMNS(metadata!B968:E968)</f>
        <v>0</v>
      </c>
      <c r="N968">
        <v>0</v>
      </c>
      <c r="P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Q968">
        <f>AND(IF(metadata!C968="",FALSE,TRUE),exact(metadata!C968,"other"))</f>
        <v>0</v>
      </c>
      <c r="R968">
        <f>AND(IF(metadata!D968="",FALSE,TRUE),exact(metadata!D968,"metagenome"))</f>
        <v>0</v>
      </c>
      <c r="S968">
        <f>AND(IF(metadata!E968="",FALSE,TRUE),exact(metadata!E968,"256318"))</f>
        <v>0</v>
      </c>
    </row>
    <row r="969" spans="1:19">
      <c r="A969" s="4">
        <f>IF(B969=" "," ",HYPERLINK(CONCATENATE("#metadata!",ADDRESS(INDEX($K$2:$K$1001,MATCH(ROWS($I$2:I969),$I$2:$I$1001,0),0),1)),INDEX($N$2:$N$1001,MATCH(ROWS($I$2:I969),$I$2:$I$1001,0),0)))</f>
        <v>0</v>
      </c>
      <c r="B969" s="3">
        <f>IF(OR(INDEX($J$2:$J$1001,MATCH(ROWS($I$2:I969),$I$2:$I$1001,0),1)&gt;=100000,INDEX($P$1005:$S$1005,1,MATCH(COLUMNS($P$1006:P1006),$P$1006:$S$1006,0))&gt;=100000), " ",IF(INDEX($P$2:$S$1001,MATCH(ROWS($I$2:I969),$I$2:$I$1001,0),MATCH(COLUMNS($P$1006:P1006),$P$1006:$S$1006,0)), HYPERLINK("#",""), HYPERLINK(CONCATENATE("#metadata!", ADDRESS(INDEX($K$2:$K$1001,MATCH(ROWS($I$2:I969),$I$2:$I$1001,0),0), INDEX($P$1004:$S$1004,1,MATCH(COLUMNS($P$1006:P1006),$P$1006:$S$1006,0)))),"Fix")))</f>
        <v>0</v>
      </c>
      <c r="C969" s="3">
        <f>IF(OR(INDEX($J$2:$J$1001,MATCH(ROWS($I$2:I969),$I$2:$I$1001,0),1)&gt;=100000,INDEX($P$1005:$S$1005,1,MATCH(COLUMNS($P$1006:Q1006),$P$1006:$S$1006,0))&gt;=100000), " ",IF(INDEX($P$2:$S$1001,MATCH(ROWS($I$2:I969),$I$2:$I$1001,0),MATCH(COLUMNS($P$1006:Q1006),$P$1006:$S$1006,0)), HYPERLINK("#",""), HYPERLINK(CONCATENATE("#metadata!", ADDRESS(INDEX($K$2:$K$1001,MATCH(ROWS($I$2:I969),$I$2:$I$1001,0),0), INDEX($P$1004:$S$1004,1,MATCH(COLUMNS($P$1006:Q1006),$P$1006:$S$1006,0)))),"Fix")))</f>
        <v>0</v>
      </c>
      <c r="D969" s="3">
        <f>IF(OR(INDEX($J$2:$J$1001,MATCH(ROWS($I$2:I969),$I$2:$I$1001,0),1)&gt;=100000,INDEX($P$1005:$S$1005,1,MATCH(COLUMNS($P$1006:R1006),$P$1006:$S$1006,0))&gt;=100000), " ",IF(INDEX($P$2:$S$1001,MATCH(ROWS($I$2:I969),$I$2:$I$1001,0),MATCH(COLUMNS($P$1006:R1006),$P$1006:$S$1006,0)), HYPERLINK("#",""), HYPERLINK(CONCATENATE("#metadata!", ADDRESS(INDEX($K$2:$K$1001,MATCH(ROWS($I$2:I969),$I$2:$I$1001,0),0), INDEX($P$1004:$S$1004,1,MATCH(COLUMNS($P$1006:R1006),$P$1006:$S$1006,0)))),"Fix")))</f>
        <v>0</v>
      </c>
      <c r="E969" s="3">
        <f>IF(OR(INDEX($J$2:$J$1001,MATCH(ROWS($I$2:I969),$I$2:$I$1001,0),1)&gt;=100000,INDEX($P$1005:$S$1005,1,MATCH(COLUMNS($P$1006:S1006),$P$1006:$S$1006,0))&gt;=100000), " ",IF(INDEX($P$2:$S$1001,MATCH(ROWS($I$2:I969),$I$2:$I$1001,0),MATCH(COLUMNS($P$1006:S1006),$P$1006:$S$1006,0)), HYPERLINK("#",""), HYPERLINK(CONCATENATE("#metadata!", ADDRESS(INDEX($K$2:$K$1001,MATCH(ROWS($I$2:I969),$I$2:$I$1001,0),0), INDEX($P$1004:$S$1004,1,MATCH(COLUMNS($P$1006:S1006),$P$1006:$S$1006,0)))),"Fix")))</f>
        <v>0</v>
      </c>
      <c r="I969">
        <v>0</v>
      </c>
      <c r="J969">
        <v>0</v>
      </c>
      <c r="K969">
        <v>0</v>
      </c>
      <c r="L969">
        <f>IF(M969,TRUE,AND(P969:S969))</f>
        <v>0</v>
      </c>
      <c r="M969">
        <f>COUNTBLANK(metadata!B969:E969)=COLUMNS(metadata!B969:E969)</f>
        <v>0</v>
      </c>
      <c r="N969">
        <v>0</v>
      </c>
      <c r="P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Q969">
        <f>AND(IF(metadata!C969="",FALSE,TRUE),exact(metadata!C969,"other"))</f>
        <v>0</v>
      </c>
      <c r="R969">
        <f>AND(IF(metadata!D969="",FALSE,TRUE),exact(metadata!D969,"metagenome"))</f>
        <v>0</v>
      </c>
      <c r="S969">
        <f>AND(IF(metadata!E969="",FALSE,TRUE),exact(metadata!E969,"256318"))</f>
        <v>0</v>
      </c>
    </row>
    <row r="970" spans="1:19">
      <c r="A970" s="4">
        <f>IF(B970=" "," ",HYPERLINK(CONCATENATE("#metadata!",ADDRESS(INDEX($K$2:$K$1001,MATCH(ROWS($I$2:I970),$I$2:$I$1001,0),0),1)),INDEX($N$2:$N$1001,MATCH(ROWS($I$2:I970),$I$2:$I$1001,0),0)))</f>
        <v>0</v>
      </c>
      <c r="B970" s="3">
        <f>IF(OR(INDEX($J$2:$J$1001,MATCH(ROWS($I$2:I970),$I$2:$I$1001,0),1)&gt;=100000,INDEX($P$1005:$S$1005,1,MATCH(COLUMNS($P$1006:P1006),$P$1006:$S$1006,0))&gt;=100000), " ",IF(INDEX($P$2:$S$1001,MATCH(ROWS($I$2:I970),$I$2:$I$1001,0),MATCH(COLUMNS($P$1006:P1006),$P$1006:$S$1006,0)), HYPERLINK("#",""), HYPERLINK(CONCATENATE("#metadata!", ADDRESS(INDEX($K$2:$K$1001,MATCH(ROWS($I$2:I970),$I$2:$I$1001,0),0), INDEX($P$1004:$S$1004,1,MATCH(COLUMNS($P$1006:P1006),$P$1006:$S$1006,0)))),"Fix")))</f>
        <v>0</v>
      </c>
      <c r="C970" s="3">
        <f>IF(OR(INDEX($J$2:$J$1001,MATCH(ROWS($I$2:I970),$I$2:$I$1001,0),1)&gt;=100000,INDEX($P$1005:$S$1005,1,MATCH(COLUMNS($P$1006:Q1006),$P$1006:$S$1006,0))&gt;=100000), " ",IF(INDEX($P$2:$S$1001,MATCH(ROWS($I$2:I970),$I$2:$I$1001,0),MATCH(COLUMNS($P$1006:Q1006),$P$1006:$S$1006,0)), HYPERLINK("#",""), HYPERLINK(CONCATENATE("#metadata!", ADDRESS(INDEX($K$2:$K$1001,MATCH(ROWS($I$2:I970),$I$2:$I$1001,0),0), INDEX($P$1004:$S$1004,1,MATCH(COLUMNS($P$1006:Q1006),$P$1006:$S$1006,0)))),"Fix")))</f>
        <v>0</v>
      </c>
      <c r="D970" s="3">
        <f>IF(OR(INDEX($J$2:$J$1001,MATCH(ROWS($I$2:I970),$I$2:$I$1001,0),1)&gt;=100000,INDEX($P$1005:$S$1005,1,MATCH(COLUMNS($P$1006:R1006),$P$1006:$S$1006,0))&gt;=100000), " ",IF(INDEX($P$2:$S$1001,MATCH(ROWS($I$2:I970),$I$2:$I$1001,0),MATCH(COLUMNS($P$1006:R1006),$P$1006:$S$1006,0)), HYPERLINK("#",""), HYPERLINK(CONCATENATE("#metadata!", ADDRESS(INDEX($K$2:$K$1001,MATCH(ROWS($I$2:I970),$I$2:$I$1001,0),0), INDEX($P$1004:$S$1004,1,MATCH(COLUMNS($P$1006:R1006),$P$1006:$S$1006,0)))),"Fix")))</f>
        <v>0</v>
      </c>
      <c r="E970" s="3">
        <f>IF(OR(INDEX($J$2:$J$1001,MATCH(ROWS($I$2:I970),$I$2:$I$1001,0),1)&gt;=100000,INDEX($P$1005:$S$1005,1,MATCH(COLUMNS($P$1006:S1006),$P$1006:$S$1006,0))&gt;=100000), " ",IF(INDEX($P$2:$S$1001,MATCH(ROWS($I$2:I970),$I$2:$I$1001,0),MATCH(COLUMNS($P$1006:S1006),$P$1006:$S$1006,0)), HYPERLINK("#",""), HYPERLINK(CONCATENATE("#metadata!", ADDRESS(INDEX($K$2:$K$1001,MATCH(ROWS($I$2:I970),$I$2:$I$1001,0),0), INDEX($P$1004:$S$1004,1,MATCH(COLUMNS($P$1006:S1006),$P$1006:$S$1006,0)))),"Fix")))</f>
        <v>0</v>
      </c>
      <c r="I970">
        <v>0</v>
      </c>
      <c r="J970">
        <v>0</v>
      </c>
      <c r="K970">
        <v>0</v>
      </c>
      <c r="L970">
        <f>IF(M970,TRUE,AND(P970:S970))</f>
        <v>0</v>
      </c>
      <c r="M970">
        <f>COUNTBLANK(metadata!B970:E970)=COLUMNS(metadata!B970:E970)</f>
        <v>0</v>
      </c>
      <c r="N970">
        <v>0</v>
      </c>
      <c r="P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Q970">
        <f>AND(IF(metadata!C970="",FALSE,TRUE),exact(metadata!C970,"other"))</f>
        <v>0</v>
      </c>
      <c r="R970">
        <f>AND(IF(metadata!D970="",FALSE,TRUE),exact(metadata!D970,"metagenome"))</f>
        <v>0</v>
      </c>
      <c r="S970">
        <f>AND(IF(metadata!E970="",FALSE,TRUE),exact(metadata!E970,"256318"))</f>
        <v>0</v>
      </c>
    </row>
    <row r="971" spans="1:19">
      <c r="A971" s="4">
        <f>IF(B971=" "," ",HYPERLINK(CONCATENATE("#metadata!",ADDRESS(INDEX($K$2:$K$1001,MATCH(ROWS($I$2:I971),$I$2:$I$1001,0),0),1)),INDEX($N$2:$N$1001,MATCH(ROWS($I$2:I971),$I$2:$I$1001,0),0)))</f>
        <v>0</v>
      </c>
      <c r="B971" s="3">
        <f>IF(OR(INDEX($J$2:$J$1001,MATCH(ROWS($I$2:I971),$I$2:$I$1001,0),1)&gt;=100000,INDEX($P$1005:$S$1005,1,MATCH(COLUMNS($P$1006:P1006),$P$1006:$S$1006,0))&gt;=100000), " ",IF(INDEX($P$2:$S$1001,MATCH(ROWS($I$2:I971),$I$2:$I$1001,0),MATCH(COLUMNS($P$1006:P1006),$P$1006:$S$1006,0)), HYPERLINK("#",""), HYPERLINK(CONCATENATE("#metadata!", ADDRESS(INDEX($K$2:$K$1001,MATCH(ROWS($I$2:I971),$I$2:$I$1001,0),0), INDEX($P$1004:$S$1004,1,MATCH(COLUMNS($P$1006:P1006),$P$1006:$S$1006,0)))),"Fix")))</f>
        <v>0</v>
      </c>
      <c r="C971" s="3">
        <f>IF(OR(INDEX($J$2:$J$1001,MATCH(ROWS($I$2:I971),$I$2:$I$1001,0),1)&gt;=100000,INDEX($P$1005:$S$1005,1,MATCH(COLUMNS($P$1006:Q1006),$P$1006:$S$1006,0))&gt;=100000), " ",IF(INDEX($P$2:$S$1001,MATCH(ROWS($I$2:I971),$I$2:$I$1001,0),MATCH(COLUMNS($P$1006:Q1006),$P$1006:$S$1006,0)), HYPERLINK("#",""), HYPERLINK(CONCATENATE("#metadata!", ADDRESS(INDEX($K$2:$K$1001,MATCH(ROWS($I$2:I971),$I$2:$I$1001,0),0), INDEX($P$1004:$S$1004,1,MATCH(COLUMNS($P$1006:Q1006),$P$1006:$S$1006,0)))),"Fix")))</f>
        <v>0</v>
      </c>
      <c r="D971" s="3">
        <f>IF(OR(INDEX($J$2:$J$1001,MATCH(ROWS($I$2:I971),$I$2:$I$1001,0),1)&gt;=100000,INDEX($P$1005:$S$1005,1,MATCH(COLUMNS($P$1006:R1006),$P$1006:$S$1006,0))&gt;=100000), " ",IF(INDEX($P$2:$S$1001,MATCH(ROWS($I$2:I971),$I$2:$I$1001,0),MATCH(COLUMNS($P$1006:R1006),$P$1006:$S$1006,0)), HYPERLINK("#",""), HYPERLINK(CONCATENATE("#metadata!", ADDRESS(INDEX($K$2:$K$1001,MATCH(ROWS($I$2:I971),$I$2:$I$1001,0),0), INDEX($P$1004:$S$1004,1,MATCH(COLUMNS($P$1006:R1006),$P$1006:$S$1006,0)))),"Fix")))</f>
        <v>0</v>
      </c>
      <c r="E971" s="3">
        <f>IF(OR(INDEX($J$2:$J$1001,MATCH(ROWS($I$2:I971),$I$2:$I$1001,0),1)&gt;=100000,INDEX($P$1005:$S$1005,1,MATCH(COLUMNS($P$1006:S1006),$P$1006:$S$1006,0))&gt;=100000), " ",IF(INDEX($P$2:$S$1001,MATCH(ROWS($I$2:I971),$I$2:$I$1001,0),MATCH(COLUMNS($P$1006:S1006),$P$1006:$S$1006,0)), HYPERLINK("#",""), HYPERLINK(CONCATENATE("#metadata!", ADDRESS(INDEX($K$2:$K$1001,MATCH(ROWS($I$2:I971),$I$2:$I$1001,0),0), INDEX($P$1004:$S$1004,1,MATCH(COLUMNS($P$1006:S1006),$P$1006:$S$1006,0)))),"Fix")))</f>
        <v>0</v>
      </c>
      <c r="I971">
        <v>0</v>
      </c>
      <c r="J971">
        <v>0</v>
      </c>
      <c r="K971">
        <v>0</v>
      </c>
      <c r="L971">
        <f>IF(M971,TRUE,AND(P971:S971))</f>
        <v>0</v>
      </c>
      <c r="M971">
        <f>COUNTBLANK(metadata!B971:E971)=COLUMNS(metadata!B971:E971)</f>
        <v>0</v>
      </c>
      <c r="N971">
        <v>0</v>
      </c>
      <c r="P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Q971">
        <f>AND(IF(metadata!C971="",FALSE,TRUE),exact(metadata!C971,"other"))</f>
        <v>0</v>
      </c>
      <c r="R971">
        <f>AND(IF(metadata!D971="",FALSE,TRUE),exact(metadata!D971,"metagenome"))</f>
        <v>0</v>
      </c>
      <c r="S971">
        <f>AND(IF(metadata!E971="",FALSE,TRUE),exact(metadata!E971,"256318"))</f>
        <v>0</v>
      </c>
    </row>
    <row r="972" spans="1:19">
      <c r="A972" s="4">
        <f>IF(B972=" "," ",HYPERLINK(CONCATENATE("#metadata!",ADDRESS(INDEX($K$2:$K$1001,MATCH(ROWS($I$2:I972),$I$2:$I$1001,0),0),1)),INDEX($N$2:$N$1001,MATCH(ROWS($I$2:I972),$I$2:$I$1001,0),0)))</f>
        <v>0</v>
      </c>
      <c r="B972" s="3">
        <f>IF(OR(INDEX($J$2:$J$1001,MATCH(ROWS($I$2:I972),$I$2:$I$1001,0),1)&gt;=100000,INDEX($P$1005:$S$1005,1,MATCH(COLUMNS($P$1006:P1006),$P$1006:$S$1006,0))&gt;=100000), " ",IF(INDEX($P$2:$S$1001,MATCH(ROWS($I$2:I972),$I$2:$I$1001,0),MATCH(COLUMNS($P$1006:P1006),$P$1006:$S$1006,0)), HYPERLINK("#",""), HYPERLINK(CONCATENATE("#metadata!", ADDRESS(INDEX($K$2:$K$1001,MATCH(ROWS($I$2:I972),$I$2:$I$1001,0),0), INDEX($P$1004:$S$1004,1,MATCH(COLUMNS($P$1006:P1006),$P$1006:$S$1006,0)))),"Fix")))</f>
        <v>0</v>
      </c>
      <c r="C972" s="3">
        <f>IF(OR(INDEX($J$2:$J$1001,MATCH(ROWS($I$2:I972),$I$2:$I$1001,0),1)&gt;=100000,INDEX($P$1005:$S$1005,1,MATCH(COLUMNS($P$1006:Q1006),$P$1006:$S$1006,0))&gt;=100000), " ",IF(INDEX($P$2:$S$1001,MATCH(ROWS($I$2:I972),$I$2:$I$1001,0),MATCH(COLUMNS($P$1006:Q1006),$P$1006:$S$1006,0)), HYPERLINK("#",""), HYPERLINK(CONCATENATE("#metadata!", ADDRESS(INDEX($K$2:$K$1001,MATCH(ROWS($I$2:I972),$I$2:$I$1001,0),0), INDEX($P$1004:$S$1004,1,MATCH(COLUMNS($P$1006:Q1006),$P$1006:$S$1006,0)))),"Fix")))</f>
        <v>0</v>
      </c>
      <c r="D972" s="3">
        <f>IF(OR(INDEX($J$2:$J$1001,MATCH(ROWS($I$2:I972),$I$2:$I$1001,0),1)&gt;=100000,INDEX($P$1005:$S$1005,1,MATCH(COLUMNS($P$1006:R1006),$P$1006:$S$1006,0))&gt;=100000), " ",IF(INDEX($P$2:$S$1001,MATCH(ROWS($I$2:I972),$I$2:$I$1001,0),MATCH(COLUMNS($P$1006:R1006),$P$1006:$S$1006,0)), HYPERLINK("#",""), HYPERLINK(CONCATENATE("#metadata!", ADDRESS(INDEX($K$2:$K$1001,MATCH(ROWS($I$2:I972),$I$2:$I$1001,0),0), INDEX($P$1004:$S$1004,1,MATCH(COLUMNS($P$1006:R1006),$P$1006:$S$1006,0)))),"Fix")))</f>
        <v>0</v>
      </c>
      <c r="E972" s="3">
        <f>IF(OR(INDEX($J$2:$J$1001,MATCH(ROWS($I$2:I972),$I$2:$I$1001,0),1)&gt;=100000,INDEX($P$1005:$S$1005,1,MATCH(COLUMNS($P$1006:S1006),$P$1006:$S$1006,0))&gt;=100000), " ",IF(INDEX($P$2:$S$1001,MATCH(ROWS($I$2:I972),$I$2:$I$1001,0),MATCH(COLUMNS($P$1006:S1006),$P$1006:$S$1006,0)), HYPERLINK("#",""), HYPERLINK(CONCATENATE("#metadata!", ADDRESS(INDEX($K$2:$K$1001,MATCH(ROWS($I$2:I972),$I$2:$I$1001,0),0), INDEX($P$1004:$S$1004,1,MATCH(COLUMNS($P$1006:S1006),$P$1006:$S$1006,0)))),"Fix")))</f>
        <v>0</v>
      </c>
      <c r="I972">
        <v>0</v>
      </c>
      <c r="J972">
        <v>0</v>
      </c>
      <c r="K972">
        <v>0</v>
      </c>
      <c r="L972">
        <f>IF(M972,TRUE,AND(P972:S972))</f>
        <v>0</v>
      </c>
      <c r="M972">
        <f>COUNTBLANK(metadata!B972:E972)=COLUMNS(metadata!B972:E972)</f>
        <v>0</v>
      </c>
      <c r="N972">
        <v>0</v>
      </c>
      <c r="P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Q972">
        <f>AND(IF(metadata!C972="",FALSE,TRUE),exact(metadata!C972,"other"))</f>
        <v>0</v>
      </c>
      <c r="R972">
        <f>AND(IF(metadata!D972="",FALSE,TRUE),exact(metadata!D972,"metagenome"))</f>
        <v>0</v>
      </c>
      <c r="S972">
        <f>AND(IF(metadata!E972="",FALSE,TRUE),exact(metadata!E972,"256318"))</f>
        <v>0</v>
      </c>
    </row>
    <row r="973" spans="1:19">
      <c r="A973" s="4">
        <f>IF(B973=" "," ",HYPERLINK(CONCATENATE("#metadata!",ADDRESS(INDEX($K$2:$K$1001,MATCH(ROWS($I$2:I973),$I$2:$I$1001,0),0),1)),INDEX($N$2:$N$1001,MATCH(ROWS($I$2:I973),$I$2:$I$1001,0),0)))</f>
        <v>0</v>
      </c>
      <c r="B973" s="3">
        <f>IF(OR(INDEX($J$2:$J$1001,MATCH(ROWS($I$2:I973),$I$2:$I$1001,0),1)&gt;=100000,INDEX($P$1005:$S$1005,1,MATCH(COLUMNS($P$1006:P1006),$P$1006:$S$1006,0))&gt;=100000), " ",IF(INDEX($P$2:$S$1001,MATCH(ROWS($I$2:I973),$I$2:$I$1001,0),MATCH(COLUMNS($P$1006:P1006),$P$1006:$S$1006,0)), HYPERLINK("#",""), HYPERLINK(CONCATENATE("#metadata!", ADDRESS(INDEX($K$2:$K$1001,MATCH(ROWS($I$2:I973),$I$2:$I$1001,0),0), INDEX($P$1004:$S$1004,1,MATCH(COLUMNS($P$1006:P1006),$P$1006:$S$1006,0)))),"Fix")))</f>
        <v>0</v>
      </c>
      <c r="C973" s="3">
        <f>IF(OR(INDEX($J$2:$J$1001,MATCH(ROWS($I$2:I973),$I$2:$I$1001,0),1)&gt;=100000,INDEX($P$1005:$S$1005,1,MATCH(COLUMNS($P$1006:Q1006),$P$1006:$S$1006,0))&gt;=100000), " ",IF(INDEX($P$2:$S$1001,MATCH(ROWS($I$2:I973),$I$2:$I$1001,0),MATCH(COLUMNS($P$1006:Q1006),$P$1006:$S$1006,0)), HYPERLINK("#",""), HYPERLINK(CONCATENATE("#metadata!", ADDRESS(INDEX($K$2:$K$1001,MATCH(ROWS($I$2:I973),$I$2:$I$1001,0),0), INDEX($P$1004:$S$1004,1,MATCH(COLUMNS($P$1006:Q1006),$P$1006:$S$1006,0)))),"Fix")))</f>
        <v>0</v>
      </c>
      <c r="D973" s="3">
        <f>IF(OR(INDEX($J$2:$J$1001,MATCH(ROWS($I$2:I973),$I$2:$I$1001,0),1)&gt;=100000,INDEX($P$1005:$S$1005,1,MATCH(COLUMNS($P$1006:R1006),$P$1006:$S$1006,0))&gt;=100000), " ",IF(INDEX($P$2:$S$1001,MATCH(ROWS($I$2:I973),$I$2:$I$1001,0),MATCH(COLUMNS($P$1006:R1006),$P$1006:$S$1006,0)), HYPERLINK("#",""), HYPERLINK(CONCATENATE("#metadata!", ADDRESS(INDEX($K$2:$K$1001,MATCH(ROWS($I$2:I973),$I$2:$I$1001,0),0), INDEX($P$1004:$S$1004,1,MATCH(COLUMNS($P$1006:R1006),$P$1006:$S$1006,0)))),"Fix")))</f>
        <v>0</v>
      </c>
      <c r="E973" s="3">
        <f>IF(OR(INDEX($J$2:$J$1001,MATCH(ROWS($I$2:I973),$I$2:$I$1001,0),1)&gt;=100000,INDEX($P$1005:$S$1005,1,MATCH(COLUMNS($P$1006:S1006),$P$1006:$S$1006,0))&gt;=100000), " ",IF(INDEX($P$2:$S$1001,MATCH(ROWS($I$2:I973),$I$2:$I$1001,0),MATCH(COLUMNS($P$1006:S1006),$P$1006:$S$1006,0)), HYPERLINK("#",""), HYPERLINK(CONCATENATE("#metadata!", ADDRESS(INDEX($K$2:$K$1001,MATCH(ROWS($I$2:I973),$I$2:$I$1001,0),0), INDEX($P$1004:$S$1004,1,MATCH(COLUMNS($P$1006:S1006),$P$1006:$S$1006,0)))),"Fix")))</f>
        <v>0</v>
      </c>
      <c r="I973">
        <v>0</v>
      </c>
      <c r="J973">
        <v>0</v>
      </c>
      <c r="K973">
        <v>0</v>
      </c>
      <c r="L973">
        <f>IF(M973,TRUE,AND(P973:S973))</f>
        <v>0</v>
      </c>
      <c r="M973">
        <f>COUNTBLANK(metadata!B973:E973)=COLUMNS(metadata!B973:E973)</f>
        <v>0</v>
      </c>
      <c r="N973">
        <v>0</v>
      </c>
      <c r="P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Q973">
        <f>AND(IF(metadata!C973="",FALSE,TRUE),exact(metadata!C973,"other"))</f>
        <v>0</v>
      </c>
      <c r="R973">
        <f>AND(IF(metadata!D973="",FALSE,TRUE),exact(metadata!D973,"metagenome"))</f>
        <v>0</v>
      </c>
      <c r="S973">
        <f>AND(IF(metadata!E973="",FALSE,TRUE),exact(metadata!E973,"256318"))</f>
        <v>0</v>
      </c>
    </row>
    <row r="974" spans="1:19">
      <c r="A974" s="4">
        <f>IF(B974=" "," ",HYPERLINK(CONCATENATE("#metadata!",ADDRESS(INDEX($K$2:$K$1001,MATCH(ROWS($I$2:I974),$I$2:$I$1001,0),0),1)),INDEX($N$2:$N$1001,MATCH(ROWS($I$2:I974),$I$2:$I$1001,0),0)))</f>
        <v>0</v>
      </c>
      <c r="B974" s="3">
        <f>IF(OR(INDEX($J$2:$J$1001,MATCH(ROWS($I$2:I974),$I$2:$I$1001,0),1)&gt;=100000,INDEX($P$1005:$S$1005,1,MATCH(COLUMNS($P$1006:P1006),$P$1006:$S$1006,0))&gt;=100000), " ",IF(INDEX($P$2:$S$1001,MATCH(ROWS($I$2:I974),$I$2:$I$1001,0),MATCH(COLUMNS($P$1006:P1006),$P$1006:$S$1006,0)), HYPERLINK("#",""), HYPERLINK(CONCATENATE("#metadata!", ADDRESS(INDEX($K$2:$K$1001,MATCH(ROWS($I$2:I974),$I$2:$I$1001,0),0), INDEX($P$1004:$S$1004,1,MATCH(COLUMNS($P$1006:P1006),$P$1006:$S$1006,0)))),"Fix")))</f>
        <v>0</v>
      </c>
      <c r="C974" s="3">
        <f>IF(OR(INDEX($J$2:$J$1001,MATCH(ROWS($I$2:I974),$I$2:$I$1001,0),1)&gt;=100000,INDEX($P$1005:$S$1005,1,MATCH(COLUMNS($P$1006:Q1006),$P$1006:$S$1006,0))&gt;=100000), " ",IF(INDEX($P$2:$S$1001,MATCH(ROWS($I$2:I974),$I$2:$I$1001,0),MATCH(COLUMNS($P$1006:Q1006),$P$1006:$S$1006,0)), HYPERLINK("#",""), HYPERLINK(CONCATENATE("#metadata!", ADDRESS(INDEX($K$2:$K$1001,MATCH(ROWS($I$2:I974),$I$2:$I$1001,0),0), INDEX($P$1004:$S$1004,1,MATCH(COLUMNS($P$1006:Q1006),$P$1006:$S$1006,0)))),"Fix")))</f>
        <v>0</v>
      </c>
      <c r="D974" s="3">
        <f>IF(OR(INDEX($J$2:$J$1001,MATCH(ROWS($I$2:I974),$I$2:$I$1001,0),1)&gt;=100000,INDEX($P$1005:$S$1005,1,MATCH(COLUMNS($P$1006:R1006),$P$1006:$S$1006,0))&gt;=100000), " ",IF(INDEX($P$2:$S$1001,MATCH(ROWS($I$2:I974),$I$2:$I$1001,0),MATCH(COLUMNS($P$1006:R1006),$P$1006:$S$1006,0)), HYPERLINK("#",""), HYPERLINK(CONCATENATE("#metadata!", ADDRESS(INDEX($K$2:$K$1001,MATCH(ROWS($I$2:I974),$I$2:$I$1001,0),0), INDEX($P$1004:$S$1004,1,MATCH(COLUMNS($P$1006:R1006),$P$1006:$S$1006,0)))),"Fix")))</f>
        <v>0</v>
      </c>
      <c r="E974" s="3">
        <f>IF(OR(INDEX($J$2:$J$1001,MATCH(ROWS($I$2:I974),$I$2:$I$1001,0),1)&gt;=100000,INDEX($P$1005:$S$1005,1,MATCH(COLUMNS($P$1006:S1006),$P$1006:$S$1006,0))&gt;=100000), " ",IF(INDEX($P$2:$S$1001,MATCH(ROWS($I$2:I974),$I$2:$I$1001,0),MATCH(COLUMNS($P$1006:S1006),$P$1006:$S$1006,0)), HYPERLINK("#",""), HYPERLINK(CONCATENATE("#metadata!", ADDRESS(INDEX($K$2:$K$1001,MATCH(ROWS($I$2:I974),$I$2:$I$1001,0),0), INDEX($P$1004:$S$1004,1,MATCH(COLUMNS($P$1006:S1006),$P$1006:$S$1006,0)))),"Fix")))</f>
        <v>0</v>
      </c>
      <c r="I974">
        <v>0</v>
      </c>
      <c r="J974">
        <v>0</v>
      </c>
      <c r="K974">
        <v>0</v>
      </c>
      <c r="L974">
        <f>IF(M974,TRUE,AND(P974:S974))</f>
        <v>0</v>
      </c>
      <c r="M974">
        <f>COUNTBLANK(metadata!B974:E974)=COLUMNS(metadata!B974:E974)</f>
        <v>0</v>
      </c>
      <c r="N974">
        <v>0</v>
      </c>
      <c r="P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Q974">
        <f>AND(IF(metadata!C974="",FALSE,TRUE),exact(metadata!C974,"other"))</f>
        <v>0</v>
      </c>
      <c r="R974">
        <f>AND(IF(metadata!D974="",FALSE,TRUE),exact(metadata!D974,"metagenome"))</f>
        <v>0</v>
      </c>
      <c r="S974">
        <f>AND(IF(metadata!E974="",FALSE,TRUE),exact(metadata!E974,"256318"))</f>
        <v>0</v>
      </c>
    </row>
    <row r="975" spans="1:19">
      <c r="A975" s="4">
        <f>IF(B975=" "," ",HYPERLINK(CONCATENATE("#metadata!",ADDRESS(INDEX($K$2:$K$1001,MATCH(ROWS($I$2:I975),$I$2:$I$1001,0),0),1)),INDEX($N$2:$N$1001,MATCH(ROWS($I$2:I975),$I$2:$I$1001,0),0)))</f>
        <v>0</v>
      </c>
      <c r="B975" s="3">
        <f>IF(OR(INDEX($J$2:$J$1001,MATCH(ROWS($I$2:I975),$I$2:$I$1001,0),1)&gt;=100000,INDEX($P$1005:$S$1005,1,MATCH(COLUMNS($P$1006:P1006),$P$1006:$S$1006,0))&gt;=100000), " ",IF(INDEX($P$2:$S$1001,MATCH(ROWS($I$2:I975),$I$2:$I$1001,0),MATCH(COLUMNS($P$1006:P1006),$P$1006:$S$1006,0)), HYPERLINK("#",""), HYPERLINK(CONCATENATE("#metadata!", ADDRESS(INDEX($K$2:$K$1001,MATCH(ROWS($I$2:I975),$I$2:$I$1001,0),0), INDEX($P$1004:$S$1004,1,MATCH(COLUMNS($P$1006:P1006),$P$1006:$S$1006,0)))),"Fix")))</f>
        <v>0</v>
      </c>
      <c r="C975" s="3">
        <f>IF(OR(INDEX($J$2:$J$1001,MATCH(ROWS($I$2:I975),$I$2:$I$1001,0),1)&gt;=100000,INDEX($P$1005:$S$1005,1,MATCH(COLUMNS($P$1006:Q1006),$P$1006:$S$1006,0))&gt;=100000), " ",IF(INDEX($P$2:$S$1001,MATCH(ROWS($I$2:I975),$I$2:$I$1001,0),MATCH(COLUMNS($P$1006:Q1006),$P$1006:$S$1006,0)), HYPERLINK("#",""), HYPERLINK(CONCATENATE("#metadata!", ADDRESS(INDEX($K$2:$K$1001,MATCH(ROWS($I$2:I975),$I$2:$I$1001,0),0), INDEX($P$1004:$S$1004,1,MATCH(COLUMNS($P$1006:Q1006),$P$1006:$S$1006,0)))),"Fix")))</f>
        <v>0</v>
      </c>
      <c r="D975" s="3">
        <f>IF(OR(INDEX($J$2:$J$1001,MATCH(ROWS($I$2:I975),$I$2:$I$1001,0),1)&gt;=100000,INDEX($P$1005:$S$1005,1,MATCH(COLUMNS($P$1006:R1006),$P$1006:$S$1006,0))&gt;=100000), " ",IF(INDEX($P$2:$S$1001,MATCH(ROWS($I$2:I975),$I$2:$I$1001,0),MATCH(COLUMNS($P$1006:R1006),$P$1006:$S$1006,0)), HYPERLINK("#",""), HYPERLINK(CONCATENATE("#metadata!", ADDRESS(INDEX($K$2:$K$1001,MATCH(ROWS($I$2:I975),$I$2:$I$1001,0),0), INDEX($P$1004:$S$1004,1,MATCH(COLUMNS($P$1006:R1006),$P$1006:$S$1006,0)))),"Fix")))</f>
        <v>0</v>
      </c>
      <c r="E975" s="3">
        <f>IF(OR(INDEX($J$2:$J$1001,MATCH(ROWS($I$2:I975),$I$2:$I$1001,0),1)&gt;=100000,INDEX($P$1005:$S$1005,1,MATCH(COLUMNS($P$1006:S1006),$P$1006:$S$1006,0))&gt;=100000), " ",IF(INDEX($P$2:$S$1001,MATCH(ROWS($I$2:I975),$I$2:$I$1001,0),MATCH(COLUMNS($P$1006:S1006),$P$1006:$S$1006,0)), HYPERLINK("#",""), HYPERLINK(CONCATENATE("#metadata!", ADDRESS(INDEX($K$2:$K$1001,MATCH(ROWS($I$2:I975),$I$2:$I$1001,0),0), INDEX($P$1004:$S$1004,1,MATCH(COLUMNS($P$1006:S1006),$P$1006:$S$1006,0)))),"Fix")))</f>
        <v>0</v>
      </c>
      <c r="I975">
        <v>0</v>
      </c>
      <c r="J975">
        <v>0</v>
      </c>
      <c r="K975">
        <v>0</v>
      </c>
      <c r="L975">
        <f>IF(M975,TRUE,AND(P975:S975))</f>
        <v>0</v>
      </c>
      <c r="M975">
        <f>COUNTBLANK(metadata!B975:E975)=COLUMNS(metadata!B975:E975)</f>
        <v>0</v>
      </c>
      <c r="N975">
        <v>0</v>
      </c>
      <c r="P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Q975">
        <f>AND(IF(metadata!C975="",FALSE,TRUE),exact(metadata!C975,"other"))</f>
        <v>0</v>
      </c>
      <c r="R975">
        <f>AND(IF(metadata!D975="",FALSE,TRUE),exact(metadata!D975,"metagenome"))</f>
        <v>0</v>
      </c>
      <c r="S975">
        <f>AND(IF(metadata!E975="",FALSE,TRUE),exact(metadata!E975,"256318"))</f>
        <v>0</v>
      </c>
    </row>
    <row r="976" spans="1:19">
      <c r="A976" s="4">
        <f>IF(B976=" "," ",HYPERLINK(CONCATENATE("#metadata!",ADDRESS(INDEX($K$2:$K$1001,MATCH(ROWS($I$2:I976),$I$2:$I$1001,0),0),1)),INDEX($N$2:$N$1001,MATCH(ROWS($I$2:I976),$I$2:$I$1001,0),0)))</f>
        <v>0</v>
      </c>
      <c r="B976" s="3">
        <f>IF(OR(INDEX($J$2:$J$1001,MATCH(ROWS($I$2:I976),$I$2:$I$1001,0),1)&gt;=100000,INDEX($P$1005:$S$1005,1,MATCH(COLUMNS($P$1006:P1006),$P$1006:$S$1006,0))&gt;=100000), " ",IF(INDEX($P$2:$S$1001,MATCH(ROWS($I$2:I976),$I$2:$I$1001,0),MATCH(COLUMNS($P$1006:P1006),$P$1006:$S$1006,0)), HYPERLINK("#",""), HYPERLINK(CONCATENATE("#metadata!", ADDRESS(INDEX($K$2:$K$1001,MATCH(ROWS($I$2:I976),$I$2:$I$1001,0),0), INDEX($P$1004:$S$1004,1,MATCH(COLUMNS($P$1006:P1006),$P$1006:$S$1006,0)))),"Fix")))</f>
        <v>0</v>
      </c>
      <c r="C976" s="3">
        <f>IF(OR(INDEX($J$2:$J$1001,MATCH(ROWS($I$2:I976),$I$2:$I$1001,0),1)&gt;=100000,INDEX($P$1005:$S$1005,1,MATCH(COLUMNS($P$1006:Q1006),$P$1006:$S$1006,0))&gt;=100000), " ",IF(INDEX($P$2:$S$1001,MATCH(ROWS($I$2:I976),$I$2:$I$1001,0),MATCH(COLUMNS($P$1006:Q1006),$P$1006:$S$1006,0)), HYPERLINK("#",""), HYPERLINK(CONCATENATE("#metadata!", ADDRESS(INDEX($K$2:$K$1001,MATCH(ROWS($I$2:I976),$I$2:$I$1001,0),0), INDEX($P$1004:$S$1004,1,MATCH(COLUMNS($P$1006:Q1006),$P$1006:$S$1006,0)))),"Fix")))</f>
        <v>0</v>
      </c>
      <c r="D976" s="3">
        <f>IF(OR(INDEX($J$2:$J$1001,MATCH(ROWS($I$2:I976),$I$2:$I$1001,0),1)&gt;=100000,INDEX($P$1005:$S$1005,1,MATCH(COLUMNS($P$1006:R1006),$P$1006:$S$1006,0))&gt;=100000), " ",IF(INDEX($P$2:$S$1001,MATCH(ROWS($I$2:I976),$I$2:$I$1001,0),MATCH(COLUMNS($P$1006:R1006),$P$1006:$S$1006,0)), HYPERLINK("#",""), HYPERLINK(CONCATENATE("#metadata!", ADDRESS(INDEX($K$2:$K$1001,MATCH(ROWS($I$2:I976),$I$2:$I$1001,0),0), INDEX($P$1004:$S$1004,1,MATCH(COLUMNS($P$1006:R1006),$P$1006:$S$1006,0)))),"Fix")))</f>
        <v>0</v>
      </c>
      <c r="E976" s="3">
        <f>IF(OR(INDEX($J$2:$J$1001,MATCH(ROWS($I$2:I976),$I$2:$I$1001,0),1)&gt;=100000,INDEX($P$1005:$S$1005,1,MATCH(COLUMNS($P$1006:S1006),$P$1006:$S$1006,0))&gt;=100000), " ",IF(INDEX($P$2:$S$1001,MATCH(ROWS($I$2:I976),$I$2:$I$1001,0),MATCH(COLUMNS($P$1006:S1006),$P$1006:$S$1006,0)), HYPERLINK("#",""), HYPERLINK(CONCATENATE("#metadata!", ADDRESS(INDEX($K$2:$K$1001,MATCH(ROWS($I$2:I976),$I$2:$I$1001,0),0), INDEX($P$1004:$S$1004,1,MATCH(COLUMNS($P$1006:S1006),$P$1006:$S$1006,0)))),"Fix")))</f>
        <v>0</v>
      </c>
      <c r="I976">
        <v>0</v>
      </c>
      <c r="J976">
        <v>0</v>
      </c>
      <c r="K976">
        <v>0</v>
      </c>
      <c r="L976">
        <f>IF(M976,TRUE,AND(P976:S976))</f>
        <v>0</v>
      </c>
      <c r="M976">
        <f>COUNTBLANK(metadata!B976:E976)=COLUMNS(metadata!B976:E976)</f>
        <v>0</v>
      </c>
      <c r="N976">
        <v>0</v>
      </c>
      <c r="P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Q976">
        <f>AND(IF(metadata!C976="",FALSE,TRUE),exact(metadata!C976,"other"))</f>
        <v>0</v>
      </c>
      <c r="R976">
        <f>AND(IF(metadata!D976="",FALSE,TRUE),exact(metadata!D976,"metagenome"))</f>
        <v>0</v>
      </c>
      <c r="S976">
        <f>AND(IF(metadata!E976="",FALSE,TRUE),exact(metadata!E976,"256318"))</f>
        <v>0</v>
      </c>
    </row>
    <row r="977" spans="1:19">
      <c r="A977" s="4">
        <f>IF(B977=" "," ",HYPERLINK(CONCATENATE("#metadata!",ADDRESS(INDEX($K$2:$K$1001,MATCH(ROWS($I$2:I977),$I$2:$I$1001,0),0),1)),INDEX($N$2:$N$1001,MATCH(ROWS($I$2:I977),$I$2:$I$1001,0),0)))</f>
        <v>0</v>
      </c>
      <c r="B977" s="3">
        <f>IF(OR(INDEX($J$2:$J$1001,MATCH(ROWS($I$2:I977),$I$2:$I$1001,0),1)&gt;=100000,INDEX($P$1005:$S$1005,1,MATCH(COLUMNS($P$1006:P1006),$P$1006:$S$1006,0))&gt;=100000), " ",IF(INDEX($P$2:$S$1001,MATCH(ROWS($I$2:I977),$I$2:$I$1001,0),MATCH(COLUMNS($P$1006:P1006),$P$1006:$S$1006,0)), HYPERLINK("#",""), HYPERLINK(CONCATENATE("#metadata!", ADDRESS(INDEX($K$2:$K$1001,MATCH(ROWS($I$2:I977),$I$2:$I$1001,0),0), INDEX($P$1004:$S$1004,1,MATCH(COLUMNS($P$1006:P1006),$P$1006:$S$1006,0)))),"Fix")))</f>
        <v>0</v>
      </c>
      <c r="C977" s="3">
        <f>IF(OR(INDEX($J$2:$J$1001,MATCH(ROWS($I$2:I977),$I$2:$I$1001,0),1)&gt;=100000,INDEX($P$1005:$S$1005,1,MATCH(COLUMNS($P$1006:Q1006),$P$1006:$S$1006,0))&gt;=100000), " ",IF(INDEX($P$2:$S$1001,MATCH(ROWS($I$2:I977),$I$2:$I$1001,0),MATCH(COLUMNS($P$1006:Q1006),$P$1006:$S$1006,0)), HYPERLINK("#",""), HYPERLINK(CONCATENATE("#metadata!", ADDRESS(INDEX($K$2:$K$1001,MATCH(ROWS($I$2:I977),$I$2:$I$1001,0),0), INDEX($P$1004:$S$1004,1,MATCH(COLUMNS($P$1006:Q1006),$P$1006:$S$1006,0)))),"Fix")))</f>
        <v>0</v>
      </c>
      <c r="D977" s="3">
        <f>IF(OR(INDEX($J$2:$J$1001,MATCH(ROWS($I$2:I977),$I$2:$I$1001,0),1)&gt;=100000,INDEX($P$1005:$S$1005,1,MATCH(COLUMNS($P$1006:R1006),$P$1006:$S$1006,0))&gt;=100000), " ",IF(INDEX($P$2:$S$1001,MATCH(ROWS($I$2:I977),$I$2:$I$1001,0),MATCH(COLUMNS($P$1006:R1006),$P$1006:$S$1006,0)), HYPERLINK("#",""), HYPERLINK(CONCATENATE("#metadata!", ADDRESS(INDEX($K$2:$K$1001,MATCH(ROWS($I$2:I977),$I$2:$I$1001,0),0), INDEX($P$1004:$S$1004,1,MATCH(COLUMNS($P$1006:R1006),$P$1006:$S$1006,0)))),"Fix")))</f>
        <v>0</v>
      </c>
      <c r="E977" s="3">
        <f>IF(OR(INDEX($J$2:$J$1001,MATCH(ROWS($I$2:I977),$I$2:$I$1001,0),1)&gt;=100000,INDEX($P$1005:$S$1005,1,MATCH(COLUMNS($P$1006:S1006),$P$1006:$S$1006,0))&gt;=100000), " ",IF(INDEX($P$2:$S$1001,MATCH(ROWS($I$2:I977),$I$2:$I$1001,0),MATCH(COLUMNS($P$1006:S1006),$P$1006:$S$1006,0)), HYPERLINK("#",""), HYPERLINK(CONCATENATE("#metadata!", ADDRESS(INDEX($K$2:$K$1001,MATCH(ROWS($I$2:I977),$I$2:$I$1001,0),0), INDEX($P$1004:$S$1004,1,MATCH(COLUMNS($P$1006:S1006),$P$1006:$S$1006,0)))),"Fix")))</f>
        <v>0</v>
      </c>
      <c r="I977">
        <v>0</v>
      </c>
      <c r="J977">
        <v>0</v>
      </c>
      <c r="K977">
        <v>0</v>
      </c>
      <c r="L977">
        <f>IF(M977,TRUE,AND(P977:S977))</f>
        <v>0</v>
      </c>
      <c r="M977">
        <f>COUNTBLANK(metadata!B977:E977)=COLUMNS(metadata!B977:E977)</f>
        <v>0</v>
      </c>
      <c r="N977">
        <v>0</v>
      </c>
      <c r="P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Q977">
        <f>AND(IF(metadata!C977="",FALSE,TRUE),exact(metadata!C977,"other"))</f>
        <v>0</v>
      </c>
      <c r="R977">
        <f>AND(IF(metadata!D977="",FALSE,TRUE),exact(metadata!D977,"metagenome"))</f>
        <v>0</v>
      </c>
      <c r="S977">
        <f>AND(IF(metadata!E977="",FALSE,TRUE),exact(metadata!E977,"256318"))</f>
        <v>0</v>
      </c>
    </row>
    <row r="978" spans="1:19">
      <c r="A978" s="4">
        <f>IF(B978=" "," ",HYPERLINK(CONCATENATE("#metadata!",ADDRESS(INDEX($K$2:$K$1001,MATCH(ROWS($I$2:I978),$I$2:$I$1001,0),0),1)),INDEX($N$2:$N$1001,MATCH(ROWS($I$2:I978),$I$2:$I$1001,0),0)))</f>
        <v>0</v>
      </c>
      <c r="B978" s="3">
        <f>IF(OR(INDEX($J$2:$J$1001,MATCH(ROWS($I$2:I978),$I$2:$I$1001,0),1)&gt;=100000,INDEX($P$1005:$S$1005,1,MATCH(COLUMNS($P$1006:P1006),$P$1006:$S$1006,0))&gt;=100000), " ",IF(INDEX($P$2:$S$1001,MATCH(ROWS($I$2:I978),$I$2:$I$1001,0),MATCH(COLUMNS($P$1006:P1006),$P$1006:$S$1006,0)), HYPERLINK("#",""), HYPERLINK(CONCATENATE("#metadata!", ADDRESS(INDEX($K$2:$K$1001,MATCH(ROWS($I$2:I978),$I$2:$I$1001,0),0), INDEX($P$1004:$S$1004,1,MATCH(COLUMNS($P$1006:P1006),$P$1006:$S$1006,0)))),"Fix")))</f>
        <v>0</v>
      </c>
      <c r="C978" s="3">
        <f>IF(OR(INDEX($J$2:$J$1001,MATCH(ROWS($I$2:I978),$I$2:$I$1001,0),1)&gt;=100000,INDEX($P$1005:$S$1005,1,MATCH(COLUMNS($P$1006:Q1006),$P$1006:$S$1006,0))&gt;=100000), " ",IF(INDEX($P$2:$S$1001,MATCH(ROWS($I$2:I978),$I$2:$I$1001,0),MATCH(COLUMNS($P$1006:Q1006),$P$1006:$S$1006,0)), HYPERLINK("#",""), HYPERLINK(CONCATENATE("#metadata!", ADDRESS(INDEX($K$2:$K$1001,MATCH(ROWS($I$2:I978),$I$2:$I$1001,0),0), INDEX($P$1004:$S$1004,1,MATCH(COLUMNS($P$1006:Q1006),$P$1006:$S$1006,0)))),"Fix")))</f>
        <v>0</v>
      </c>
      <c r="D978" s="3">
        <f>IF(OR(INDEX($J$2:$J$1001,MATCH(ROWS($I$2:I978),$I$2:$I$1001,0),1)&gt;=100000,INDEX($P$1005:$S$1005,1,MATCH(COLUMNS($P$1006:R1006),$P$1006:$S$1006,0))&gt;=100000), " ",IF(INDEX($P$2:$S$1001,MATCH(ROWS($I$2:I978),$I$2:$I$1001,0),MATCH(COLUMNS($P$1006:R1006),$P$1006:$S$1006,0)), HYPERLINK("#",""), HYPERLINK(CONCATENATE("#metadata!", ADDRESS(INDEX($K$2:$K$1001,MATCH(ROWS($I$2:I978),$I$2:$I$1001,0),0), INDEX($P$1004:$S$1004,1,MATCH(COLUMNS($P$1006:R1006),$P$1006:$S$1006,0)))),"Fix")))</f>
        <v>0</v>
      </c>
      <c r="E978" s="3">
        <f>IF(OR(INDEX($J$2:$J$1001,MATCH(ROWS($I$2:I978),$I$2:$I$1001,0),1)&gt;=100000,INDEX($P$1005:$S$1005,1,MATCH(COLUMNS($P$1006:S1006),$P$1006:$S$1006,0))&gt;=100000), " ",IF(INDEX($P$2:$S$1001,MATCH(ROWS($I$2:I978),$I$2:$I$1001,0),MATCH(COLUMNS($P$1006:S1006),$P$1006:$S$1006,0)), HYPERLINK("#",""), HYPERLINK(CONCATENATE("#metadata!", ADDRESS(INDEX($K$2:$K$1001,MATCH(ROWS($I$2:I978),$I$2:$I$1001,0),0), INDEX($P$1004:$S$1004,1,MATCH(COLUMNS($P$1006:S1006),$P$1006:$S$1006,0)))),"Fix")))</f>
        <v>0</v>
      </c>
      <c r="I978">
        <v>0</v>
      </c>
      <c r="J978">
        <v>0</v>
      </c>
      <c r="K978">
        <v>0</v>
      </c>
      <c r="L978">
        <f>IF(M978,TRUE,AND(P978:S978))</f>
        <v>0</v>
      </c>
      <c r="M978">
        <f>COUNTBLANK(metadata!B978:E978)=COLUMNS(metadata!B978:E978)</f>
        <v>0</v>
      </c>
      <c r="N978">
        <v>0</v>
      </c>
      <c r="P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Q978">
        <f>AND(IF(metadata!C978="",FALSE,TRUE),exact(metadata!C978,"other"))</f>
        <v>0</v>
      </c>
      <c r="R978">
        <f>AND(IF(metadata!D978="",FALSE,TRUE),exact(metadata!D978,"metagenome"))</f>
        <v>0</v>
      </c>
      <c r="S978">
        <f>AND(IF(metadata!E978="",FALSE,TRUE),exact(metadata!E978,"256318"))</f>
        <v>0</v>
      </c>
    </row>
    <row r="979" spans="1:19">
      <c r="A979" s="4">
        <f>IF(B979=" "," ",HYPERLINK(CONCATENATE("#metadata!",ADDRESS(INDEX($K$2:$K$1001,MATCH(ROWS($I$2:I979),$I$2:$I$1001,0),0),1)),INDEX($N$2:$N$1001,MATCH(ROWS($I$2:I979),$I$2:$I$1001,0),0)))</f>
        <v>0</v>
      </c>
      <c r="B979" s="3">
        <f>IF(OR(INDEX($J$2:$J$1001,MATCH(ROWS($I$2:I979),$I$2:$I$1001,0),1)&gt;=100000,INDEX($P$1005:$S$1005,1,MATCH(COLUMNS($P$1006:P1006),$P$1006:$S$1006,0))&gt;=100000), " ",IF(INDEX($P$2:$S$1001,MATCH(ROWS($I$2:I979),$I$2:$I$1001,0),MATCH(COLUMNS($P$1006:P1006),$P$1006:$S$1006,0)), HYPERLINK("#",""), HYPERLINK(CONCATENATE("#metadata!", ADDRESS(INDEX($K$2:$K$1001,MATCH(ROWS($I$2:I979),$I$2:$I$1001,0),0), INDEX($P$1004:$S$1004,1,MATCH(COLUMNS($P$1006:P1006),$P$1006:$S$1006,0)))),"Fix")))</f>
        <v>0</v>
      </c>
      <c r="C979" s="3">
        <f>IF(OR(INDEX($J$2:$J$1001,MATCH(ROWS($I$2:I979),$I$2:$I$1001,0),1)&gt;=100000,INDEX($P$1005:$S$1005,1,MATCH(COLUMNS($P$1006:Q1006),$P$1006:$S$1006,0))&gt;=100000), " ",IF(INDEX($P$2:$S$1001,MATCH(ROWS($I$2:I979),$I$2:$I$1001,0),MATCH(COLUMNS($P$1006:Q1006),$P$1006:$S$1006,0)), HYPERLINK("#",""), HYPERLINK(CONCATENATE("#metadata!", ADDRESS(INDEX($K$2:$K$1001,MATCH(ROWS($I$2:I979),$I$2:$I$1001,0),0), INDEX($P$1004:$S$1004,1,MATCH(COLUMNS($P$1006:Q1006),$P$1006:$S$1006,0)))),"Fix")))</f>
        <v>0</v>
      </c>
      <c r="D979" s="3">
        <f>IF(OR(INDEX($J$2:$J$1001,MATCH(ROWS($I$2:I979),$I$2:$I$1001,0),1)&gt;=100000,INDEX($P$1005:$S$1005,1,MATCH(COLUMNS($P$1006:R1006),$P$1006:$S$1006,0))&gt;=100000), " ",IF(INDEX($P$2:$S$1001,MATCH(ROWS($I$2:I979),$I$2:$I$1001,0),MATCH(COLUMNS($P$1006:R1006),$P$1006:$S$1006,0)), HYPERLINK("#",""), HYPERLINK(CONCATENATE("#metadata!", ADDRESS(INDEX($K$2:$K$1001,MATCH(ROWS($I$2:I979),$I$2:$I$1001,0),0), INDEX($P$1004:$S$1004,1,MATCH(COLUMNS($P$1006:R1006),$P$1006:$S$1006,0)))),"Fix")))</f>
        <v>0</v>
      </c>
      <c r="E979" s="3">
        <f>IF(OR(INDEX($J$2:$J$1001,MATCH(ROWS($I$2:I979),$I$2:$I$1001,0),1)&gt;=100000,INDEX($P$1005:$S$1005,1,MATCH(COLUMNS($P$1006:S1006),$P$1006:$S$1006,0))&gt;=100000), " ",IF(INDEX($P$2:$S$1001,MATCH(ROWS($I$2:I979),$I$2:$I$1001,0),MATCH(COLUMNS($P$1006:S1006),$P$1006:$S$1006,0)), HYPERLINK("#",""), HYPERLINK(CONCATENATE("#metadata!", ADDRESS(INDEX($K$2:$K$1001,MATCH(ROWS($I$2:I979),$I$2:$I$1001,0),0), INDEX($P$1004:$S$1004,1,MATCH(COLUMNS($P$1006:S1006),$P$1006:$S$1006,0)))),"Fix")))</f>
        <v>0</v>
      </c>
      <c r="I979">
        <v>0</v>
      </c>
      <c r="J979">
        <v>0</v>
      </c>
      <c r="K979">
        <v>0</v>
      </c>
      <c r="L979">
        <f>IF(M979,TRUE,AND(P979:S979))</f>
        <v>0</v>
      </c>
      <c r="M979">
        <f>COUNTBLANK(metadata!B979:E979)=COLUMNS(metadata!B979:E979)</f>
        <v>0</v>
      </c>
      <c r="N979">
        <v>0</v>
      </c>
      <c r="P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Q979">
        <f>AND(IF(metadata!C979="",FALSE,TRUE),exact(metadata!C979,"other"))</f>
        <v>0</v>
      </c>
      <c r="R979">
        <f>AND(IF(metadata!D979="",FALSE,TRUE),exact(metadata!D979,"metagenome"))</f>
        <v>0</v>
      </c>
      <c r="S979">
        <f>AND(IF(metadata!E979="",FALSE,TRUE),exact(metadata!E979,"256318"))</f>
        <v>0</v>
      </c>
    </row>
    <row r="980" spans="1:19">
      <c r="A980" s="4">
        <f>IF(B980=" "," ",HYPERLINK(CONCATENATE("#metadata!",ADDRESS(INDEX($K$2:$K$1001,MATCH(ROWS($I$2:I980),$I$2:$I$1001,0),0),1)),INDEX($N$2:$N$1001,MATCH(ROWS($I$2:I980),$I$2:$I$1001,0),0)))</f>
        <v>0</v>
      </c>
      <c r="B980" s="3">
        <f>IF(OR(INDEX($J$2:$J$1001,MATCH(ROWS($I$2:I980),$I$2:$I$1001,0),1)&gt;=100000,INDEX($P$1005:$S$1005,1,MATCH(COLUMNS($P$1006:P1006),$P$1006:$S$1006,0))&gt;=100000), " ",IF(INDEX($P$2:$S$1001,MATCH(ROWS($I$2:I980),$I$2:$I$1001,0),MATCH(COLUMNS($P$1006:P1006),$P$1006:$S$1006,0)), HYPERLINK("#",""), HYPERLINK(CONCATENATE("#metadata!", ADDRESS(INDEX($K$2:$K$1001,MATCH(ROWS($I$2:I980),$I$2:$I$1001,0),0), INDEX($P$1004:$S$1004,1,MATCH(COLUMNS($P$1006:P1006),$P$1006:$S$1006,0)))),"Fix")))</f>
        <v>0</v>
      </c>
      <c r="C980" s="3">
        <f>IF(OR(INDEX($J$2:$J$1001,MATCH(ROWS($I$2:I980),$I$2:$I$1001,0),1)&gt;=100000,INDEX($P$1005:$S$1005,1,MATCH(COLUMNS($P$1006:Q1006),$P$1006:$S$1006,0))&gt;=100000), " ",IF(INDEX($P$2:$S$1001,MATCH(ROWS($I$2:I980),$I$2:$I$1001,0),MATCH(COLUMNS($P$1006:Q1006),$P$1006:$S$1006,0)), HYPERLINK("#",""), HYPERLINK(CONCATENATE("#metadata!", ADDRESS(INDEX($K$2:$K$1001,MATCH(ROWS($I$2:I980),$I$2:$I$1001,0),0), INDEX($P$1004:$S$1004,1,MATCH(COLUMNS($P$1006:Q1006),$P$1006:$S$1006,0)))),"Fix")))</f>
        <v>0</v>
      </c>
      <c r="D980" s="3">
        <f>IF(OR(INDEX($J$2:$J$1001,MATCH(ROWS($I$2:I980),$I$2:$I$1001,0),1)&gt;=100000,INDEX($P$1005:$S$1005,1,MATCH(COLUMNS($P$1006:R1006),$P$1006:$S$1006,0))&gt;=100000), " ",IF(INDEX($P$2:$S$1001,MATCH(ROWS($I$2:I980),$I$2:$I$1001,0),MATCH(COLUMNS($P$1006:R1006),$P$1006:$S$1006,0)), HYPERLINK("#",""), HYPERLINK(CONCATENATE("#metadata!", ADDRESS(INDEX($K$2:$K$1001,MATCH(ROWS($I$2:I980),$I$2:$I$1001,0),0), INDEX($P$1004:$S$1004,1,MATCH(COLUMNS($P$1006:R1006),$P$1006:$S$1006,0)))),"Fix")))</f>
        <v>0</v>
      </c>
      <c r="E980" s="3">
        <f>IF(OR(INDEX($J$2:$J$1001,MATCH(ROWS($I$2:I980),$I$2:$I$1001,0),1)&gt;=100000,INDEX($P$1005:$S$1005,1,MATCH(COLUMNS($P$1006:S1006),$P$1006:$S$1006,0))&gt;=100000), " ",IF(INDEX($P$2:$S$1001,MATCH(ROWS($I$2:I980),$I$2:$I$1001,0),MATCH(COLUMNS($P$1006:S1006),$P$1006:$S$1006,0)), HYPERLINK("#",""), HYPERLINK(CONCATENATE("#metadata!", ADDRESS(INDEX($K$2:$K$1001,MATCH(ROWS($I$2:I980),$I$2:$I$1001,0),0), INDEX($P$1004:$S$1004,1,MATCH(COLUMNS($P$1006:S1006),$P$1006:$S$1006,0)))),"Fix")))</f>
        <v>0</v>
      </c>
      <c r="I980">
        <v>0</v>
      </c>
      <c r="J980">
        <v>0</v>
      </c>
      <c r="K980">
        <v>0</v>
      </c>
      <c r="L980">
        <f>IF(M980,TRUE,AND(P980:S980))</f>
        <v>0</v>
      </c>
      <c r="M980">
        <f>COUNTBLANK(metadata!B980:E980)=COLUMNS(metadata!B980:E980)</f>
        <v>0</v>
      </c>
      <c r="N980">
        <v>0</v>
      </c>
      <c r="P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Q980">
        <f>AND(IF(metadata!C980="",FALSE,TRUE),exact(metadata!C980,"other"))</f>
        <v>0</v>
      </c>
      <c r="R980">
        <f>AND(IF(metadata!D980="",FALSE,TRUE),exact(metadata!D980,"metagenome"))</f>
        <v>0</v>
      </c>
      <c r="S980">
        <f>AND(IF(metadata!E980="",FALSE,TRUE),exact(metadata!E980,"256318"))</f>
        <v>0</v>
      </c>
    </row>
    <row r="981" spans="1:19">
      <c r="A981" s="4">
        <f>IF(B981=" "," ",HYPERLINK(CONCATENATE("#metadata!",ADDRESS(INDEX($K$2:$K$1001,MATCH(ROWS($I$2:I981),$I$2:$I$1001,0),0),1)),INDEX($N$2:$N$1001,MATCH(ROWS($I$2:I981),$I$2:$I$1001,0),0)))</f>
        <v>0</v>
      </c>
      <c r="B981" s="3">
        <f>IF(OR(INDEX($J$2:$J$1001,MATCH(ROWS($I$2:I981),$I$2:$I$1001,0),1)&gt;=100000,INDEX($P$1005:$S$1005,1,MATCH(COLUMNS($P$1006:P1006),$P$1006:$S$1006,0))&gt;=100000), " ",IF(INDEX($P$2:$S$1001,MATCH(ROWS($I$2:I981),$I$2:$I$1001,0),MATCH(COLUMNS($P$1006:P1006),$P$1006:$S$1006,0)), HYPERLINK("#",""), HYPERLINK(CONCATENATE("#metadata!", ADDRESS(INDEX($K$2:$K$1001,MATCH(ROWS($I$2:I981),$I$2:$I$1001,0),0), INDEX($P$1004:$S$1004,1,MATCH(COLUMNS($P$1006:P1006),$P$1006:$S$1006,0)))),"Fix")))</f>
        <v>0</v>
      </c>
      <c r="C981" s="3">
        <f>IF(OR(INDEX($J$2:$J$1001,MATCH(ROWS($I$2:I981),$I$2:$I$1001,0),1)&gt;=100000,INDEX($P$1005:$S$1005,1,MATCH(COLUMNS($P$1006:Q1006),$P$1006:$S$1006,0))&gt;=100000), " ",IF(INDEX($P$2:$S$1001,MATCH(ROWS($I$2:I981),$I$2:$I$1001,0),MATCH(COLUMNS($P$1006:Q1006),$P$1006:$S$1006,0)), HYPERLINK("#",""), HYPERLINK(CONCATENATE("#metadata!", ADDRESS(INDEX($K$2:$K$1001,MATCH(ROWS($I$2:I981),$I$2:$I$1001,0),0), INDEX($P$1004:$S$1004,1,MATCH(COLUMNS($P$1006:Q1006),$P$1006:$S$1006,0)))),"Fix")))</f>
        <v>0</v>
      </c>
      <c r="D981" s="3">
        <f>IF(OR(INDEX($J$2:$J$1001,MATCH(ROWS($I$2:I981),$I$2:$I$1001,0),1)&gt;=100000,INDEX($P$1005:$S$1005,1,MATCH(COLUMNS($P$1006:R1006),$P$1006:$S$1006,0))&gt;=100000), " ",IF(INDEX($P$2:$S$1001,MATCH(ROWS($I$2:I981),$I$2:$I$1001,0),MATCH(COLUMNS($P$1006:R1006),$P$1006:$S$1006,0)), HYPERLINK("#",""), HYPERLINK(CONCATENATE("#metadata!", ADDRESS(INDEX($K$2:$K$1001,MATCH(ROWS($I$2:I981),$I$2:$I$1001,0),0), INDEX($P$1004:$S$1004,1,MATCH(COLUMNS($P$1006:R1006),$P$1006:$S$1006,0)))),"Fix")))</f>
        <v>0</v>
      </c>
      <c r="E981" s="3">
        <f>IF(OR(INDEX($J$2:$J$1001,MATCH(ROWS($I$2:I981),$I$2:$I$1001,0),1)&gt;=100000,INDEX($P$1005:$S$1005,1,MATCH(COLUMNS($P$1006:S1006),$P$1006:$S$1006,0))&gt;=100000), " ",IF(INDEX($P$2:$S$1001,MATCH(ROWS($I$2:I981),$I$2:$I$1001,0),MATCH(COLUMNS($P$1006:S1006),$P$1006:$S$1006,0)), HYPERLINK("#",""), HYPERLINK(CONCATENATE("#metadata!", ADDRESS(INDEX($K$2:$K$1001,MATCH(ROWS($I$2:I981),$I$2:$I$1001,0),0), INDEX($P$1004:$S$1004,1,MATCH(COLUMNS($P$1006:S1006),$P$1006:$S$1006,0)))),"Fix")))</f>
        <v>0</v>
      </c>
      <c r="I981">
        <v>0</v>
      </c>
      <c r="J981">
        <v>0</v>
      </c>
      <c r="K981">
        <v>0</v>
      </c>
      <c r="L981">
        <f>IF(M981,TRUE,AND(P981:S981))</f>
        <v>0</v>
      </c>
      <c r="M981">
        <f>COUNTBLANK(metadata!B981:E981)=COLUMNS(metadata!B981:E981)</f>
        <v>0</v>
      </c>
      <c r="N981">
        <v>0</v>
      </c>
      <c r="P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Q981">
        <f>AND(IF(metadata!C981="",FALSE,TRUE),exact(metadata!C981,"other"))</f>
        <v>0</v>
      </c>
      <c r="R981">
        <f>AND(IF(metadata!D981="",FALSE,TRUE),exact(metadata!D981,"metagenome"))</f>
        <v>0</v>
      </c>
      <c r="S981">
        <f>AND(IF(metadata!E981="",FALSE,TRUE),exact(metadata!E981,"256318"))</f>
        <v>0</v>
      </c>
    </row>
    <row r="982" spans="1:19">
      <c r="A982" s="4">
        <f>IF(B982=" "," ",HYPERLINK(CONCATENATE("#metadata!",ADDRESS(INDEX($K$2:$K$1001,MATCH(ROWS($I$2:I982),$I$2:$I$1001,0),0),1)),INDEX($N$2:$N$1001,MATCH(ROWS($I$2:I982),$I$2:$I$1001,0),0)))</f>
        <v>0</v>
      </c>
      <c r="B982" s="3">
        <f>IF(OR(INDEX($J$2:$J$1001,MATCH(ROWS($I$2:I982),$I$2:$I$1001,0),1)&gt;=100000,INDEX($P$1005:$S$1005,1,MATCH(COLUMNS($P$1006:P1006),$P$1006:$S$1006,0))&gt;=100000), " ",IF(INDEX($P$2:$S$1001,MATCH(ROWS($I$2:I982),$I$2:$I$1001,0),MATCH(COLUMNS($P$1006:P1006),$P$1006:$S$1006,0)), HYPERLINK("#",""), HYPERLINK(CONCATENATE("#metadata!", ADDRESS(INDEX($K$2:$K$1001,MATCH(ROWS($I$2:I982),$I$2:$I$1001,0),0), INDEX($P$1004:$S$1004,1,MATCH(COLUMNS($P$1006:P1006),$P$1006:$S$1006,0)))),"Fix")))</f>
        <v>0</v>
      </c>
      <c r="C982" s="3">
        <f>IF(OR(INDEX($J$2:$J$1001,MATCH(ROWS($I$2:I982),$I$2:$I$1001,0),1)&gt;=100000,INDEX($P$1005:$S$1005,1,MATCH(COLUMNS($P$1006:Q1006),$P$1006:$S$1006,0))&gt;=100000), " ",IF(INDEX($P$2:$S$1001,MATCH(ROWS($I$2:I982),$I$2:$I$1001,0),MATCH(COLUMNS($P$1006:Q1006),$P$1006:$S$1006,0)), HYPERLINK("#",""), HYPERLINK(CONCATENATE("#metadata!", ADDRESS(INDEX($K$2:$K$1001,MATCH(ROWS($I$2:I982),$I$2:$I$1001,0),0), INDEX($P$1004:$S$1004,1,MATCH(COLUMNS($P$1006:Q1006),$P$1006:$S$1006,0)))),"Fix")))</f>
        <v>0</v>
      </c>
      <c r="D982" s="3">
        <f>IF(OR(INDEX($J$2:$J$1001,MATCH(ROWS($I$2:I982),$I$2:$I$1001,0),1)&gt;=100000,INDEX($P$1005:$S$1005,1,MATCH(COLUMNS($P$1006:R1006),$P$1006:$S$1006,0))&gt;=100000), " ",IF(INDEX($P$2:$S$1001,MATCH(ROWS($I$2:I982),$I$2:$I$1001,0),MATCH(COLUMNS($P$1006:R1006),$P$1006:$S$1006,0)), HYPERLINK("#",""), HYPERLINK(CONCATENATE("#metadata!", ADDRESS(INDEX($K$2:$K$1001,MATCH(ROWS($I$2:I982),$I$2:$I$1001,0),0), INDEX($P$1004:$S$1004,1,MATCH(COLUMNS($P$1006:R1006),$P$1006:$S$1006,0)))),"Fix")))</f>
        <v>0</v>
      </c>
      <c r="E982" s="3">
        <f>IF(OR(INDEX($J$2:$J$1001,MATCH(ROWS($I$2:I982),$I$2:$I$1001,0),1)&gt;=100000,INDEX($P$1005:$S$1005,1,MATCH(COLUMNS($P$1006:S1006),$P$1006:$S$1006,0))&gt;=100000), " ",IF(INDEX($P$2:$S$1001,MATCH(ROWS($I$2:I982),$I$2:$I$1001,0),MATCH(COLUMNS($P$1006:S1006),$P$1006:$S$1006,0)), HYPERLINK("#",""), HYPERLINK(CONCATENATE("#metadata!", ADDRESS(INDEX($K$2:$K$1001,MATCH(ROWS($I$2:I982),$I$2:$I$1001,0),0), INDEX($P$1004:$S$1004,1,MATCH(COLUMNS($P$1006:S1006),$P$1006:$S$1006,0)))),"Fix")))</f>
        <v>0</v>
      </c>
      <c r="I982">
        <v>0</v>
      </c>
      <c r="J982">
        <v>0</v>
      </c>
      <c r="K982">
        <v>0</v>
      </c>
      <c r="L982">
        <f>IF(M982,TRUE,AND(P982:S982))</f>
        <v>0</v>
      </c>
      <c r="M982">
        <f>COUNTBLANK(metadata!B982:E982)=COLUMNS(metadata!B982:E982)</f>
        <v>0</v>
      </c>
      <c r="N982">
        <v>0</v>
      </c>
      <c r="P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Q982">
        <f>AND(IF(metadata!C982="",FALSE,TRUE),exact(metadata!C982,"other"))</f>
        <v>0</v>
      </c>
      <c r="R982">
        <f>AND(IF(metadata!D982="",FALSE,TRUE),exact(metadata!D982,"metagenome"))</f>
        <v>0</v>
      </c>
      <c r="S982">
        <f>AND(IF(metadata!E982="",FALSE,TRUE),exact(metadata!E982,"256318"))</f>
        <v>0</v>
      </c>
    </row>
    <row r="983" spans="1:19">
      <c r="A983" s="4">
        <f>IF(B983=" "," ",HYPERLINK(CONCATENATE("#metadata!",ADDRESS(INDEX($K$2:$K$1001,MATCH(ROWS($I$2:I983),$I$2:$I$1001,0),0),1)),INDEX($N$2:$N$1001,MATCH(ROWS($I$2:I983),$I$2:$I$1001,0),0)))</f>
        <v>0</v>
      </c>
      <c r="B983" s="3">
        <f>IF(OR(INDEX($J$2:$J$1001,MATCH(ROWS($I$2:I983),$I$2:$I$1001,0),1)&gt;=100000,INDEX($P$1005:$S$1005,1,MATCH(COLUMNS($P$1006:P1006),$P$1006:$S$1006,0))&gt;=100000), " ",IF(INDEX($P$2:$S$1001,MATCH(ROWS($I$2:I983),$I$2:$I$1001,0),MATCH(COLUMNS($P$1006:P1006),$P$1006:$S$1006,0)), HYPERLINK("#",""), HYPERLINK(CONCATENATE("#metadata!", ADDRESS(INDEX($K$2:$K$1001,MATCH(ROWS($I$2:I983),$I$2:$I$1001,0),0), INDEX($P$1004:$S$1004,1,MATCH(COLUMNS($P$1006:P1006),$P$1006:$S$1006,0)))),"Fix")))</f>
        <v>0</v>
      </c>
      <c r="C983" s="3">
        <f>IF(OR(INDEX($J$2:$J$1001,MATCH(ROWS($I$2:I983),$I$2:$I$1001,0),1)&gt;=100000,INDEX($P$1005:$S$1005,1,MATCH(COLUMNS($P$1006:Q1006),$P$1006:$S$1006,0))&gt;=100000), " ",IF(INDEX($P$2:$S$1001,MATCH(ROWS($I$2:I983),$I$2:$I$1001,0),MATCH(COLUMNS($P$1006:Q1006),$P$1006:$S$1006,0)), HYPERLINK("#",""), HYPERLINK(CONCATENATE("#metadata!", ADDRESS(INDEX($K$2:$K$1001,MATCH(ROWS($I$2:I983),$I$2:$I$1001,0),0), INDEX($P$1004:$S$1004,1,MATCH(COLUMNS($P$1006:Q1006),$P$1006:$S$1006,0)))),"Fix")))</f>
        <v>0</v>
      </c>
      <c r="D983" s="3">
        <f>IF(OR(INDEX($J$2:$J$1001,MATCH(ROWS($I$2:I983),$I$2:$I$1001,0),1)&gt;=100000,INDEX($P$1005:$S$1005,1,MATCH(COLUMNS($P$1006:R1006),$P$1006:$S$1006,0))&gt;=100000), " ",IF(INDEX($P$2:$S$1001,MATCH(ROWS($I$2:I983),$I$2:$I$1001,0),MATCH(COLUMNS($P$1006:R1006),$P$1006:$S$1006,0)), HYPERLINK("#",""), HYPERLINK(CONCATENATE("#metadata!", ADDRESS(INDEX($K$2:$K$1001,MATCH(ROWS($I$2:I983),$I$2:$I$1001,0),0), INDEX($P$1004:$S$1004,1,MATCH(COLUMNS($P$1006:R1006),$P$1006:$S$1006,0)))),"Fix")))</f>
        <v>0</v>
      </c>
      <c r="E983" s="3">
        <f>IF(OR(INDEX($J$2:$J$1001,MATCH(ROWS($I$2:I983),$I$2:$I$1001,0),1)&gt;=100000,INDEX($P$1005:$S$1005,1,MATCH(COLUMNS($P$1006:S1006),$P$1006:$S$1006,0))&gt;=100000), " ",IF(INDEX($P$2:$S$1001,MATCH(ROWS($I$2:I983),$I$2:$I$1001,0),MATCH(COLUMNS($P$1006:S1006),$P$1006:$S$1006,0)), HYPERLINK("#",""), HYPERLINK(CONCATENATE("#metadata!", ADDRESS(INDEX($K$2:$K$1001,MATCH(ROWS($I$2:I983),$I$2:$I$1001,0),0), INDEX($P$1004:$S$1004,1,MATCH(COLUMNS($P$1006:S1006),$P$1006:$S$1006,0)))),"Fix")))</f>
        <v>0</v>
      </c>
      <c r="I983">
        <v>0</v>
      </c>
      <c r="J983">
        <v>0</v>
      </c>
      <c r="K983">
        <v>0</v>
      </c>
      <c r="L983">
        <f>IF(M983,TRUE,AND(P983:S983))</f>
        <v>0</v>
      </c>
      <c r="M983">
        <f>COUNTBLANK(metadata!B983:E983)=COLUMNS(metadata!B983:E983)</f>
        <v>0</v>
      </c>
      <c r="N983">
        <v>0</v>
      </c>
      <c r="P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Q983">
        <f>AND(IF(metadata!C983="",FALSE,TRUE),exact(metadata!C983,"other"))</f>
        <v>0</v>
      </c>
      <c r="R983">
        <f>AND(IF(metadata!D983="",FALSE,TRUE),exact(metadata!D983,"metagenome"))</f>
        <v>0</v>
      </c>
      <c r="S983">
        <f>AND(IF(metadata!E983="",FALSE,TRUE),exact(metadata!E983,"256318"))</f>
        <v>0</v>
      </c>
    </row>
    <row r="984" spans="1:19">
      <c r="A984" s="4">
        <f>IF(B984=" "," ",HYPERLINK(CONCATENATE("#metadata!",ADDRESS(INDEX($K$2:$K$1001,MATCH(ROWS($I$2:I984),$I$2:$I$1001,0),0),1)),INDEX($N$2:$N$1001,MATCH(ROWS($I$2:I984),$I$2:$I$1001,0),0)))</f>
        <v>0</v>
      </c>
      <c r="B984" s="3">
        <f>IF(OR(INDEX($J$2:$J$1001,MATCH(ROWS($I$2:I984),$I$2:$I$1001,0),1)&gt;=100000,INDEX($P$1005:$S$1005,1,MATCH(COLUMNS($P$1006:P1006),$P$1006:$S$1006,0))&gt;=100000), " ",IF(INDEX($P$2:$S$1001,MATCH(ROWS($I$2:I984),$I$2:$I$1001,0),MATCH(COLUMNS($P$1006:P1006),$P$1006:$S$1006,0)), HYPERLINK("#",""), HYPERLINK(CONCATENATE("#metadata!", ADDRESS(INDEX($K$2:$K$1001,MATCH(ROWS($I$2:I984),$I$2:$I$1001,0),0), INDEX($P$1004:$S$1004,1,MATCH(COLUMNS($P$1006:P1006),$P$1006:$S$1006,0)))),"Fix")))</f>
        <v>0</v>
      </c>
      <c r="C984" s="3">
        <f>IF(OR(INDEX($J$2:$J$1001,MATCH(ROWS($I$2:I984),$I$2:$I$1001,0),1)&gt;=100000,INDEX($P$1005:$S$1005,1,MATCH(COLUMNS($P$1006:Q1006),$P$1006:$S$1006,0))&gt;=100000), " ",IF(INDEX($P$2:$S$1001,MATCH(ROWS($I$2:I984),$I$2:$I$1001,0),MATCH(COLUMNS($P$1006:Q1006),$P$1006:$S$1006,0)), HYPERLINK("#",""), HYPERLINK(CONCATENATE("#metadata!", ADDRESS(INDEX($K$2:$K$1001,MATCH(ROWS($I$2:I984),$I$2:$I$1001,0),0), INDEX($P$1004:$S$1004,1,MATCH(COLUMNS($P$1006:Q1006),$P$1006:$S$1006,0)))),"Fix")))</f>
        <v>0</v>
      </c>
      <c r="D984" s="3">
        <f>IF(OR(INDEX($J$2:$J$1001,MATCH(ROWS($I$2:I984),$I$2:$I$1001,0),1)&gt;=100000,INDEX($P$1005:$S$1005,1,MATCH(COLUMNS($P$1006:R1006),$P$1006:$S$1006,0))&gt;=100000), " ",IF(INDEX($P$2:$S$1001,MATCH(ROWS($I$2:I984),$I$2:$I$1001,0),MATCH(COLUMNS($P$1006:R1006),$P$1006:$S$1006,0)), HYPERLINK("#",""), HYPERLINK(CONCATENATE("#metadata!", ADDRESS(INDEX($K$2:$K$1001,MATCH(ROWS($I$2:I984),$I$2:$I$1001,0),0), INDEX($P$1004:$S$1004,1,MATCH(COLUMNS($P$1006:R1006),$P$1006:$S$1006,0)))),"Fix")))</f>
        <v>0</v>
      </c>
      <c r="E984" s="3">
        <f>IF(OR(INDEX($J$2:$J$1001,MATCH(ROWS($I$2:I984),$I$2:$I$1001,0),1)&gt;=100000,INDEX($P$1005:$S$1005,1,MATCH(COLUMNS($P$1006:S1006),$P$1006:$S$1006,0))&gt;=100000), " ",IF(INDEX($P$2:$S$1001,MATCH(ROWS($I$2:I984),$I$2:$I$1001,0),MATCH(COLUMNS($P$1006:S1006),$P$1006:$S$1006,0)), HYPERLINK("#",""), HYPERLINK(CONCATENATE("#metadata!", ADDRESS(INDEX($K$2:$K$1001,MATCH(ROWS($I$2:I984),$I$2:$I$1001,0),0), INDEX($P$1004:$S$1004,1,MATCH(COLUMNS($P$1006:S1006),$P$1006:$S$1006,0)))),"Fix")))</f>
        <v>0</v>
      </c>
      <c r="I984">
        <v>0</v>
      </c>
      <c r="J984">
        <v>0</v>
      </c>
      <c r="K984">
        <v>0</v>
      </c>
      <c r="L984">
        <f>IF(M984,TRUE,AND(P984:S984))</f>
        <v>0</v>
      </c>
      <c r="M984">
        <f>COUNTBLANK(metadata!B984:E984)=COLUMNS(metadata!B984:E984)</f>
        <v>0</v>
      </c>
      <c r="N984">
        <v>0</v>
      </c>
      <c r="P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Q984">
        <f>AND(IF(metadata!C984="",FALSE,TRUE),exact(metadata!C984,"other"))</f>
        <v>0</v>
      </c>
      <c r="R984">
        <f>AND(IF(metadata!D984="",FALSE,TRUE),exact(metadata!D984,"metagenome"))</f>
        <v>0</v>
      </c>
      <c r="S984">
        <f>AND(IF(metadata!E984="",FALSE,TRUE),exact(metadata!E984,"256318"))</f>
        <v>0</v>
      </c>
    </row>
    <row r="985" spans="1:19">
      <c r="A985" s="4">
        <f>IF(B985=" "," ",HYPERLINK(CONCATENATE("#metadata!",ADDRESS(INDEX($K$2:$K$1001,MATCH(ROWS($I$2:I985),$I$2:$I$1001,0),0),1)),INDEX($N$2:$N$1001,MATCH(ROWS($I$2:I985),$I$2:$I$1001,0),0)))</f>
        <v>0</v>
      </c>
      <c r="B985" s="3">
        <f>IF(OR(INDEX($J$2:$J$1001,MATCH(ROWS($I$2:I985),$I$2:$I$1001,0),1)&gt;=100000,INDEX($P$1005:$S$1005,1,MATCH(COLUMNS($P$1006:P1006),$P$1006:$S$1006,0))&gt;=100000), " ",IF(INDEX($P$2:$S$1001,MATCH(ROWS($I$2:I985),$I$2:$I$1001,0),MATCH(COLUMNS($P$1006:P1006),$P$1006:$S$1006,0)), HYPERLINK("#",""), HYPERLINK(CONCATENATE("#metadata!", ADDRESS(INDEX($K$2:$K$1001,MATCH(ROWS($I$2:I985),$I$2:$I$1001,0),0), INDEX($P$1004:$S$1004,1,MATCH(COLUMNS($P$1006:P1006),$P$1006:$S$1006,0)))),"Fix")))</f>
        <v>0</v>
      </c>
      <c r="C985" s="3">
        <f>IF(OR(INDEX($J$2:$J$1001,MATCH(ROWS($I$2:I985),$I$2:$I$1001,0),1)&gt;=100000,INDEX($P$1005:$S$1005,1,MATCH(COLUMNS($P$1006:Q1006),$P$1006:$S$1006,0))&gt;=100000), " ",IF(INDEX($P$2:$S$1001,MATCH(ROWS($I$2:I985),$I$2:$I$1001,0),MATCH(COLUMNS($P$1006:Q1006),$P$1006:$S$1006,0)), HYPERLINK("#",""), HYPERLINK(CONCATENATE("#metadata!", ADDRESS(INDEX($K$2:$K$1001,MATCH(ROWS($I$2:I985),$I$2:$I$1001,0),0), INDEX($P$1004:$S$1004,1,MATCH(COLUMNS($P$1006:Q1006),$P$1006:$S$1006,0)))),"Fix")))</f>
        <v>0</v>
      </c>
      <c r="D985" s="3">
        <f>IF(OR(INDEX($J$2:$J$1001,MATCH(ROWS($I$2:I985),$I$2:$I$1001,0),1)&gt;=100000,INDEX($P$1005:$S$1005,1,MATCH(COLUMNS($P$1006:R1006),$P$1006:$S$1006,0))&gt;=100000), " ",IF(INDEX($P$2:$S$1001,MATCH(ROWS($I$2:I985),$I$2:$I$1001,0),MATCH(COLUMNS($P$1006:R1006),$P$1006:$S$1006,0)), HYPERLINK("#",""), HYPERLINK(CONCATENATE("#metadata!", ADDRESS(INDEX($K$2:$K$1001,MATCH(ROWS($I$2:I985),$I$2:$I$1001,0),0), INDEX($P$1004:$S$1004,1,MATCH(COLUMNS($P$1006:R1006),$P$1006:$S$1006,0)))),"Fix")))</f>
        <v>0</v>
      </c>
      <c r="E985" s="3">
        <f>IF(OR(INDEX($J$2:$J$1001,MATCH(ROWS($I$2:I985),$I$2:$I$1001,0),1)&gt;=100000,INDEX($P$1005:$S$1005,1,MATCH(COLUMNS($P$1006:S1006),$P$1006:$S$1006,0))&gt;=100000), " ",IF(INDEX($P$2:$S$1001,MATCH(ROWS($I$2:I985),$I$2:$I$1001,0),MATCH(COLUMNS($P$1006:S1006),$P$1006:$S$1006,0)), HYPERLINK("#",""), HYPERLINK(CONCATENATE("#metadata!", ADDRESS(INDEX($K$2:$K$1001,MATCH(ROWS($I$2:I985),$I$2:$I$1001,0),0), INDEX($P$1004:$S$1004,1,MATCH(COLUMNS($P$1006:S1006),$P$1006:$S$1006,0)))),"Fix")))</f>
        <v>0</v>
      </c>
      <c r="I985">
        <v>0</v>
      </c>
      <c r="J985">
        <v>0</v>
      </c>
      <c r="K985">
        <v>0</v>
      </c>
      <c r="L985">
        <f>IF(M985,TRUE,AND(P985:S985))</f>
        <v>0</v>
      </c>
      <c r="M985">
        <f>COUNTBLANK(metadata!B985:E985)=COLUMNS(metadata!B985:E985)</f>
        <v>0</v>
      </c>
      <c r="N985">
        <v>0</v>
      </c>
      <c r="P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Q985">
        <f>AND(IF(metadata!C985="",FALSE,TRUE),exact(metadata!C985,"other"))</f>
        <v>0</v>
      </c>
      <c r="R985">
        <f>AND(IF(metadata!D985="",FALSE,TRUE),exact(metadata!D985,"metagenome"))</f>
        <v>0</v>
      </c>
      <c r="S985">
        <f>AND(IF(metadata!E985="",FALSE,TRUE),exact(metadata!E985,"256318"))</f>
        <v>0</v>
      </c>
    </row>
    <row r="986" spans="1:19">
      <c r="A986" s="4">
        <f>IF(B986=" "," ",HYPERLINK(CONCATENATE("#metadata!",ADDRESS(INDEX($K$2:$K$1001,MATCH(ROWS($I$2:I986),$I$2:$I$1001,0),0),1)),INDEX($N$2:$N$1001,MATCH(ROWS($I$2:I986),$I$2:$I$1001,0),0)))</f>
        <v>0</v>
      </c>
      <c r="B986" s="3">
        <f>IF(OR(INDEX($J$2:$J$1001,MATCH(ROWS($I$2:I986),$I$2:$I$1001,0),1)&gt;=100000,INDEX($P$1005:$S$1005,1,MATCH(COLUMNS($P$1006:P1006),$P$1006:$S$1006,0))&gt;=100000), " ",IF(INDEX($P$2:$S$1001,MATCH(ROWS($I$2:I986),$I$2:$I$1001,0),MATCH(COLUMNS($P$1006:P1006),$P$1006:$S$1006,0)), HYPERLINK("#",""), HYPERLINK(CONCATENATE("#metadata!", ADDRESS(INDEX($K$2:$K$1001,MATCH(ROWS($I$2:I986),$I$2:$I$1001,0),0), INDEX($P$1004:$S$1004,1,MATCH(COLUMNS($P$1006:P1006),$P$1006:$S$1006,0)))),"Fix")))</f>
        <v>0</v>
      </c>
      <c r="C986" s="3">
        <f>IF(OR(INDEX($J$2:$J$1001,MATCH(ROWS($I$2:I986),$I$2:$I$1001,0),1)&gt;=100000,INDEX($P$1005:$S$1005,1,MATCH(COLUMNS($P$1006:Q1006),$P$1006:$S$1006,0))&gt;=100000), " ",IF(INDEX($P$2:$S$1001,MATCH(ROWS($I$2:I986),$I$2:$I$1001,0),MATCH(COLUMNS($P$1006:Q1006),$P$1006:$S$1006,0)), HYPERLINK("#",""), HYPERLINK(CONCATENATE("#metadata!", ADDRESS(INDEX($K$2:$K$1001,MATCH(ROWS($I$2:I986),$I$2:$I$1001,0),0), INDEX($P$1004:$S$1004,1,MATCH(COLUMNS($P$1006:Q1006),$P$1006:$S$1006,0)))),"Fix")))</f>
        <v>0</v>
      </c>
      <c r="D986" s="3">
        <f>IF(OR(INDEX($J$2:$J$1001,MATCH(ROWS($I$2:I986),$I$2:$I$1001,0),1)&gt;=100000,INDEX($P$1005:$S$1005,1,MATCH(COLUMNS($P$1006:R1006),$P$1006:$S$1006,0))&gt;=100000), " ",IF(INDEX($P$2:$S$1001,MATCH(ROWS($I$2:I986),$I$2:$I$1001,0),MATCH(COLUMNS($P$1006:R1006),$P$1006:$S$1006,0)), HYPERLINK("#",""), HYPERLINK(CONCATENATE("#metadata!", ADDRESS(INDEX($K$2:$K$1001,MATCH(ROWS($I$2:I986),$I$2:$I$1001,0),0), INDEX($P$1004:$S$1004,1,MATCH(COLUMNS($P$1006:R1006),$P$1006:$S$1006,0)))),"Fix")))</f>
        <v>0</v>
      </c>
      <c r="E986" s="3">
        <f>IF(OR(INDEX($J$2:$J$1001,MATCH(ROWS($I$2:I986),$I$2:$I$1001,0),1)&gt;=100000,INDEX($P$1005:$S$1005,1,MATCH(COLUMNS($P$1006:S1006),$P$1006:$S$1006,0))&gt;=100000), " ",IF(INDEX($P$2:$S$1001,MATCH(ROWS($I$2:I986),$I$2:$I$1001,0),MATCH(COLUMNS($P$1006:S1006),$P$1006:$S$1006,0)), HYPERLINK("#",""), HYPERLINK(CONCATENATE("#metadata!", ADDRESS(INDEX($K$2:$K$1001,MATCH(ROWS($I$2:I986),$I$2:$I$1001,0),0), INDEX($P$1004:$S$1004,1,MATCH(COLUMNS($P$1006:S1006),$P$1006:$S$1006,0)))),"Fix")))</f>
        <v>0</v>
      </c>
      <c r="I986">
        <v>0</v>
      </c>
      <c r="J986">
        <v>0</v>
      </c>
      <c r="K986">
        <v>0</v>
      </c>
      <c r="L986">
        <f>IF(M986,TRUE,AND(P986:S986))</f>
        <v>0</v>
      </c>
      <c r="M986">
        <f>COUNTBLANK(metadata!B986:E986)=COLUMNS(metadata!B986:E986)</f>
        <v>0</v>
      </c>
      <c r="N986">
        <v>0</v>
      </c>
      <c r="P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Q986">
        <f>AND(IF(metadata!C986="",FALSE,TRUE),exact(metadata!C986,"other"))</f>
        <v>0</v>
      </c>
      <c r="R986">
        <f>AND(IF(metadata!D986="",FALSE,TRUE),exact(metadata!D986,"metagenome"))</f>
        <v>0</v>
      </c>
      <c r="S986">
        <f>AND(IF(metadata!E986="",FALSE,TRUE),exact(metadata!E986,"256318"))</f>
        <v>0</v>
      </c>
    </row>
    <row r="987" spans="1:19">
      <c r="A987" s="4">
        <f>IF(B987=" "," ",HYPERLINK(CONCATENATE("#metadata!",ADDRESS(INDEX($K$2:$K$1001,MATCH(ROWS($I$2:I987),$I$2:$I$1001,0),0),1)),INDEX($N$2:$N$1001,MATCH(ROWS($I$2:I987),$I$2:$I$1001,0),0)))</f>
        <v>0</v>
      </c>
      <c r="B987" s="3">
        <f>IF(OR(INDEX($J$2:$J$1001,MATCH(ROWS($I$2:I987),$I$2:$I$1001,0),1)&gt;=100000,INDEX($P$1005:$S$1005,1,MATCH(COLUMNS($P$1006:P1006),$P$1006:$S$1006,0))&gt;=100000), " ",IF(INDEX($P$2:$S$1001,MATCH(ROWS($I$2:I987),$I$2:$I$1001,0),MATCH(COLUMNS($P$1006:P1006),$P$1006:$S$1006,0)), HYPERLINK("#",""), HYPERLINK(CONCATENATE("#metadata!", ADDRESS(INDEX($K$2:$K$1001,MATCH(ROWS($I$2:I987),$I$2:$I$1001,0),0), INDEX($P$1004:$S$1004,1,MATCH(COLUMNS($P$1006:P1006),$P$1006:$S$1006,0)))),"Fix")))</f>
        <v>0</v>
      </c>
      <c r="C987" s="3">
        <f>IF(OR(INDEX($J$2:$J$1001,MATCH(ROWS($I$2:I987),$I$2:$I$1001,0),1)&gt;=100000,INDEX($P$1005:$S$1005,1,MATCH(COLUMNS($P$1006:Q1006),$P$1006:$S$1006,0))&gt;=100000), " ",IF(INDEX($P$2:$S$1001,MATCH(ROWS($I$2:I987),$I$2:$I$1001,0),MATCH(COLUMNS($P$1006:Q1006),$P$1006:$S$1006,0)), HYPERLINK("#",""), HYPERLINK(CONCATENATE("#metadata!", ADDRESS(INDEX($K$2:$K$1001,MATCH(ROWS($I$2:I987),$I$2:$I$1001,0),0), INDEX($P$1004:$S$1004,1,MATCH(COLUMNS($P$1006:Q1006),$P$1006:$S$1006,0)))),"Fix")))</f>
        <v>0</v>
      </c>
      <c r="D987" s="3">
        <f>IF(OR(INDEX($J$2:$J$1001,MATCH(ROWS($I$2:I987),$I$2:$I$1001,0),1)&gt;=100000,INDEX($P$1005:$S$1005,1,MATCH(COLUMNS($P$1006:R1006),$P$1006:$S$1006,0))&gt;=100000), " ",IF(INDEX($P$2:$S$1001,MATCH(ROWS($I$2:I987),$I$2:$I$1001,0),MATCH(COLUMNS($P$1006:R1006),$P$1006:$S$1006,0)), HYPERLINK("#",""), HYPERLINK(CONCATENATE("#metadata!", ADDRESS(INDEX($K$2:$K$1001,MATCH(ROWS($I$2:I987),$I$2:$I$1001,0),0), INDEX($P$1004:$S$1004,1,MATCH(COLUMNS($P$1006:R1006),$P$1006:$S$1006,0)))),"Fix")))</f>
        <v>0</v>
      </c>
      <c r="E987" s="3">
        <f>IF(OR(INDEX($J$2:$J$1001,MATCH(ROWS($I$2:I987),$I$2:$I$1001,0),1)&gt;=100000,INDEX($P$1005:$S$1005,1,MATCH(COLUMNS($P$1006:S1006),$P$1006:$S$1006,0))&gt;=100000), " ",IF(INDEX($P$2:$S$1001,MATCH(ROWS($I$2:I987),$I$2:$I$1001,0),MATCH(COLUMNS($P$1006:S1006),$P$1006:$S$1006,0)), HYPERLINK("#",""), HYPERLINK(CONCATENATE("#metadata!", ADDRESS(INDEX($K$2:$K$1001,MATCH(ROWS($I$2:I987),$I$2:$I$1001,0),0), INDEX($P$1004:$S$1004,1,MATCH(COLUMNS($P$1006:S1006),$P$1006:$S$1006,0)))),"Fix")))</f>
        <v>0</v>
      </c>
      <c r="I987">
        <v>0</v>
      </c>
      <c r="J987">
        <v>0</v>
      </c>
      <c r="K987">
        <v>0</v>
      </c>
      <c r="L987">
        <f>IF(M987,TRUE,AND(P987:S987))</f>
        <v>0</v>
      </c>
      <c r="M987">
        <f>COUNTBLANK(metadata!B987:E987)=COLUMNS(metadata!B987:E987)</f>
        <v>0</v>
      </c>
      <c r="N987">
        <v>0</v>
      </c>
      <c r="P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Q987">
        <f>AND(IF(metadata!C987="",FALSE,TRUE),exact(metadata!C987,"other"))</f>
        <v>0</v>
      </c>
      <c r="R987">
        <f>AND(IF(metadata!D987="",FALSE,TRUE),exact(metadata!D987,"metagenome"))</f>
        <v>0</v>
      </c>
      <c r="S987">
        <f>AND(IF(metadata!E987="",FALSE,TRUE),exact(metadata!E987,"256318"))</f>
        <v>0</v>
      </c>
    </row>
    <row r="988" spans="1:19">
      <c r="A988" s="4">
        <f>IF(B988=" "," ",HYPERLINK(CONCATENATE("#metadata!",ADDRESS(INDEX($K$2:$K$1001,MATCH(ROWS($I$2:I988),$I$2:$I$1001,0),0),1)),INDEX($N$2:$N$1001,MATCH(ROWS($I$2:I988),$I$2:$I$1001,0),0)))</f>
        <v>0</v>
      </c>
      <c r="B988" s="3">
        <f>IF(OR(INDEX($J$2:$J$1001,MATCH(ROWS($I$2:I988),$I$2:$I$1001,0),1)&gt;=100000,INDEX($P$1005:$S$1005,1,MATCH(COLUMNS($P$1006:P1006),$P$1006:$S$1006,0))&gt;=100000), " ",IF(INDEX($P$2:$S$1001,MATCH(ROWS($I$2:I988),$I$2:$I$1001,0),MATCH(COLUMNS($P$1006:P1006),$P$1006:$S$1006,0)), HYPERLINK("#",""), HYPERLINK(CONCATENATE("#metadata!", ADDRESS(INDEX($K$2:$K$1001,MATCH(ROWS($I$2:I988),$I$2:$I$1001,0),0), INDEX($P$1004:$S$1004,1,MATCH(COLUMNS($P$1006:P1006),$P$1006:$S$1006,0)))),"Fix")))</f>
        <v>0</v>
      </c>
      <c r="C988" s="3">
        <f>IF(OR(INDEX($J$2:$J$1001,MATCH(ROWS($I$2:I988),$I$2:$I$1001,0),1)&gt;=100000,INDEX($P$1005:$S$1005,1,MATCH(COLUMNS($P$1006:Q1006),$P$1006:$S$1006,0))&gt;=100000), " ",IF(INDEX($P$2:$S$1001,MATCH(ROWS($I$2:I988),$I$2:$I$1001,0),MATCH(COLUMNS($P$1006:Q1006),$P$1006:$S$1006,0)), HYPERLINK("#",""), HYPERLINK(CONCATENATE("#metadata!", ADDRESS(INDEX($K$2:$K$1001,MATCH(ROWS($I$2:I988),$I$2:$I$1001,0),0), INDEX($P$1004:$S$1004,1,MATCH(COLUMNS($P$1006:Q1006),$P$1006:$S$1006,0)))),"Fix")))</f>
        <v>0</v>
      </c>
      <c r="D988" s="3">
        <f>IF(OR(INDEX($J$2:$J$1001,MATCH(ROWS($I$2:I988),$I$2:$I$1001,0),1)&gt;=100000,INDEX($P$1005:$S$1005,1,MATCH(COLUMNS($P$1006:R1006),$P$1006:$S$1006,0))&gt;=100000), " ",IF(INDEX($P$2:$S$1001,MATCH(ROWS($I$2:I988),$I$2:$I$1001,0),MATCH(COLUMNS($P$1006:R1006),$P$1006:$S$1006,0)), HYPERLINK("#",""), HYPERLINK(CONCATENATE("#metadata!", ADDRESS(INDEX($K$2:$K$1001,MATCH(ROWS($I$2:I988),$I$2:$I$1001,0),0), INDEX($P$1004:$S$1004,1,MATCH(COLUMNS($P$1006:R1006),$P$1006:$S$1006,0)))),"Fix")))</f>
        <v>0</v>
      </c>
      <c r="E988" s="3">
        <f>IF(OR(INDEX($J$2:$J$1001,MATCH(ROWS($I$2:I988),$I$2:$I$1001,0),1)&gt;=100000,INDEX($P$1005:$S$1005,1,MATCH(COLUMNS($P$1006:S1006),$P$1006:$S$1006,0))&gt;=100000), " ",IF(INDEX($P$2:$S$1001,MATCH(ROWS($I$2:I988),$I$2:$I$1001,0),MATCH(COLUMNS($P$1006:S1006),$P$1006:$S$1006,0)), HYPERLINK("#",""), HYPERLINK(CONCATENATE("#metadata!", ADDRESS(INDEX($K$2:$K$1001,MATCH(ROWS($I$2:I988),$I$2:$I$1001,0),0), INDEX($P$1004:$S$1004,1,MATCH(COLUMNS($P$1006:S1006),$P$1006:$S$1006,0)))),"Fix")))</f>
        <v>0</v>
      </c>
      <c r="I988">
        <v>0</v>
      </c>
      <c r="J988">
        <v>0</v>
      </c>
      <c r="K988">
        <v>0</v>
      </c>
      <c r="L988">
        <f>IF(M988,TRUE,AND(P988:S988))</f>
        <v>0</v>
      </c>
      <c r="M988">
        <f>COUNTBLANK(metadata!B988:E988)=COLUMNS(metadata!B988:E988)</f>
        <v>0</v>
      </c>
      <c r="N988">
        <v>0</v>
      </c>
      <c r="P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Q988">
        <f>AND(IF(metadata!C988="",FALSE,TRUE),exact(metadata!C988,"other"))</f>
        <v>0</v>
      </c>
      <c r="R988">
        <f>AND(IF(metadata!D988="",FALSE,TRUE),exact(metadata!D988,"metagenome"))</f>
        <v>0</v>
      </c>
      <c r="S988">
        <f>AND(IF(metadata!E988="",FALSE,TRUE),exact(metadata!E988,"256318"))</f>
        <v>0</v>
      </c>
    </row>
    <row r="989" spans="1:19">
      <c r="A989" s="4">
        <f>IF(B989=" "," ",HYPERLINK(CONCATENATE("#metadata!",ADDRESS(INDEX($K$2:$K$1001,MATCH(ROWS($I$2:I989),$I$2:$I$1001,0),0),1)),INDEX($N$2:$N$1001,MATCH(ROWS($I$2:I989),$I$2:$I$1001,0),0)))</f>
        <v>0</v>
      </c>
      <c r="B989" s="3">
        <f>IF(OR(INDEX($J$2:$J$1001,MATCH(ROWS($I$2:I989),$I$2:$I$1001,0),1)&gt;=100000,INDEX($P$1005:$S$1005,1,MATCH(COLUMNS($P$1006:P1006),$P$1006:$S$1006,0))&gt;=100000), " ",IF(INDEX($P$2:$S$1001,MATCH(ROWS($I$2:I989),$I$2:$I$1001,0),MATCH(COLUMNS($P$1006:P1006),$P$1006:$S$1006,0)), HYPERLINK("#",""), HYPERLINK(CONCATENATE("#metadata!", ADDRESS(INDEX($K$2:$K$1001,MATCH(ROWS($I$2:I989),$I$2:$I$1001,0),0), INDEX($P$1004:$S$1004,1,MATCH(COLUMNS($P$1006:P1006),$P$1006:$S$1006,0)))),"Fix")))</f>
        <v>0</v>
      </c>
      <c r="C989" s="3">
        <f>IF(OR(INDEX($J$2:$J$1001,MATCH(ROWS($I$2:I989),$I$2:$I$1001,0),1)&gt;=100000,INDEX($P$1005:$S$1005,1,MATCH(COLUMNS($P$1006:Q1006),$P$1006:$S$1006,0))&gt;=100000), " ",IF(INDEX($P$2:$S$1001,MATCH(ROWS($I$2:I989),$I$2:$I$1001,0),MATCH(COLUMNS($P$1006:Q1006),$P$1006:$S$1006,0)), HYPERLINK("#",""), HYPERLINK(CONCATENATE("#metadata!", ADDRESS(INDEX($K$2:$K$1001,MATCH(ROWS($I$2:I989),$I$2:$I$1001,0),0), INDEX($P$1004:$S$1004,1,MATCH(COLUMNS($P$1006:Q1006),$P$1006:$S$1006,0)))),"Fix")))</f>
        <v>0</v>
      </c>
      <c r="D989" s="3">
        <f>IF(OR(INDEX($J$2:$J$1001,MATCH(ROWS($I$2:I989),$I$2:$I$1001,0),1)&gt;=100000,INDEX($P$1005:$S$1005,1,MATCH(COLUMNS($P$1006:R1006),$P$1006:$S$1006,0))&gt;=100000), " ",IF(INDEX($P$2:$S$1001,MATCH(ROWS($I$2:I989),$I$2:$I$1001,0),MATCH(COLUMNS($P$1006:R1006),$P$1006:$S$1006,0)), HYPERLINK("#",""), HYPERLINK(CONCATENATE("#metadata!", ADDRESS(INDEX($K$2:$K$1001,MATCH(ROWS($I$2:I989),$I$2:$I$1001,0),0), INDEX($P$1004:$S$1004,1,MATCH(COLUMNS($P$1006:R1006),$P$1006:$S$1006,0)))),"Fix")))</f>
        <v>0</v>
      </c>
      <c r="E989" s="3">
        <f>IF(OR(INDEX($J$2:$J$1001,MATCH(ROWS($I$2:I989),$I$2:$I$1001,0),1)&gt;=100000,INDEX($P$1005:$S$1005,1,MATCH(COLUMNS($P$1006:S1006),$P$1006:$S$1006,0))&gt;=100000), " ",IF(INDEX($P$2:$S$1001,MATCH(ROWS($I$2:I989),$I$2:$I$1001,0),MATCH(COLUMNS($P$1006:S1006),$P$1006:$S$1006,0)), HYPERLINK("#",""), HYPERLINK(CONCATENATE("#metadata!", ADDRESS(INDEX($K$2:$K$1001,MATCH(ROWS($I$2:I989),$I$2:$I$1001,0),0), INDEX($P$1004:$S$1004,1,MATCH(COLUMNS($P$1006:S1006),$P$1006:$S$1006,0)))),"Fix")))</f>
        <v>0</v>
      </c>
      <c r="I989">
        <v>0</v>
      </c>
      <c r="J989">
        <v>0</v>
      </c>
      <c r="K989">
        <v>0</v>
      </c>
      <c r="L989">
        <f>IF(M989,TRUE,AND(P989:S989))</f>
        <v>0</v>
      </c>
      <c r="M989">
        <f>COUNTBLANK(metadata!B989:E989)=COLUMNS(metadata!B989:E989)</f>
        <v>0</v>
      </c>
      <c r="N989">
        <v>0</v>
      </c>
      <c r="P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Q989">
        <f>AND(IF(metadata!C989="",FALSE,TRUE),exact(metadata!C989,"other"))</f>
        <v>0</v>
      </c>
      <c r="R989">
        <f>AND(IF(metadata!D989="",FALSE,TRUE),exact(metadata!D989,"metagenome"))</f>
        <v>0</v>
      </c>
      <c r="S989">
        <f>AND(IF(metadata!E989="",FALSE,TRUE),exact(metadata!E989,"256318"))</f>
        <v>0</v>
      </c>
    </row>
    <row r="990" spans="1:19">
      <c r="A990" s="4">
        <f>IF(B990=" "," ",HYPERLINK(CONCATENATE("#metadata!",ADDRESS(INDEX($K$2:$K$1001,MATCH(ROWS($I$2:I990),$I$2:$I$1001,0),0),1)),INDEX($N$2:$N$1001,MATCH(ROWS($I$2:I990),$I$2:$I$1001,0),0)))</f>
        <v>0</v>
      </c>
      <c r="B990" s="3">
        <f>IF(OR(INDEX($J$2:$J$1001,MATCH(ROWS($I$2:I990),$I$2:$I$1001,0),1)&gt;=100000,INDEX($P$1005:$S$1005,1,MATCH(COLUMNS($P$1006:P1006),$P$1006:$S$1006,0))&gt;=100000), " ",IF(INDEX($P$2:$S$1001,MATCH(ROWS($I$2:I990),$I$2:$I$1001,0),MATCH(COLUMNS($P$1006:P1006),$P$1006:$S$1006,0)), HYPERLINK("#",""), HYPERLINK(CONCATENATE("#metadata!", ADDRESS(INDEX($K$2:$K$1001,MATCH(ROWS($I$2:I990),$I$2:$I$1001,0),0), INDEX($P$1004:$S$1004,1,MATCH(COLUMNS($P$1006:P1006),$P$1006:$S$1006,0)))),"Fix")))</f>
        <v>0</v>
      </c>
      <c r="C990" s="3">
        <f>IF(OR(INDEX($J$2:$J$1001,MATCH(ROWS($I$2:I990),$I$2:$I$1001,0),1)&gt;=100000,INDEX($P$1005:$S$1005,1,MATCH(COLUMNS($P$1006:Q1006),$P$1006:$S$1006,0))&gt;=100000), " ",IF(INDEX($P$2:$S$1001,MATCH(ROWS($I$2:I990),$I$2:$I$1001,0),MATCH(COLUMNS($P$1006:Q1006),$P$1006:$S$1006,0)), HYPERLINK("#",""), HYPERLINK(CONCATENATE("#metadata!", ADDRESS(INDEX($K$2:$K$1001,MATCH(ROWS($I$2:I990),$I$2:$I$1001,0),0), INDEX($P$1004:$S$1004,1,MATCH(COLUMNS($P$1006:Q1006),$P$1006:$S$1006,0)))),"Fix")))</f>
        <v>0</v>
      </c>
      <c r="D990" s="3">
        <f>IF(OR(INDEX($J$2:$J$1001,MATCH(ROWS($I$2:I990),$I$2:$I$1001,0),1)&gt;=100000,INDEX($P$1005:$S$1005,1,MATCH(COLUMNS($P$1006:R1006),$P$1006:$S$1006,0))&gt;=100000), " ",IF(INDEX($P$2:$S$1001,MATCH(ROWS($I$2:I990),$I$2:$I$1001,0),MATCH(COLUMNS($P$1006:R1006),$P$1006:$S$1006,0)), HYPERLINK("#",""), HYPERLINK(CONCATENATE("#metadata!", ADDRESS(INDEX($K$2:$K$1001,MATCH(ROWS($I$2:I990),$I$2:$I$1001,0),0), INDEX($P$1004:$S$1004,1,MATCH(COLUMNS($P$1006:R1006),$P$1006:$S$1006,0)))),"Fix")))</f>
        <v>0</v>
      </c>
      <c r="E990" s="3">
        <f>IF(OR(INDEX($J$2:$J$1001,MATCH(ROWS($I$2:I990),$I$2:$I$1001,0),1)&gt;=100000,INDEX($P$1005:$S$1005,1,MATCH(COLUMNS($P$1006:S1006),$P$1006:$S$1006,0))&gt;=100000), " ",IF(INDEX($P$2:$S$1001,MATCH(ROWS($I$2:I990),$I$2:$I$1001,0),MATCH(COLUMNS($P$1006:S1006),$P$1006:$S$1006,0)), HYPERLINK("#",""), HYPERLINK(CONCATENATE("#metadata!", ADDRESS(INDEX($K$2:$K$1001,MATCH(ROWS($I$2:I990),$I$2:$I$1001,0),0), INDEX($P$1004:$S$1004,1,MATCH(COLUMNS($P$1006:S1006),$P$1006:$S$1006,0)))),"Fix")))</f>
        <v>0</v>
      </c>
      <c r="I990">
        <v>0</v>
      </c>
      <c r="J990">
        <v>0</v>
      </c>
      <c r="K990">
        <v>0</v>
      </c>
      <c r="L990">
        <f>IF(M990,TRUE,AND(P990:S990))</f>
        <v>0</v>
      </c>
      <c r="M990">
        <f>COUNTBLANK(metadata!B990:E990)=COLUMNS(metadata!B990:E990)</f>
        <v>0</v>
      </c>
      <c r="N990">
        <v>0</v>
      </c>
      <c r="P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Q990">
        <f>AND(IF(metadata!C990="",FALSE,TRUE),exact(metadata!C990,"other"))</f>
        <v>0</v>
      </c>
      <c r="R990">
        <f>AND(IF(metadata!D990="",FALSE,TRUE),exact(metadata!D990,"metagenome"))</f>
        <v>0</v>
      </c>
      <c r="S990">
        <f>AND(IF(metadata!E990="",FALSE,TRUE),exact(metadata!E990,"256318"))</f>
        <v>0</v>
      </c>
    </row>
    <row r="991" spans="1:19">
      <c r="A991" s="4">
        <f>IF(B991=" "," ",HYPERLINK(CONCATENATE("#metadata!",ADDRESS(INDEX($K$2:$K$1001,MATCH(ROWS($I$2:I991),$I$2:$I$1001,0),0),1)),INDEX($N$2:$N$1001,MATCH(ROWS($I$2:I991),$I$2:$I$1001,0),0)))</f>
        <v>0</v>
      </c>
      <c r="B991" s="3">
        <f>IF(OR(INDEX($J$2:$J$1001,MATCH(ROWS($I$2:I991),$I$2:$I$1001,0),1)&gt;=100000,INDEX($P$1005:$S$1005,1,MATCH(COLUMNS($P$1006:P1006),$P$1006:$S$1006,0))&gt;=100000), " ",IF(INDEX($P$2:$S$1001,MATCH(ROWS($I$2:I991),$I$2:$I$1001,0),MATCH(COLUMNS($P$1006:P1006),$P$1006:$S$1006,0)), HYPERLINK("#",""), HYPERLINK(CONCATENATE("#metadata!", ADDRESS(INDEX($K$2:$K$1001,MATCH(ROWS($I$2:I991),$I$2:$I$1001,0),0), INDEX($P$1004:$S$1004,1,MATCH(COLUMNS($P$1006:P1006),$P$1006:$S$1006,0)))),"Fix")))</f>
        <v>0</v>
      </c>
      <c r="C991" s="3">
        <f>IF(OR(INDEX($J$2:$J$1001,MATCH(ROWS($I$2:I991),$I$2:$I$1001,0),1)&gt;=100000,INDEX($P$1005:$S$1005,1,MATCH(COLUMNS($P$1006:Q1006),$P$1006:$S$1006,0))&gt;=100000), " ",IF(INDEX($P$2:$S$1001,MATCH(ROWS($I$2:I991),$I$2:$I$1001,0),MATCH(COLUMNS($P$1006:Q1006),$P$1006:$S$1006,0)), HYPERLINK("#",""), HYPERLINK(CONCATENATE("#metadata!", ADDRESS(INDEX($K$2:$K$1001,MATCH(ROWS($I$2:I991),$I$2:$I$1001,0),0), INDEX($P$1004:$S$1004,1,MATCH(COLUMNS($P$1006:Q1006),$P$1006:$S$1006,0)))),"Fix")))</f>
        <v>0</v>
      </c>
      <c r="D991" s="3">
        <f>IF(OR(INDEX($J$2:$J$1001,MATCH(ROWS($I$2:I991),$I$2:$I$1001,0),1)&gt;=100000,INDEX($P$1005:$S$1005,1,MATCH(COLUMNS($P$1006:R1006),$P$1006:$S$1006,0))&gt;=100000), " ",IF(INDEX($P$2:$S$1001,MATCH(ROWS($I$2:I991),$I$2:$I$1001,0),MATCH(COLUMNS($P$1006:R1006),$P$1006:$S$1006,0)), HYPERLINK("#",""), HYPERLINK(CONCATENATE("#metadata!", ADDRESS(INDEX($K$2:$K$1001,MATCH(ROWS($I$2:I991),$I$2:$I$1001,0),0), INDEX($P$1004:$S$1004,1,MATCH(COLUMNS($P$1006:R1006),$P$1006:$S$1006,0)))),"Fix")))</f>
        <v>0</v>
      </c>
      <c r="E991" s="3">
        <f>IF(OR(INDEX($J$2:$J$1001,MATCH(ROWS($I$2:I991),$I$2:$I$1001,0),1)&gt;=100000,INDEX($P$1005:$S$1005,1,MATCH(COLUMNS($P$1006:S1006),$P$1006:$S$1006,0))&gt;=100000), " ",IF(INDEX($P$2:$S$1001,MATCH(ROWS($I$2:I991),$I$2:$I$1001,0),MATCH(COLUMNS($P$1006:S1006),$P$1006:$S$1006,0)), HYPERLINK("#",""), HYPERLINK(CONCATENATE("#metadata!", ADDRESS(INDEX($K$2:$K$1001,MATCH(ROWS($I$2:I991),$I$2:$I$1001,0),0), INDEX($P$1004:$S$1004,1,MATCH(COLUMNS($P$1006:S1006),$P$1006:$S$1006,0)))),"Fix")))</f>
        <v>0</v>
      </c>
      <c r="I991">
        <v>0</v>
      </c>
      <c r="J991">
        <v>0</v>
      </c>
      <c r="K991">
        <v>0</v>
      </c>
      <c r="L991">
        <f>IF(M991,TRUE,AND(P991:S991))</f>
        <v>0</v>
      </c>
      <c r="M991">
        <f>COUNTBLANK(metadata!B991:E991)=COLUMNS(metadata!B991:E991)</f>
        <v>0</v>
      </c>
      <c r="N991">
        <v>0</v>
      </c>
      <c r="P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Q991">
        <f>AND(IF(metadata!C991="",FALSE,TRUE),exact(metadata!C991,"other"))</f>
        <v>0</v>
      </c>
      <c r="R991">
        <f>AND(IF(metadata!D991="",FALSE,TRUE),exact(metadata!D991,"metagenome"))</f>
        <v>0</v>
      </c>
      <c r="S991">
        <f>AND(IF(metadata!E991="",FALSE,TRUE),exact(metadata!E991,"256318"))</f>
        <v>0</v>
      </c>
    </row>
    <row r="992" spans="1:19">
      <c r="A992" s="4">
        <f>IF(B992=" "," ",HYPERLINK(CONCATENATE("#metadata!",ADDRESS(INDEX($K$2:$K$1001,MATCH(ROWS($I$2:I992),$I$2:$I$1001,0),0),1)),INDEX($N$2:$N$1001,MATCH(ROWS($I$2:I992),$I$2:$I$1001,0),0)))</f>
        <v>0</v>
      </c>
      <c r="B992" s="3">
        <f>IF(OR(INDEX($J$2:$J$1001,MATCH(ROWS($I$2:I992),$I$2:$I$1001,0),1)&gt;=100000,INDEX($P$1005:$S$1005,1,MATCH(COLUMNS($P$1006:P1006),$P$1006:$S$1006,0))&gt;=100000), " ",IF(INDEX($P$2:$S$1001,MATCH(ROWS($I$2:I992),$I$2:$I$1001,0),MATCH(COLUMNS($P$1006:P1006),$P$1006:$S$1006,0)), HYPERLINK("#",""), HYPERLINK(CONCATENATE("#metadata!", ADDRESS(INDEX($K$2:$K$1001,MATCH(ROWS($I$2:I992),$I$2:$I$1001,0),0), INDEX($P$1004:$S$1004,1,MATCH(COLUMNS($P$1006:P1006),$P$1006:$S$1006,0)))),"Fix")))</f>
        <v>0</v>
      </c>
      <c r="C992" s="3">
        <f>IF(OR(INDEX($J$2:$J$1001,MATCH(ROWS($I$2:I992),$I$2:$I$1001,0),1)&gt;=100000,INDEX($P$1005:$S$1005,1,MATCH(COLUMNS($P$1006:Q1006),$P$1006:$S$1006,0))&gt;=100000), " ",IF(INDEX($P$2:$S$1001,MATCH(ROWS($I$2:I992),$I$2:$I$1001,0),MATCH(COLUMNS($P$1006:Q1006),$P$1006:$S$1006,0)), HYPERLINK("#",""), HYPERLINK(CONCATENATE("#metadata!", ADDRESS(INDEX($K$2:$K$1001,MATCH(ROWS($I$2:I992),$I$2:$I$1001,0),0), INDEX($P$1004:$S$1004,1,MATCH(COLUMNS($P$1006:Q1006),$P$1006:$S$1006,0)))),"Fix")))</f>
        <v>0</v>
      </c>
      <c r="D992" s="3">
        <f>IF(OR(INDEX($J$2:$J$1001,MATCH(ROWS($I$2:I992),$I$2:$I$1001,0),1)&gt;=100000,INDEX($P$1005:$S$1005,1,MATCH(COLUMNS($P$1006:R1006),$P$1006:$S$1006,0))&gt;=100000), " ",IF(INDEX($P$2:$S$1001,MATCH(ROWS($I$2:I992),$I$2:$I$1001,0),MATCH(COLUMNS($P$1006:R1006),$P$1006:$S$1006,0)), HYPERLINK("#",""), HYPERLINK(CONCATENATE("#metadata!", ADDRESS(INDEX($K$2:$K$1001,MATCH(ROWS($I$2:I992),$I$2:$I$1001,0),0), INDEX($P$1004:$S$1004,1,MATCH(COLUMNS($P$1006:R1006),$P$1006:$S$1006,0)))),"Fix")))</f>
        <v>0</v>
      </c>
      <c r="E992" s="3">
        <f>IF(OR(INDEX($J$2:$J$1001,MATCH(ROWS($I$2:I992),$I$2:$I$1001,0),1)&gt;=100000,INDEX($P$1005:$S$1005,1,MATCH(COLUMNS($P$1006:S1006),$P$1006:$S$1006,0))&gt;=100000), " ",IF(INDEX($P$2:$S$1001,MATCH(ROWS($I$2:I992),$I$2:$I$1001,0),MATCH(COLUMNS($P$1006:S1006),$P$1006:$S$1006,0)), HYPERLINK("#",""), HYPERLINK(CONCATENATE("#metadata!", ADDRESS(INDEX($K$2:$K$1001,MATCH(ROWS($I$2:I992),$I$2:$I$1001,0),0), INDEX($P$1004:$S$1004,1,MATCH(COLUMNS($P$1006:S1006),$P$1006:$S$1006,0)))),"Fix")))</f>
        <v>0</v>
      </c>
      <c r="I992">
        <v>0</v>
      </c>
      <c r="J992">
        <v>0</v>
      </c>
      <c r="K992">
        <v>0</v>
      </c>
      <c r="L992">
        <f>IF(M992,TRUE,AND(P992:S992))</f>
        <v>0</v>
      </c>
      <c r="M992">
        <f>COUNTBLANK(metadata!B992:E992)=COLUMNS(metadata!B992:E992)</f>
        <v>0</v>
      </c>
      <c r="N992">
        <v>0</v>
      </c>
      <c r="P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Q992">
        <f>AND(IF(metadata!C992="",FALSE,TRUE),exact(metadata!C992,"other"))</f>
        <v>0</v>
      </c>
      <c r="R992">
        <f>AND(IF(metadata!D992="",FALSE,TRUE),exact(metadata!D992,"metagenome"))</f>
        <v>0</v>
      </c>
      <c r="S992">
        <f>AND(IF(metadata!E992="",FALSE,TRUE),exact(metadata!E992,"256318"))</f>
        <v>0</v>
      </c>
    </row>
    <row r="993" spans="1:19">
      <c r="A993" s="4">
        <f>IF(B993=" "," ",HYPERLINK(CONCATENATE("#metadata!",ADDRESS(INDEX($K$2:$K$1001,MATCH(ROWS($I$2:I993),$I$2:$I$1001,0),0),1)),INDEX($N$2:$N$1001,MATCH(ROWS($I$2:I993),$I$2:$I$1001,0),0)))</f>
        <v>0</v>
      </c>
      <c r="B993" s="3">
        <f>IF(OR(INDEX($J$2:$J$1001,MATCH(ROWS($I$2:I993),$I$2:$I$1001,0),1)&gt;=100000,INDEX($P$1005:$S$1005,1,MATCH(COLUMNS($P$1006:P1006),$P$1006:$S$1006,0))&gt;=100000), " ",IF(INDEX($P$2:$S$1001,MATCH(ROWS($I$2:I993),$I$2:$I$1001,0),MATCH(COLUMNS($P$1006:P1006),$P$1006:$S$1006,0)), HYPERLINK("#",""), HYPERLINK(CONCATENATE("#metadata!", ADDRESS(INDEX($K$2:$K$1001,MATCH(ROWS($I$2:I993),$I$2:$I$1001,0),0), INDEX($P$1004:$S$1004,1,MATCH(COLUMNS($P$1006:P1006),$P$1006:$S$1006,0)))),"Fix")))</f>
        <v>0</v>
      </c>
      <c r="C993" s="3">
        <f>IF(OR(INDEX($J$2:$J$1001,MATCH(ROWS($I$2:I993),$I$2:$I$1001,0),1)&gt;=100000,INDEX($P$1005:$S$1005,1,MATCH(COLUMNS($P$1006:Q1006),$P$1006:$S$1006,0))&gt;=100000), " ",IF(INDEX($P$2:$S$1001,MATCH(ROWS($I$2:I993),$I$2:$I$1001,0),MATCH(COLUMNS($P$1006:Q1006),$P$1006:$S$1006,0)), HYPERLINK("#",""), HYPERLINK(CONCATENATE("#metadata!", ADDRESS(INDEX($K$2:$K$1001,MATCH(ROWS($I$2:I993),$I$2:$I$1001,0),0), INDEX($P$1004:$S$1004,1,MATCH(COLUMNS($P$1006:Q1006),$P$1006:$S$1006,0)))),"Fix")))</f>
        <v>0</v>
      </c>
      <c r="D993" s="3">
        <f>IF(OR(INDEX($J$2:$J$1001,MATCH(ROWS($I$2:I993),$I$2:$I$1001,0),1)&gt;=100000,INDEX($P$1005:$S$1005,1,MATCH(COLUMNS($P$1006:R1006),$P$1006:$S$1006,0))&gt;=100000), " ",IF(INDEX($P$2:$S$1001,MATCH(ROWS($I$2:I993),$I$2:$I$1001,0),MATCH(COLUMNS($P$1006:R1006),$P$1006:$S$1006,0)), HYPERLINK("#",""), HYPERLINK(CONCATENATE("#metadata!", ADDRESS(INDEX($K$2:$K$1001,MATCH(ROWS($I$2:I993),$I$2:$I$1001,0),0), INDEX($P$1004:$S$1004,1,MATCH(COLUMNS($P$1006:R1006),$P$1006:$S$1006,0)))),"Fix")))</f>
        <v>0</v>
      </c>
      <c r="E993" s="3">
        <f>IF(OR(INDEX($J$2:$J$1001,MATCH(ROWS($I$2:I993),$I$2:$I$1001,0),1)&gt;=100000,INDEX($P$1005:$S$1005,1,MATCH(COLUMNS($P$1006:S1006),$P$1006:$S$1006,0))&gt;=100000), " ",IF(INDEX($P$2:$S$1001,MATCH(ROWS($I$2:I993),$I$2:$I$1001,0),MATCH(COLUMNS($P$1006:S1006),$P$1006:$S$1006,0)), HYPERLINK("#",""), HYPERLINK(CONCATENATE("#metadata!", ADDRESS(INDEX($K$2:$K$1001,MATCH(ROWS($I$2:I993),$I$2:$I$1001,0),0), INDEX($P$1004:$S$1004,1,MATCH(COLUMNS($P$1006:S1006),$P$1006:$S$1006,0)))),"Fix")))</f>
        <v>0</v>
      </c>
      <c r="I993">
        <v>0</v>
      </c>
      <c r="J993">
        <v>0</v>
      </c>
      <c r="K993">
        <v>0</v>
      </c>
      <c r="L993">
        <f>IF(M993,TRUE,AND(P993:S993))</f>
        <v>0</v>
      </c>
      <c r="M993">
        <f>COUNTBLANK(metadata!B993:E993)=COLUMNS(metadata!B993:E993)</f>
        <v>0</v>
      </c>
      <c r="N993">
        <v>0</v>
      </c>
      <c r="P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Q993">
        <f>AND(IF(metadata!C993="",FALSE,TRUE),exact(metadata!C993,"other"))</f>
        <v>0</v>
      </c>
      <c r="R993">
        <f>AND(IF(metadata!D993="",FALSE,TRUE),exact(metadata!D993,"metagenome"))</f>
        <v>0</v>
      </c>
      <c r="S993">
        <f>AND(IF(metadata!E993="",FALSE,TRUE),exact(metadata!E993,"256318"))</f>
        <v>0</v>
      </c>
    </row>
    <row r="994" spans="1:19">
      <c r="A994" s="4">
        <f>IF(B994=" "," ",HYPERLINK(CONCATENATE("#metadata!",ADDRESS(INDEX($K$2:$K$1001,MATCH(ROWS($I$2:I994),$I$2:$I$1001,0),0),1)),INDEX($N$2:$N$1001,MATCH(ROWS($I$2:I994),$I$2:$I$1001,0),0)))</f>
        <v>0</v>
      </c>
      <c r="B994" s="3">
        <f>IF(OR(INDEX($J$2:$J$1001,MATCH(ROWS($I$2:I994),$I$2:$I$1001,0),1)&gt;=100000,INDEX($P$1005:$S$1005,1,MATCH(COLUMNS($P$1006:P1006),$P$1006:$S$1006,0))&gt;=100000), " ",IF(INDEX($P$2:$S$1001,MATCH(ROWS($I$2:I994),$I$2:$I$1001,0),MATCH(COLUMNS($P$1006:P1006),$P$1006:$S$1006,0)), HYPERLINK("#",""), HYPERLINK(CONCATENATE("#metadata!", ADDRESS(INDEX($K$2:$K$1001,MATCH(ROWS($I$2:I994),$I$2:$I$1001,0),0), INDEX($P$1004:$S$1004,1,MATCH(COLUMNS($P$1006:P1006),$P$1006:$S$1006,0)))),"Fix")))</f>
        <v>0</v>
      </c>
      <c r="C994" s="3">
        <f>IF(OR(INDEX($J$2:$J$1001,MATCH(ROWS($I$2:I994),$I$2:$I$1001,0),1)&gt;=100000,INDEX($P$1005:$S$1005,1,MATCH(COLUMNS($P$1006:Q1006),$P$1006:$S$1006,0))&gt;=100000), " ",IF(INDEX($P$2:$S$1001,MATCH(ROWS($I$2:I994),$I$2:$I$1001,0),MATCH(COLUMNS($P$1006:Q1006),$P$1006:$S$1006,0)), HYPERLINK("#",""), HYPERLINK(CONCATENATE("#metadata!", ADDRESS(INDEX($K$2:$K$1001,MATCH(ROWS($I$2:I994),$I$2:$I$1001,0),0), INDEX($P$1004:$S$1004,1,MATCH(COLUMNS($P$1006:Q1006),$P$1006:$S$1006,0)))),"Fix")))</f>
        <v>0</v>
      </c>
      <c r="D994" s="3">
        <f>IF(OR(INDEX($J$2:$J$1001,MATCH(ROWS($I$2:I994),$I$2:$I$1001,0),1)&gt;=100000,INDEX($P$1005:$S$1005,1,MATCH(COLUMNS($P$1006:R1006),$P$1006:$S$1006,0))&gt;=100000), " ",IF(INDEX($P$2:$S$1001,MATCH(ROWS($I$2:I994),$I$2:$I$1001,0),MATCH(COLUMNS($P$1006:R1006),$P$1006:$S$1006,0)), HYPERLINK("#",""), HYPERLINK(CONCATENATE("#metadata!", ADDRESS(INDEX($K$2:$K$1001,MATCH(ROWS($I$2:I994),$I$2:$I$1001,0),0), INDEX($P$1004:$S$1004,1,MATCH(COLUMNS($P$1006:R1006),$P$1006:$S$1006,0)))),"Fix")))</f>
        <v>0</v>
      </c>
      <c r="E994" s="3">
        <f>IF(OR(INDEX($J$2:$J$1001,MATCH(ROWS($I$2:I994),$I$2:$I$1001,0),1)&gt;=100000,INDEX($P$1005:$S$1005,1,MATCH(COLUMNS($P$1006:S1006),$P$1006:$S$1006,0))&gt;=100000), " ",IF(INDEX($P$2:$S$1001,MATCH(ROWS($I$2:I994),$I$2:$I$1001,0),MATCH(COLUMNS($P$1006:S1006),$P$1006:$S$1006,0)), HYPERLINK("#",""), HYPERLINK(CONCATENATE("#metadata!", ADDRESS(INDEX($K$2:$K$1001,MATCH(ROWS($I$2:I994),$I$2:$I$1001,0),0), INDEX($P$1004:$S$1004,1,MATCH(COLUMNS($P$1006:S1006),$P$1006:$S$1006,0)))),"Fix")))</f>
        <v>0</v>
      </c>
      <c r="I994">
        <v>0</v>
      </c>
      <c r="J994">
        <v>0</v>
      </c>
      <c r="K994">
        <v>0</v>
      </c>
      <c r="L994">
        <f>IF(M994,TRUE,AND(P994:S994))</f>
        <v>0</v>
      </c>
      <c r="M994">
        <f>COUNTBLANK(metadata!B994:E994)=COLUMNS(metadata!B994:E994)</f>
        <v>0</v>
      </c>
      <c r="N994">
        <v>0</v>
      </c>
      <c r="P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Q994">
        <f>AND(IF(metadata!C994="",FALSE,TRUE),exact(metadata!C994,"other"))</f>
        <v>0</v>
      </c>
      <c r="R994">
        <f>AND(IF(metadata!D994="",FALSE,TRUE),exact(metadata!D994,"metagenome"))</f>
        <v>0</v>
      </c>
      <c r="S994">
        <f>AND(IF(metadata!E994="",FALSE,TRUE),exact(metadata!E994,"256318"))</f>
        <v>0</v>
      </c>
    </row>
    <row r="995" spans="1:19">
      <c r="A995" s="4">
        <f>IF(B995=" "," ",HYPERLINK(CONCATENATE("#metadata!",ADDRESS(INDEX($K$2:$K$1001,MATCH(ROWS($I$2:I995),$I$2:$I$1001,0),0),1)),INDEX($N$2:$N$1001,MATCH(ROWS($I$2:I995),$I$2:$I$1001,0),0)))</f>
        <v>0</v>
      </c>
      <c r="B995" s="3">
        <f>IF(OR(INDEX($J$2:$J$1001,MATCH(ROWS($I$2:I995),$I$2:$I$1001,0),1)&gt;=100000,INDEX($P$1005:$S$1005,1,MATCH(COLUMNS($P$1006:P1006),$P$1006:$S$1006,0))&gt;=100000), " ",IF(INDEX($P$2:$S$1001,MATCH(ROWS($I$2:I995),$I$2:$I$1001,0),MATCH(COLUMNS($P$1006:P1006),$P$1006:$S$1006,0)), HYPERLINK("#",""), HYPERLINK(CONCATENATE("#metadata!", ADDRESS(INDEX($K$2:$K$1001,MATCH(ROWS($I$2:I995),$I$2:$I$1001,0),0), INDEX($P$1004:$S$1004,1,MATCH(COLUMNS($P$1006:P1006),$P$1006:$S$1006,0)))),"Fix")))</f>
        <v>0</v>
      </c>
      <c r="C995" s="3">
        <f>IF(OR(INDEX($J$2:$J$1001,MATCH(ROWS($I$2:I995),$I$2:$I$1001,0),1)&gt;=100000,INDEX($P$1005:$S$1005,1,MATCH(COLUMNS($P$1006:Q1006),$P$1006:$S$1006,0))&gt;=100000), " ",IF(INDEX($P$2:$S$1001,MATCH(ROWS($I$2:I995),$I$2:$I$1001,0),MATCH(COLUMNS($P$1006:Q1006),$P$1006:$S$1006,0)), HYPERLINK("#",""), HYPERLINK(CONCATENATE("#metadata!", ADDRESS(INDEX($K$2:$K$1001,MATCH(ROWS($I$2:I995),$I$2:$I$1001,0),0), INDEX($P$1004:$S$1004,1,MATCH(COLUMNS($P$1006:Q1006),$P$1006:$S$1006,0)))),"Fix")))</f>
        <v>0</v>
      </c>
      <c r="D995" s="3">
        <f>IF(OR(INDEX($J$2:$J$1001,MATCH(ROWS($I$2:I995),$I$2:$I$1001,0),1)&gt;=100000,INDEX($P$1005:$S$1005,1,MATCH(COLUMNS($P$1006:R1006),$P$1006:$S$1006,0))&gt;=100000), " ",IF(INDEX($P$2:$S$1001,MATCH(ROWS($I$2:I995),$I$2:$I$1001,0),MATCH(COLUMNS($P$1006:R1006),$P$1006:$S$1006,0)), HYPERLINK("#",""), HYPERLINK(CONCATENATE("#metadata!", ADDRESS(INDEX($K$2:$K$1001,MATCH(ROWS($I$2:I995),$I$2:$I$1001,0),0), INDEX($P$1004:$S$1004,1,MATCH(COLUMNS($P$1006:R1006),$P$1006:$S$1006,0)))),"Fix")))</f>
        <v>0</v>
      </c>
      <c r="E995" s="3">
        <f>IF(OR(INDEX($J$2:$J$1001,MATCH(ROWS($I$2:I995),$I$2:$I$1001,0),1)&gt;=100000,INDEX($P$1005:$S$1005,1,MATCH(COLUMNS($P$1006:S1006),$P$1006:$S$1006,0))&gt;=100000), " ",IF(INDEX($P$2:$S$1001,MATCH(ROWS($I$2:I995),$I$2:$I$1001,0),MATCH(COLUMNS($P$1006:S1006),$P$1006:$S$1006,0)), HYPERLINK("#",""), HYPERLINK(CONCATENATE("#metadata!", ADDRESS(INDEX($K$2:$K$1001,MATCH(ROWS($I$2:I995),$I$2:$I$1001,0),0), INDEX($P$1004:$S$1004,1,MATCH(COLUMNS($P$1006:S1006),$P$1006:$S$1006,0)))),"Fix")))</f>
        <v>0</v>
      </c>
      <c r="I995">
        <v>0</v>
      </c>
      <c r="J995">
        <v>0</v>
      </c>
      <c r="K995">
        <v>0</v>
      </c>
      <c r="L995">
        <f>IF(M995,TRUE,AND(P995:S995))</f>
        <v>0</v>
      </c>
      <c r="M995">
        <f>COUNTBLANK(metadata!B995:E995)=COLUMNS(metadata!B995:E995)</f>
        <v>0</v>
      </c>
      <c r="N995">
        <v>0</v>
      </c>
      <c r="P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Q995">
        <f>AND(IF(metadata!C995="",FALSE,TRUE),exact(metadata!C995,"other"))</f>
        <v>0</v>
      </c>
      <c r="R995">
        <f>AND(IF(metadata!D995="",FALSE,TRUE),exact(metadata!D995,"metagenome"))</f>
        <v>0</v>
      </c>
      <c r="S995">
        <f>AND(IF(metadata!E995="",FALSE,TRUE),exact(metadata!E995,"256318"))</f>
        <v>0</v>
      </c>
    </row>
    <row r="996" spans="1:19">
      <c r="A996" s="4">
        <f>IF(B996=" "," ",HYPERLINK(CONCATENATE("#metadata!",ADDRESS(INDEX($K$2:$K$1001,MATCH(ROWS($I$2:I996),$I$2:$I$1001,0),0),1)),INDEX($N$2:$N$1001,MATCH(ROWS($I$2:I996),$I$2:$I$1001,0),0)))</f>
        <v>0</v>
      </c>
      <c r="B996" s="3">
        <f>IF(OR(INDEX($J$2:$J$1001,MATCH(ROWS($I$2:I996),$I$2:$I$1001,0),1)&gt;=100000,INDEX($P$1005:$S$1005,1,MATCH(COLUMNS($P$1006:P1006),$P$1006:$S$1006,0))&gt;=100000), " ",IF(INDEX($P$2:$S$1001,MATCH(ROWS($I$2:I996),$I$2:$I$1001,0),MATCH(COLUMNS($P$1006:P1006),$P$1006:$S$1006,0)), HYPERLINK("#",""), HYPERLINK(CONCATENATE("#metadata!", ADDRESS(INDEX($K$2:$K$1001,MATCH(ROWS($I$2:I996),$I$2:$I$1001,0),0), INDEX($P$1004:$S$1004,1,MATCH(COLUMNS($P$1006:P1006),$P$1006:$S$1006,0)))),"Fix")))</f>
        <v>0</v>
      </c>
      <c r="C996" s="3">
        <f>IF(OR(INDEX($J$2:$J$1001,MATCH(ROWS($I$2:I996),$I$2:$I$1001,0),1)&gt;=100000,INDEX($P$1005:$S$1005,1,MATCH(COLUMNS($P$1006:Q1006),$P$1006:$S$1006,0))&gt;=100000), " ",IF(INDEX($P$2:$S$1001,MATCH(ROWS($I$2:I996),$I$2:$I$1001,0),MATCH(COLUMNS($P$1006:Q1006),$P$1006:$S$1006,0)), HYPERLINK("#",""), HYPERLINK(CONCATENATE("#metadata!", ADDRESS(INDEX($K$2:$K$1001,MATCH(ROWS($I$2:I996),$I$2:$I$1001,0),0), INDEX($P$1004:$S$1004,1,MATCH(COLUMNS($P$1006:Q1006),$P$1006:$S$1006,0)))),"Fix")))</f>
        <v>0</v>
      </c>
      <c r="D996" s="3">
        <f>IF(OR(INDEX($J$2:$J$1001,MATCH(ROWS($I$2:I996),$I$2:$I$1001,0),1)&gt;=100000,INDEX($P$1005:$S$1005,1,MATCH(COLUMNS($P$1006:R1006),$P$1006:$S$1006,0))&gt;=100000), " ",IF(INDEX($P$2:$S$1001,MATCH(ROWS($I$2:I996),$I$2:$I$1001,0),MATCH(COLUMNS($P$1006:R1006),$P$1006:$S$1006,0)), HYPERLINK("#",""), HYPERLINK(CONCATENATE("#metadata!", ADDRESS(INDEX($K$2:$K$1001,MATCH(ROWS($I$2:I996),$I$2:$I$1001,0),0), INDEX($P$1004:$S$1004,1,MATCH(COLUMNS($P$1006:R1006),$P$1006:$S$1006,0)))),"Fix")))</f>
        <v>0</v>
      </c>
      <c r="E996" s="3">
        <f>IF(OR(INDEX($J$2:$J$1001,MATCH(ROWS($I$2:I996),$I$2:$I$1001,0),1)&gt;=100000,INDEX($P$1005:$S$1005,1,MATCH(COLUMNS($P$1006:S1006),$P$1006:$S$1006,0))&gt;=100000), " ",IF(INDEX($P$2:$S$1001,MATCH(ROWS($I$2:I996),$I$2:$I$1001,0),MATCH(COLUMNS($P$1006:S1006),$P$1006:$S$1006,0)), HYPERLINK("#",""), HYPERLINK(CONCATENATE("#metadata!", ADDRESS(INDEX($K$2:$K$1001,MATCH(ROWS($I$2:I996),$I$2:$I$1001,0),0), INDEX($P$1004:$S$1004,1,MATCH(COLUMNS($P$1006:S1006),$P$1006:$S$1006,0)))),"Fix")))</f>
        <v>0</v>
      </c>
      <c r="I996">
        <v>0</v>
      </c>
      <c r="J996">
        <v>0</v>
      </c>
      <c r="K996">
        <v>0</v>
      </c>
      <c r="L996">
        <f>IF(M996,TRUE,AND(P996:S996))</f>
        <v>0</v>
      </c>
      <c r="M996">
        <f>COUNTBLANK(metadata!B996:E996)=COLUMNS(metadata!B996:E996)</f>
        <v>0</v>
      </c>
      <c r="N996">
        <v>0</v>
      </c>
      <c r="P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Q996">
        <f>AND(IF(metadata!C996="",FALSE,TRUE),exact(metadata!C996,"other"))</f>
        <v>0</v>
      </c>
      <c r="R996">
        <f>AND(IF(metadata!D996="",FALSE,TRUE),exact(metadata!D996,"metagenome"))</f>
        <v>0</v>
      </c>
      <c r="S996">
        <f>AND(IF(metadata!E996="",FALSE,TRUE),exact(metadata!E996,"256318"))</f>
        <v>0</v>
      </c>
    </row>
    <row r="997" spans="1:19">
      <c r="A997" s="4">
        <f>IF(B997=" "," ",HYPERLINK(CONCATENATE("#metadata!",ADDRESS(INDEX($K$2:$K$1001,MATCH(ROWS($I$2:I997),$I$2:$I$1001,0),0),1)),INDEX($N$2:$N$1001,MATCH(ROWS($I$2:I997),$I$2:$I$1001,0),0)))</f>
        <v>0</v>
      </c>
      <c r="B997" s="3">
        <f>IF(OR(INDEX($J$2:$J$1001,MATCH(ROWS($I$2:I997),$I$2:$I$1001,0),1)&gt;=100000,INDEX($P$1005:$S$1005,1,MATCH(COLUMNS($P$1006:P1006),$P$1006:$S$1006,0))&gt;=100000), " ",IF(INDEX($P$2:$S$1001,MATCH(ROWS($I$2:I997),$I$2:$I$1001,0),MATCH(COLUMNS($P$1006:P1006),$P$1006:$S$1006,0)), HYPERLINK("#",""), HYPERLINK(CONCATENATE("#metadata!", ADDRESS(INDEX($K$2:$K$1001,MATCH(ROWS($I$2:I997),$I$2:$I$1001,0),0), INDEX($P$1004:$S$1004,1,MATCH(COLUMNS($P$1006:P1006),$P$1006:$S$1006,0)))),"Fix")))</f>
        <v>0</v>
      </c>
      <c r="C997" s="3">
        <f>IF(OR(INDEX($J$2:$J$1001,MATCH(ROWS($I$2:I997),$I$2:$I$1001,0),1)&gt;=100000,INDEX($P$1005:$S$1005,1,MATCH(COLUMNS($P$1006:Q1006),$P$1006:$S$1006,0))&gt;=100000), " ",IF(INDEX($P$2:$S$1001,MATCH(ROWS($I$2:I997),$I$2:$I$1001,0),MATCH(COLUMNS($P$1006:Q1006),$P$1006:$S$1006,0)), HYPERLINK("#",""), HYPERLINK(CONCATENATE("#metadata!", ADDRESS(INDEX($K$2:$K$1001,MATCH(ROWS($I$2:I997),$I$2:$I$1001,0),0), INDEX($P$1004:$S$1004,1,MATCH(COLUMNS($P$1006:Q1006),$P$1006:$S$1006,0)))),"Fix")))</f>
        <v>0</v>
      </c>
      <c r="D997" s="3">
        <f>IF(OR(INDEX($J$2:$J$1001,MATCH(ROWS($I$2:I997),$I$2:$I$1001,0),1)&gt;=100000,INDEX($P$1005:$S$1005,1,MATCH(COLUMNS($P$1006:R1006),$P$1006:$S$1006,0))&gt;=100000), " ",IF(INDEX($P$2:$S$1001,MATCH(ROWS($I$2:I997),$I$2:$I$1001,0),MATCH(COLUMNS($P$1006:R1006),$P$1006:$S$1006,0)), HYPERLINK("#",""), HYPERLINK(CONCATENATE("#metadata!", ADDRESS(INDEX($K$2:$K$1001,MATCH(ROWS($I$2:I997),$I$2:$I$1001,0),0), INDEX($P$1004:$S$1004,1,MATCH(COLUMNS($P$1006:R1006),$P$1006:$S$1006,0)))),"Fix")))</f>
        <v>0</v>
      </c>
      <c r="E997" s="3">
        <f>IF(OR(INDEX($J$2:$J$1001,MATCH(ROWS($I$2:I997),$I$2:$I$1001,0),1)&gt;=100000,INDEX($P$1005:$S$1005,1,MATCH(COLUMNS($P$1006:S1006),$P$1006:$S$1006,0))&gt;=100000), " ",IF(INDEX($P$2:$S$1001,MATCH(ROWS($I$2:I997),$I$2:$I$1001,0),MATCH(COLUMNS($P$1006:S1006),$P$1006:$S$1006,0)), HYPERLINK("#",""), HYPERLINK(CONCATENATE("#metadata!", ADDRESS(INDEX($K$2:$K$1001,MATCH(ROWS($I$2:I997),$I$2:$I$1001,0),0), INDEX($P$1004:$S$1004,1,MATCH(COLUMNS($P$1006:S1006),$P$1006:$S$1006,0)))),"Fix")))</f>
        <v>0</v>
      </c>
      <c r="I997">
        <v>0</v>
      </c>
      <c r="J997">
        <v>0</v>
      </c>
      <c r="K997">
        <v>0</v>
      </c>
      <c r="L997">
        <f>IF(M997,TRUE,AND(P997:S997))</f>
        <v>0</v>
      </c>
      <c r="M997">
        <f>COUNTBLANK(metadata!B997:E997)=COLUMNS(metadata!B997:E997)</f>
        <v>0</v>
      </c>
      <c r="N997">
        <v>0</v>
      </c>
      <c r="P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Q997">
        <f>AND(IF(metadata!C997="",FALSE,TRUE),exact(metadata!C997,"other"))</f>
        <v>0</v>
      </c>
      <c r="R997">
        <f>AND(IF(metadata!D997="",FALSE,TRUE),exact(metadata!D997,"metagenome"))</f>
        <v>0</v>
      </c>
      <c r="S997">
        <f>AND(IF(metadata!E997="",FALSE,TRUE),exact(metadata!E997,"256318"))</f>
        <v>0</v>
      </c>
    </row>
    <row r="998" spans="1:19">
      <c r="A998" s="4">
        <f>IF(B998=" "," ",HYPERLINK(CONCATENATE("#metadata!",ADDRESS(INDEX($K$2:$K$1001,MATCH(ROWS($I$2:I998),$I$2:$I$1001,0),0),1)),INDEX($N$2:$N$1001,MATCH(ROWS($I$2:I998),$I$2:$I$1001,0),0)))</f>
        <v>0</v>
      </c>
      <c r="B998" s="3">
        <f>IF(OR(INDEX($J$2:$J$1001,MATCH(ROWS($I$2:I998),$I$2:$I$1001,0),1)&gt;=100000,INDEX($P$1005:$S$1005,1,MATCH(COLUMNS($P$1006:P1006),$P$1006:$S$1006,0))&gt;=100000), " ",IF(INDEX($P$2:$S$1001,MATCH(ROWS($I$2:I998),$I$2:$I$1001,0),MATCH(COLUMNS($P$1006:P1006),$P$1006:$S$1006,0)), HYPERLINK("#",""), HYPERLINK(CONCATENATE("#metadata!", ADDRESS(INDEX($K$2:$K$1001,MATCH(ROWS($I$2:I998),$I$2:$I$1001,0),0), INDEX($P$1004:$S$1004,1,MATCH(COLUMNS($P$1006:P1006),$P$1006:$S$1006,0)))),"Fix")))</f>
        <v>0</v>
      </c>
      <c r="C998" s="3">
        <f>IF(OR(INDEX($J$2:$J$1001,MATCH(ROWS($I$2:I998),$I$2:$I$1001,0),1)&gt;=100000,INDEX($P$1005:$S$1005,1,MATCH(COLUMNS($P$1006:Q1006),$P$1006:$S$1006,0))&gt;=100000), " ",IF(INDEX($P$2:$S$1001,MATCH(ROWS($I$2:I998),$I$2:$I$1001,0),MATCH(COLUMNS($P$1006:Q1006),$P$1006:$S$1006,0)), HYPERLINK("#",""), HYPERLINK(CONCATENATE("#metadata!", ADDRESS(INDEX($K$2:$K$1001,MATCH(ROWS($I$2:I998),$I$2:$I$1001,0),0), INDEX($P$1004:$S$1004,1,MATCH(COLUMNS($P$1006:Q1006),$P$1006:$S$1006,0)))),"Fix")))</f>
        <v>0</v>
      </c>
      <c r="D998" s="3">
        <f>IF(OR(INDEX($J$2:$J$1001,MATCH(ROWS($I$2:I998),$I$2:$I$1001,0),1)&gt;=100000,INDEX($P$1005:$S$1005,1,MATCH(COLUMNS($P$1006:R1006),$P$1006:$S$1006,0))&gt;=100000), " ",IF(INDEX($P$2:$S$1001,MATCH(ROWS($I$2:I998),$I$2:$I$1001,0),MATCH(COLUMNS($P$1006:R1006),$P$1006:$S$1006,0)), HYPERLINK("#",""), HYPERLINK(CONCATENATE("#metadata!", ADDRESS(INDEX($K$2:$K$1001,MATCH(ROWS($I$2:I998),$I$2:$I$1001,0),0), INDEX($P$1004:$S$1004,1,MATCH(COLUMNS($P$1006:R1006),$P$1006:$S$1006,0)))),"Fix")))</f>
        <v>0</v>
      </c>
      <c r="E998" s="3">
        <f>IF(OR(INDEX($J$2:$J$1001,MATCH(ROWS($I$2:I998),$I$2:$I$1001,0),1)&gt;=100000,INDEX($P$1005:$S$1005,1,MATCH(COLUMNS($P$1006:S1006),$P$1006:$S$1006,0))&gt;=100000), " ",IF(INDEX($P$2:$S$1001,MATCH(ROWS($I$2:I998),$I$2:$I$1001,0),MATCH(COLUMNS($P$1006:S1006),$P$1006:$S$1006,0)), HYPERLINK("#",""), HYPERLINK(CONCATENATE("#metadata!", ADDRESS(INDEX($K$2:$K$1001,MATCH(ROWS($I$2:I998),$I$2:$I$1001,0),0), INDEX($P$1004:$S$1004,1,MATCH(COLUMNS($P$1006:S1006),$P$1006:$S$1006,0)))),"Fix")))</f>
        <v>0</v>
      </c>
      <c r="I998">
        <v>0</v>
      </c>
      <c r="J998">
        <v>0</v>
      </c>
      <c r="K998">
        <v>0</v>
      </c>
      <c r="L998">
        <f>IF(M998,TRUE,AND(P998:S998))</f>
        <v>0</v>
      </c>
      <c r="M998">
        <f>COUNTBLANK(metadata!B998:E998)=COLUMNS(metadata!B998:E998)</f>
        <v>0</v>
      </c>
      <c r="N998">
        <v>0</v>
      </c>
      <c r="P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Q998">
        <f>AND(IF(metadata!C998="",FALSE,TRUE),exact(metadata!C998,"other"))</f>
        <v>0</v>
      </c>
      <c r="R998">
        <f>AND(IF(metadata!D998="",FALSE,TRUE),exact(metadata!D998,"metagenome"))</f>
        <v>0</v>
      </c>
      <c r="S998">
        <f>AND(IF(metadata!E998="",FALSE,TRUE),exact(metadata!E998,"256318"))</f>
        <v>0</v>
      </c>
    </row>
    <row r="999" spans="1:19">
      <c r="A999" s="4">
        <f>IF(B999=" "," ",HYPERLINK(CONCATENATE("#metadata!",ADDRESS(INDEX($K$2:$K$1001,MATCH(ROWS($I$2:I999),$I$2:$I$1001,0),0),1)),INDEX($N$2:$N$1001,MATCH(ROWS($I$2:I999),$I$2:$I$1001,0),0)))</f>
        <v>0</v>
      </c>
      <c r="B999" s="3">
        <f>IF(OR(INDEX($J$2:$J$1001,MATCH(ROWS($I$2:I999),$I$2:$I$1001,0),1)&gt;=100000,INDEX($P$1005:$S$1005,1,MATCH(COLUMNS($P$1006:P1006),$P$1006:$S$1006,0))&gt;=100000), " ",IF(INDEX($P$2:$S$1001,MATCH(ROWS($I$2:I999),$I$2:$I$1001,0),MATCH(COLUMNS($P$1006:P1006),$P$1006:$S$1006,0)), HYPERLINK("#",""), HYPERLINK(CONCATENATE("#metadata!", ADDRESS(INDEX($K$2:$K$1001,MATCH(ROWS($I$2:I999),$I$2:$I$1001,0),0), INDEX($P$1004:$S$1004,1,MATCH(COLUMNS($P$1006:P1006),$P$1006:$S$1006,0)))),"Fix")))</f>
        <v>0</v>
      </c>
      <c r="C999" s="3">
        <f>IF(OR(INDEX($J$2:$J$1001,MATCH(ROWS($I$2:I999),$I$2:$I$1001,0),1)&gt;=100000,INDEX($P$1005:$S$1005,1,MATCH(COLUMNS($P$1006:Q1006),$P$1006:$S$1006,0))&gt;=100000), " ",IF(INDEX($P$2:$S$1001,MATCH(ROWS($I$2:I999),$I$2:$I$1001,0),MATCH(COLUMNS($P$1006:Q1006),$P$1006:$S$1006,0)), HYPERLINK("#",""), HYPERLINK(CONCATENATE("#metadata!", ADDRESS(INDEX($K$2:$K$1001,MATCH(ROWS($I$2:I999),$I$2:$I$1001,0),0), INDEX($P$1004:$S$1004,1,MATCH(COLUMNS($P$1006:Q1006),$P$1006:$S$1006,0)))),"Fix")))</f>
        <v>0</v>
      </c>
      <c r="D999" s="3">
        <f>IF(OR(INDEX($J$2:$J$1001,MATCH(ROWS($I$2:I999),$I$2:$I$1001,0),1)&gt;=100000,INDEX($P$1005:$S$1005,1,MATCH(COLUMNS($P$1006:R1006),$P$1006:$S$1006,0))&gt;=100000), " ",IF(INDEX($P$2:$S$1001,MATCH(ROWS($I$2:I999),$I$2:$I$1001,0),MATCH(COLUMNS($P$1006:R1006),$P$1006:$S$1006,0)), HYPERLINK("#",""), HYPERLINK(CONCATENATE("#metadata!", ADDRESS(INDEX($K$2:$K$1001,MATCH(ROWS($I$2:I999),$I$2:$I$1001,0),0), INDEX($P$1004:$S$1004,1,MATCH(COLUMNS($P$1006:R1006),$P$1006:$S$1006,0)))),"Fix")))</f>
        <v>0</v>
      </c>
      <c r="E999" s="3">
        <f>IF(OR(INDEX($J$2:$J$1001,MATCH(ROWS($I$2:I999),$I$2:$I$1001,0),1)&gt;=100000,INDEX($P$1005:$S$1005,1,MATCH(COLUMNS($P$1006:S1006),$P$1006:$S$1006,0))&gt;=100000), " ",IF(INDEX($P$2:$S$1001,MATCH(ROWS($I$2:I999),$I$2:$I$1001,0),MATCH(COLUMNS($P$1006:S1006),$P$1006:$S$1006,0)), HYPERLINK("#",""), HYPERLINK(CONCATENATE("#metadata!", ADDRESS(INDEX($K$2:$K$1001,MATCH(ROWS($I$2:I999),$I$2:$I$1001,0),0), INDEX($P$1004:$S$1004,1,MATCH(COLUMNS($P$1006:S1006),$P$1006:$S$1006,0)))),"Fix")))</f>
        <v>0</v>
      </c>
      <c r="I999">
        <v>0</v>
      </c>
      <c r="J999">
        <v>0</v>
      </c>
      <c r="K999">
        <v>0</v>
      </c>
      <c r="L999">
        <f>IF(M999,TRUE,AND(P999:S999))</f>
        <v>0</v>
      </c>
      <c r="M999">
        <f>COUNTBLANK(metadata!B999:E999)=COLUMNS(metadata!B999:E999)</f>
        <v>0</v>
      </c>
      <c r="N999">
        <v>0</v>
      </c>
      <c r="P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Q999">
        <f>AND(IF(metadata!C999="",FALSE,TRUE),exact(metadata!C999,"other"))</f>
        <v>0</v>
      </c>
      <c r="R999">
        <f>AND(IF(metadata!D999="",FALSE,TRUE),exact(metadata!D999,"metagenome"))</f>
        <v>0</v>
      </c>
      <c r="S999">
        <f>AND(IF(metadata!E999="",FALSE,TRUE),exact(metadata!E999,"256318"))</f>
        <v>0</v>
      </c>
    </row>
    <row r="1000" spans="1:19">
      <c r="A1000" s="4">
        <f>IF(B1000=" "," ",HYPERLINK(CONCATENATE("#metadata!",ADDRESS(INDEX($K$2:$K$1001,MATCH(ROWS($I$2:I1000),$I$2:$I$1001,0),0),1)),INDEX($N$2:$N$1001,MATCH(ROWS($I$2:I1000),$I$2:$I$1001,0),0)))</f>
        <v>0</v>
      </c>
      <c r="B1000" s="3">
        <f>IF(OR(INDEX($J$2:$J$1001,MATCH(ROWS($I$2:I1000),$I$2:$I$1001,0),1)&gt;=100000,INDEX($P$1005:$S$1005,1,MATCH(COLUMNS($P$1006:P1006),$P$1006:$S$1006,0))&gt;=100000), " ",IF(INDEX($P$2:$S$1001,MATCH(ROWS($I$2:I1000),$I$2:$I$1001,0),MATCH(COLUMNS($P$1006:P1006),$P$1006:$S$1006,0)), HYPERLINK("#",""), HYPERLINK(CONCATENATE("#metadata!", ADDRESS(INDEX($K$2:$K$1001,MATCH(ROWS($I$2:I1000),$I$2:$I$1001,0),0), INDEX($P$1004:$S$1004,1,MATCH(COLUMNS($P$1006:P1006),$P$1006:$S$1006,0)))),"Fix")))</f>
        <v>0</v>
      </c>
      <c r="C1000" s="3">
        <f>IF(OR(INDEX($J$2:$J$1001,MATCH(ROWS($I$2:I1000),$I$2:$I$1001,0),1)&gt;=100000,INDEX($P$1005:$S$1005,1,MATCH(COLUMNS($P$1006:Q1006),$P$1006:$S$1006,0))&gt;=100000), " ",IF(INDEX($P$2:$S$1001,MATCH(ROWS($I$2:I1000),$I$2:$I$1001,0),MATCH(COLUMNS($P$1006:Q1006),$P$1006:$S$1006,0)), HYPERLINK("#",""), HYPERLINK(CONCATENATE("#metadata!", ADDRESS(INDEX($K$2:$K$1001,MATCH(ROWS($I$2:I1000),$I$2:$I$1001,0),0), INDEX($P$1004:$S$1004,1,MATCH(COLUMNS($P$1006:Q1006),$P$1006:$S$1006,0)))),"Fix")))</f>
        <v>0</v>
      </c>
      <c r="D1000" s="3">
        <f>IF(OR(INDEX($J$2:$J$1001,MATCH(ROWS($I$2:I1000),$I$2:$I$1001,0),1)&gt;=100000,INDEX($P$1005:$S$1005,1,MATCH(COLUMNS($P$1006:R1006),$P$1006:$S$1006,0))&gt;=100000), " ",IF(INDEX($P$2:$S$1001,MATCH(ROWS($I$2:I1000),$I$2:$I$1001,0),MATCH(COLUMNS($P$1006:R1006),$P$1006:$S$1006,0)), HYPERLINK("#",""), HYPERLINK(CONCATENATE("#metadata!", ADDRESS(INDEX($K$2:$K$1001,MATCH(ROWS($I$2:I1000),$I$2:$I$1001,0),0), INDEX($P$1004:$S$1004,1,MATCH(COLUMNS($P$1006:R1006),$P$1006:$S$1006,0)))),"Fix")))</f>
        <v>0</v>
      </c>
      <c r="E1000" s="3">
        <f>IF(OR(INDEX($J$2:$J$1001,MATCH(ROWS($I$2:I1000),$I$2:$I$1001,0),1)&gt;=100000,INDEX($P$1005:$S$1005,1,MATCH(COLUMNS($P$1006:S1006),$P$1006:$S$1006,0))&gt;=100000), " ",IF(INDEX($P$2:$S$1001,MATCH(ROWS($I$2:I1000),$I$2:$I$1001,0),MATCH(COLUMNS($P$1006:S1006),$P$1006:$S$1006,0)), HYPERLINK("#",""), HYPERLINK(CONCATENATE("#metadata!", ADDRESS(INDEX($K$2:$K$1001,MATCH(ROWS($I$2:I1000),$I$2:$I$1001,0),0), INDEX($P$1004:$S$1004,1,MATCH(COLUMNS($P$1006:S1006),$P$1006:$S$1006,0)))),"Fix")))</f>
        <v>0</v>
      </c>
      <c r="I1000">
        <v>0</v>
      </c>
      <c r="J1000">
        <v>0</v>
      </c>
      <c r="K1000">
        <v>0</v>
      </c>
      <c r="L1000">
        <f>IF(M1000,TRUE,AND(P1000:S1000))</f>
        <v>0</v>
      </c>
      <c r="M1000">
        <f>COUNTBLANK(metadata!B1000:E1000)=COLUMNS(metadata!B1000:E1000)</f>
        <v>0</v>
      </c>
      <c r="N1000">
        <v>0</v>
      </c>
      <c r="P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Q1000">
        <f>AND(IF(metadata!C1000="",FALSE,TRUE),exact(metadata!C1000,"other"))</f>
        <v>0</v>
      </c>
      <c r="R1000">
        <f>AND(IF(metadata!D1000="",FALSE,TRUE),exact(metadata!D1000,"metagenome"))</f>
        <v>0</v>
      </c>
      <c r="S1000">
        <f>AND(IF(metadata!E1000="",FALSE,TRUE),exact(metadata!E1000,"256318"))</f>
        <v>0</v>
      </c>
    </row>
    <row r="1001" spans="1:19">
      <c r="A1001" s="4">
        <f>IF(B1001=" "," ",HYPERLINK(CONCATENATE("#metadata!",ADDRESS(INDEX($K$2:$K$1001,MATCH(ROWS($I$2:I1001),$I$2:$I$1001,0),0),1)),INDEX($N$2:$N$1001,MATCH(ROWS($I$2:I1001),$I$2:$I$1001,0),0)))</f>
        <v>0</v>
      </c>
      <c r="B1001" s="3">
        <f>IF(OR(INDEX($J$2:$J$1001,MATCH(ROWS($I$2:I1001),$I$2:$I$1001,0),1)&gt;=100000,INDEX($P$1005:$S$1005,1,MATCH(COLUMNS($P$1006:P1006),$P$1006:$S$1006,0))&gt;=100000), " ",IF(INDEX($P$2:$S$1001,MATCH(ROWS($I$2:I1001),$I$2:$I$1001,0),MATCH(COLUMNS($P$1006:P1006),$P$1006:$S$1006,0)), HYPERLINK("#",""), HYPERLINK(CONCATENATE("#metadata!", ADDRESS(INDEX($K$2:$K$1001,MATCH(ROWS($I$2:I1001),$I$2:$I$1001,0),0), INDEX($P$1004:$S$1004,1,MATCH(COLUMNS($P$1006:P1006),$P$1006:$S$1006,0)))),"Fix")))</f>
        <v>0</v>
      </c>
      <c r="C1001" s="3">
        <f>IF(OR(INDEX($J$2:$J$1001,MATCH(ROWS($I$2:I1001),$I$2:$I$1001,0),1)&gt;=100000,INDEX($P$1005:$S$1005,1,MATCH(COLUMNS($P$1006:Q1006),$P$1006:$S$1006,0))&gt;=100000), " ",IF(INDEX($P$2:$S$1001,MATCH(ROWS($I$2:I1001),$I$2:$I$1001,0),MATCH(COLUMNS($P$1006:Q1006),$P$1006:$S$1006,0)), HYPERLINK("#",""), HYPERLINK(CONCATENATE("#metadata!", ADDRESS(INDEX($K$2:$K$1001,MATCH(ROWS($I$2:I1001),$I$2:$I$1001,0),0), INDEX($P$1004:$S$1004,1,MATCH(COLUMNS($P$1006:Q1006),$P$1006:$S$1006,0)))),"Fix")))</f>
        <v>0</v>
      </c>
      <c r="D1001" s="3">
        <f>IF(OR(INDEX($J$2:$J$1001,MATCH(ROWS($I$2:I1001),$I$2:$I$1001,0),1)&gt;=100000,INDEX($P$1005:$S$1005,1,MATCH(COLUMNS($P$1006:R1006),$P$1006:$S$1006,0))&gt;=100000), " ",IF(INDEX($P$2:$S$1001,MATCH(ROWS($I$2:I1001),$I$2:$I$1001,0),MATCH(COLUMNS($P$1006:R1006),$P$1006:$S$1006,0)), HYPERLINK("#",""), HYPERLINK(CONCATENATE("#metadata!", ADDRESS(INDEX($K$2:$K$1001,MATCH(ROWS($I$2:I1001),$I$2:$I$1001,0),0), INDEX($P$1004:$S$1004,1,MATCH(COLUMNS($P$1006:R1006),$P$1006:$S$1006,0)))),"Fix")))</f>
        <v>0</v>
      </c>
      <c r="E1001" s="3">
        <f>IF(OR(INDEX($J$2:$J$1001,MATCH(ROWS($I$2:I1001),$I$2:$I$1001,0),1)&gt;=100000,INDEX($P$1005:$S$1005,1,MATCH(COLUMNS($P$1006:S1006),$P$1006:$S$1006,0))&gt;=100000), " ",IF(INDEX($P$2:$S$1001,MATCH(ROWS($I$2:I1001),$I$2:$I$1001,0),MATCH(COLUMNS($P$1006:S1006),$P$1006:$S$1006,0)), HYPERLINK("#",""), HYPERLINK(CONCATENATE("#metadata!", ADDRESS(INDEX($K$2:$K$1001,MATCH(ROWS($I$2:I1001),$I$2:$I$1001,0),0), INDEX($P$1004:$S$1004,1,MATCH(COLUMNS($P$1006:S1006),$P$1006:$S$1006,0)))),"Fix")))</f>
        <v>0</v>
      </c>
      <c r="I1001">
        <v>0</v>
      </c>
      <c r="J1001">
        <v>0</v>
      </c>
      <c r="K1001">
        <v>0</v>
      </c>
      <c r="L1001">
        <f>IF(M1001,TRUE,AND(P1001:S1001))</f>
        <v>0</v>
      </c>
      <c r="M1001">
        <f>COUNTBLANK(metadata!B1001:E1001)=COLUMNS(metadata!B1001:E1001)</f>
        <v>0</v>
      </c>
      <c r="N1001">
        <v>0</v>
      </c>
      <c r="P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Q1001">
        <f>AND(IF(metadata!C1001="",FALSE,TRUE),exact(metadata!C1001,"other"))</f>
        <v>0</v>
      </c>
      <c r="R1001">
        <f>AND(IF(metadata!D1001="",FALSE,TRUE),exact(metadata!D1001,"metagenome"))</f>
        <v>0</v>
      </c>
      <c r="S1001">
        <f>AND(IF(metadata!E1001="",FALSE,TRUE),exact(metadata!E1001,"256318"))</f>
        <v>0</v>
      </c>
    </row>
    <row r="1003" spans="1:19">
      <c r="O1003" s="2" t="s">
        <v>11</v>
      </c>
      <c r="P1003">
        <f t="array" ref="P1003">AND(IF($M2:$M1001,TRUE,P2:P1001))</f>
        <v>0</v>
      </c>
      <c r="Q1003">
        <f t="array" ref="Q1003">AND(IF($M2:$M1001,TRUE,Q2:Q1001))</f>
        <v>0</v>
      </c>
      <c r="R1003">
        <f t="array" ref="R1003">AND(IF($M2:$M1001,TRUE,R2:R1001))</f>
        <v>0</v>
      </c>
      <c r="S1003">
        <f t="array" ref="S1003">AND(IF($M2:$M1001,TRUE,S2:S1001))</f>
        <v>0</v>
      </c>
    </row>
    <row r="1004" spans="1:19">
      <c r="O1004" s="2" t="s">
        <v>12</v>
      </c>
      <c r="P1004">
        <f t="array" ref="P1004:S1004">COLUMN(metadata!B1004:E1004)</f>
        <v>0</v>
      </c>
      <c r="Q1004">
        <v>0</v>
      </c>
      <c r="R1004">
        <v>0</v>
      </c>
      <c r="S1004">
        <v>0</v>
      </c>
    </row>
    <row r="1005" spans="1:19">
      <c r="O1005" s="2" t="s">
        <v>13</v>
      </c>
      <c r="P1005">
        <f t="array" ref="P1005:S1005">INT(P1003:S1003)*100000+$P$1004:$S$1004</f>
        <v>0</v>
      </c>
      <c r="Q1005">
        <v>0</v>
      </c>
      <c r="R1005">
        <v>0</v>
      </c>
      <c r="S1005">
        <v>0</v>
      </c>
    </row>
    <row r="1006" spans="1:19">
      <c r="O1006" s="2" t="s">
        <v>14</v>
      </c>
      <c r="P1006">
        <f t="array" ref="P1006:S1006">COUNTIF($P1005:$S1005,"&lt;="&amp;P$1005:S1005)</f>
        <v>0</v>
      </c>
      <c r="Q1006">
        <v>0</v>
      </c>
      <c r="R1006">
        <v>0</v>
      </c>
      <c r="S1006">
        <v>0</v>
      </c>
    </row>
  </sheetData>
  <sheetProtection sheet="1" objects="1" scenarios="1"/>
  <conditionalFormatting sqref="B2:E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15</v>
      </c>
      <c r="B1" s="2" t="s">
        <v>16</v>
      </c>
    </row>
    <row r="2" spans="1:2">
      <c r="A2" s="2" t="s">
        <v>1</v>
      </c>
      <c r="B2" t="s">
        <v>17</v>
      </c>
    </row>
    <row r="3" spans="1:2">
      <c r="A3" s="2" t="s">
        <v>3</v>
      </c>
      <c r="B3" t="s">
        <v>18</v>
      </c>
    </row>
    <row r="4" spans="1:2">
      <c r="A4" s="2" t="s">
        <v>4</v>
      </c>
      <c r="B4" t="s">
        <v>19</v>
      </c>
    </row>
    <row r="5" spans="1:2">
      <c r="A5" s="2" t="s">
        <v>5</v>
      </c>
      <c r="B5" t="s">
        <v>20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21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22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23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field descriptions</vt:lpstr>
      <vt:lpstr>metadata_schema</vt:lpstr>
      <vt:lpstr>metadata_form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2018-01-03T23:39:59Z</dcterms:created>
  <dcterms:modified xsi:type="dcterms:W3CDTF">2018-01-03T23:39:59Z</dcterms:modified>
</cp:coreProperties>
</file>