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<sst xmlns="http://schemas.openxmlformats.org/spreadsheetml/2006/main" count="42" uniqueCount="26">
  <si>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</si>
  <si>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</si>
  <si>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</si>
  <si>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</si>
  <si>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</si>
  <si>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</si>
  <si>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</si>
  <si>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</si>
  <si>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</si>
  <si>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</si>
  <si>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</si>
  <si>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</si>
  <si>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</si>
  <si>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</si>
  <si>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</si>
  <si>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</si>
  <si>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</si>
  <si>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</si>
  <si>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</si>
  <si>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"human-skin". The default value is human-skin.</t>
  </si>
  <si>
    <t>The value must be a string and must equal "missing: not collected" or must equal "missing: not provided" or the value must be a string and must equal "UBERON:zone of skin" or must equal "UBERON:skin of hand" or must equal "UBERON:skin of forehead".</t>
  </si>
  <si>
    <t>The value must be a string and must equal "human skin metagenome". The default value is human skin metagenome.</t>
  </si>
  <si>
    <t>The value must be a string and must equal "539655". The default value is 539655.</t>
  </si>
  <si>
    <t xml:space="preserve">env_package:
  allowed:
  - human-skin
  default: human-skin
  empty: false
  is_phi: false
  required: true
  type: string
host_body_site:
  anyof:
  - allowed:
    - 'missing: not collected'
    - 'missing: not provided'
    type: string
  - allowed:
    - UBERON:zone of skin
    - UBERON:skin of hand
    - UBERON:skin of forehead
    type: string
  empty: false
  is_phi: false
  required: true
sample_name:
  empty: false
  is_phi: false
  regex: ^[a-zA-Z0-9\.]+$
  required: true
  type: string
  unique: true
scientific_name:
  allowed:
  - human skin metagenome
  default: human skin metagenome
  empty: false
  is_phi: false
  required: true
  type: string
taxon_id:
  allowed:
  - '539655'
  default: '539655'
  empty: false
  is_phi: false
  required: true
  type: string
</t>
  </si>
  <si>
    <t xml:space="preserve">1:
  categorical_default_select: human-skin
  categorical_values: human-skin
  default_value: categorical_default
  field_name: env_package
  field_type: categorical
2:
  categorical_default_select: human skin metagenome
  categorical_values: human skin metagenome
  default_value: categorical_default
  field_name: scientific_name
  field_type: categorical
3:
  categorical_default_select: '539655'
  categorical_values: '539655'
  default_value: categorical_default
  field_name: taxon_id
  field_type: categorical
4:
  allowed_missing_vals[]:
  - ebi_not_collected
  - ebi_not_provided
  categorical_values: "UBERON:zone of skin\r\nUBERON:skin of hand\r\nUBERON:skin of\
    \ forehead"
  default_value: no_default
  field_name: host_body_site
  field_type: categorical
</t>
  </si>
  <si>
    <t>This file was created by the Metadata Wizard v0.3 at 2018-04-25 18:35:59.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</si>
</sst>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f>IF(COUNTBLANK(B2:F2)&lt;&gt;COLUMNS(B2:F2),1,"")</f>
        <v>0</v>
      </c>
      <c r="C2" s="1">
        <f>IF(B2="", "", "human-skin")</f>
        <v>0</v>
      </c>
      <c r="E2" s="1">
        <f>IF(B2="", "", "human skin metagenome")</f>
        <v>0</v>
      </c>
      <c r="F2" s="1">
        <f>IF(B2="", "", "539655")</f>
        <v>0</v>
      </c>
    </row>
    <row r="3" spans="1:6">
      <c r="A3">
        <f>IF(COUNTBLANK(B3:F3)&lt;&gt;COLUMNS(B3:F3),2,"")</f>
        <v>0</v>
      </c>
      <c r="C3" s="1">
        <f>IF(B3="", "", "human-skin")</f>
        <v>0</v>
      </c>
      <c r="E3" s="1">
        <f>IF(B3="", "", "human skin metagenome")</f>
        <v>0</v>
      </c>
      <c r="F3" s="1">
        <f>IF(B3="", "", "539655")</f>
        <v>0</v>
      </c>
    </row>
    <row r="4" spans="1:6">
      <c r="A4">
        <f>IF(COUNTBLANK(B4:F4)&lt;&gt;COLUMNS(B4:F4),3,"")</f>
        <v>0</v>
      </c>
      <c r="C4" s="1">
        <f>IF(B4="", "", "human-skin")</f>
        <v>0</v>
      </c>
      <c r="E4" s="1">
        <f>IF(B4="", "", "human skin metagenome")</f>
        <v>0</v>
      </c>
      <c r="F4" s="1">
        <f>IF(B4="", "", "539655")</f>
        <v>0</v>
      </c>
    </row>
    <row r="5" spans="1:6">
      <c r="A5">
        <f>IF(COUNTBLANK(B5:F5)&lt;&gt;COLUMNS(B5:F5),4,"")</f>
        <v>0</v>
      </c>
      <c r="C5" s="1">
        <f>IF(B5="", "", "human-skin")</f>
        <v>0</v>
      </c>
      <c r="E5" s="1">
        <f>IF(B5="", "", "human skin metagenome")</f>
        <v>0</v>
      </c>
      <c r="F5" s="1">
        <f>IF(B5="", "", "539655")</f>
        <v>0</v>
      </c>
    </row>
    <row r="6" spans="1:6">
      <c r="A6">
        <f>IF(COUNTBLANK(B6:F6)&lt;&gt;COLUMNS(B6:F6),5,"")</f>
        <v>0</v>
      </c>
      <c r="C6" s="1">
        <f>IF(B6="", "", "human-skin")</f>
        <v>0</v>
      </c>
      <c r="E6" s="1">
        <f>IF(B6="", "", "human skin metagenome")</f>
        <v>0</v>
      </c>
      <c r="F6" s="1">
        <f>IF(B6="", "", "539655")</f>
        <v>0</v>
      </c>
    </row>
    <row r="7" spans="1:6">
      <c r="A7">
        <f>IF(COUNTBLANK(B7:F7)&lt;&gt;COLUMNS(B7:F7),6,"")</f>
        <v>0</v>
      </c>
      <c r="C7" s="1">
        <f>IF(B7="", "", "human-skin")</f>
        <v>0</v>
      </c>
      <c r="E7" s="1">
        <f>IF(B7="", "", "human skin metagenome")</f>
        <v>0</v>
      </c>
      <c r="F7" s="1">
        <f>IF(B7="", "", "539655")</f>
        <v>0</v>
      </c>
    </row>
    <row r="8" spans="1:6">
      <c r="A8">
        <f>IF(COUNTBLANK(B8:F8)&lt;&gt;COLUMNS(B8:F8),7,"")</f>
        <v>0</v>
      </c>
      <c r="C8" s="1">
        <f>IF(B8="", "", "human-skin")</f>
        <v>0</v>
      </c>
      <c r="E8" s="1">
        <f>IF(B8="", "", "human skin metagenome")</f>
        <v>0</v>
      </c>
      <c r="F8" s="1">
        <f>IF(B8="", "", "539655")</f>
        <v>0</v>
      </c>
    </row>
    <row r="9" spans="1:6">
      <c r="A9">
        <f>IF(COUNTBLANK(B9:F9)&lt;&gt;COLUMNS(B9:F9),8,"")</f>
        <v>0</v>
      </c>
      <c r="C9" s="1">
        <f>IF(B9="", "", "human-skin")</f>
        <v>0</v>
      </c>
      <c r="E9" s="1">
        <f>IF(B9="", "", "human skin metagenome")</f>
        <v>0</v>
      </c>
      <c r="F9" s="1">
        <f>IF(B9="", "", "539655")</f>
        <v>0</v>
      </c>
    </row>
    <row r="10" spans="1:6">
      <c r="A10">
        <f>IF(COUNTBLANK(B10:F10)&lt;&gt;COLUMNS(B10:F10),9,"")</f>
        <v>0</v>
      </c>
      <c r="C10" s="1">
        <f>IF(B10="", "", "human-skin")</f>
        <v>0</v>
      </c>
      <c r="E10" s="1">
        <f>IF(B10="", "", "human skin metagenome")</f>
        <v>0</v>
      </c>
      <c r="F10" s="1">
        <f>IF(B10="", "", "539655")</f>
        <v>0</v>
      </c>
    </row>
    <row r="11" spans="1:6">
      <c r="A11">
        <f>IF(COUNTBLANK(B11:F11)&lt;&gt;COLUMNS(B11:F11),10,"")</f>
        <v>0</v>
      </c>
      <c r="C11" s="1">
        <f>IF(B11="", "", "human-skin")</f>
        <v>0</v>
      </c>
      <c r="E11" s="1">
        <f>IF(B11="", "", "human skin metagenome")</f>
        <v>0</v>
      </c>
      <c r="F11" s="1">
        <f>IF(B11="", "", "539655")</f>
        <v>0</v>
      </c>
    </row>
    <row r="12" spans="1:6">
      <c r="A12">
        <f>IF(COUNTBLANK(B12:F12)&lt;&gt;COLUMNS(B12:F12),11,"")</f>
        <v>0</v>
      </c>
      <c r="C12" s="1">
        <f>IF(B12="", "", "human-skin")</f>
        <v>0</v>
      </c>
      <c r="E12" s="1">
        <f>IF(B12="", "", "human skin metagenome")</f>
        <v>0</v>
      </c>
      <c r="F12" s="1">
        <f>IF(B12="", "", "539655")</f>
        <v>0</v>
      </c>
    </row>
    <row r="13" spans="1:6">
      <c r="A13">
        <f>IF(COUNTBLANK(B13:F13)&lt;&gt;COLUMNS(B13:F13),12,"")</f>
        <v>0</v>
      </c>
      <c r="C13" s="1">
        <f>IF(B13="", "", "human-skin")</f>
        <v>0</v>
      </c>
      <c r="E13" s="1">
        <f>IF(B13="", "", "human skin metagenome")</f>
        <v>0</v>
      </c>
      <c r="F13" s="1">
        <f>IF(B13="", "", "539655")</f>
        <v>0</v>
      </c>
    </row>
    <row r="14" spans="1:6">
      <c r="A14">
        <f>IF(COUNTBLANK(B14:F14)&lt;&gt;COLUMNS(B14:F14),13,"")</f>
        <v>0</v>
      </c>
      <c r="C14" s="1">
        <f>IF(B14="", "", "human-skin")</f>
        <v>0</v>
      </c>
      <c r="E14" s="1">
        <f>IF(B14="", "", "human skin metagenome")</f>
        <v>0</v>
      </c>
      <c r="F14" s="1">
        <f>IF(B14="", "", "539655")</f>
        <v>0</v>
      </c>
    </row>
    <row r="15" spans="1:6">
      <c r="A15">
        <f>IF(COUNTBLANK(B15:F15)&lt;&gt;COLUMNS(B15:F15),14,"")</f>
        <v>0</v>
      </c>
      <c r="C15" s="1">
        <f>IF(B15="", "", "human-skin")</f>
        <v>0</v>
      </c>
      <c r="E15" s="1">
        <f>IF(B15="", "", "human skin metagenome")</f>
        <v>0</v>
      </c>
      <c r="F15" s="1">
        <f>IF(B15="", "", "539655")</f>
        <v>0</v>
      </c>
    </row>
    <row r="16" spans="1:6">
      <c r="A16">
        <f>IF(COUNTBLANK(B16:F16)&lt;&gt;COLUMNS(B16:F16),15,"")</f>
        <v>0</v>
      </c>
      <c r="C16" s="1">
        <f>IF(B16="", "", "human-skin")</f>
        <v>0</v>
      </c>
      <c r="E16" s="1">
        <f>IF(B16="", "", "human skin metagenome")</f>
        <v>0</v>
      </c>
      <c r="F16" s="1">
        <f>IF(B16="", "", "539655")</f>
        <v>0</v>
      </c>
    </row>
    <row r="17" spans="1:6">
      <c r="A17">
        <f>IF(COUNTBLANK(B17:F17)&lt;&gt;COLUMNS(B17:F17),16,"")</f>
        <v>0</v>
      </c>
      <c r="C17" s="1">
        <f>IF(B17="", "", "human-skin")</f>
        <v>0</v>
      </c>
      <c r="E17" s="1">
        <f>IF(B17="", "", "human skin metagenome")</f>
        <v>0</v>
      </c>
      <c r="F17" s="1">
        <f>IF(B17="", "", "539655")</f>
        <v>0</v>
      </c>
    </row>
    <row r="18" spans="1:6">
      <c r="A18">
        <f>IF(COUNTBLANK(B18:F18)&lt;&gt;COLUMNS(B18:F18),17,"")</f>
        <v>0</v>
      </c>
      <c r="C18" s="1">
        <f>IF(B18="", "", "human-skin")</f>
        <v>0</v>
      </c>
      <c r="E18" s="1">
        <f>IF(B18="", "", "human skin metagenome")</f>
        <v>0</v>
      </c>
      <c r="F18" s="1">
        <f>IF(B18="", "", "539655")</f>
        <v>0</v>
      </c>
    </row>
    <row r="19" spans="1:6">
      <c r="A19">
        <f>IF(COUNTBLANK(B19:F19)&lt;&gt;COLUMNS(B19:F19),18,"")</f>
        <v>0</v>
      </c>
      <c r="C19" s="1">
        <f>IF(B19="", "", "human-skin")</f>
        <v>0</v>
      </c>
      <c r="E19" s="1">
        <f>IF(B19="", "", "human skin metagenome")</f>
        <v>0</v>
      </c>
      <c r="F19" s="1">
        <f>IF(B19="", "", "539655")</f>
        <v>0</v>
      </c>
    </row>
    <row r="20" spans="1:6">
      <c r="A20">
        <f>IF(COUNTBLANK(B20:F20)&lt;&gt;COLUMNS(B20:F20),19,"")</f>
        <v>0</v>
      </c>
      <c r="C20" s="1">
        <f>IF(B20="", "", "human-skin")</f>
        <v>0</v>
      </c>
      <c r="E20" s="1">
        <f>IF(B20="", "", "human skin metagenome")</f>
        <v>0</v>
      </c>
      <c r="F20" s="1">
        <f>IF(B20="", "", "539655")</f>
        <v>0</v>
      </c>
    </row>
    <row r="21" spans="1:6">
      <c r="A21">
        <f>IF(COUNTBLANK(B21:F21)&lt;&gt;COLUMNS(B21:F21),20,"")</f>
        <v>0</v>
      </c>
      <c r="C21" s="1">
        <f>IF(B21="", "", "human-skin")</f>
        <v>0</v>
      </c>
      <c r="E21" s="1">
        <f>IF(B21="", "", "human skin metagenome")</f>
        <v>0</v>
      </c>
      <c r="F21" s="1">
        <f>IF(B21="", "", "539655")</f>
        <v>0</v>
      </c>
    </row>
    <row r="22" spans="1:6">
      <c r="A22">
        <f>IF(COUNTBLANK(B22:F22)&lt;&gt;COLUMNS(B22:F22),21,"")</f>
        <v>0</v>
      </c>
      <c r="C22" s="1">
        <f>IF(B22="", "", "human-skin")</f>
        <v>0</v>
      </c>
      <c r="E22" s="1">
        <f>IF(B22="", "", "human skin metagenome")</f>
        <v>0</v>
      </c>
      <c r="F22" s="1">
        <f>IF(B22="", "", "539655")</f>
        <v>0</v>
      </c>
    </row>
    <row r="23" spans="1:6">
      <c r="A23">
        <f>IF(COUNTBLANK(B23:F23)&lt;&gt;COLUMNS(B23:F23),22,"")</f>
        <v>0</v>
      </c>
      <c r="C23" s="1">
        <f>IF(B23="", "", "human-skin")</f>
        <v>0</v>
      </c>
      <c r="E23" s="1">
        <f>IF(B23="", "", "human skin metagenome")</f>
        <v>0</v>
      </c>
      <c r="F23" s="1">
        <f>IF(B23="", "", "539655")</f>
        <v>0</v>
      </c>
    </row>
    <row r="24" spans="1:6">
      <c r="A24">
        <f>IF(COUNTBLANK(B24:F24)&lt;&gt;COLUMNS(B24:F24),23,"")</f>
        <v>0</v>
      </c>
      <c r="C24" s="1">
        <f>IF(B24="", "", "human-skin")</f>
        <v>0</v>
      </c>
      <c r="E24" s="1">
        <f>IF(B24="", "", "human skin metagenome")</f>
        <v>0</v>
      </c>
      <c r="F24" s="1">
        <f>IF(B24="", "", "539655")</f>
        <v>0</v>
      </c>
    </row>
    <row r="25" spans="1:6">
      <c r="A25">
        <f>IF(COUNTBLANK(B25:F25)&lt;&gt;COLUMNS(B25:F25),24,"")</f>
        <v>0</v>
      </c>
      <c r="C25" s="1">
        <f>IF(B25="", "", "human-skin")</f>
        <v>0</v>
      </c>
      <c r="E25" s="1">
        <f>IF(B25="", "", "human skin metagenome")</f>
        <v>0</v>
      </c>
      <c r="F25" s="1">
        <f>IF(B25="", "", "539655")</f>
        <v>0</v>
      </c>
    </row>
    <row r="26" spans="1:6">
      <c r="A26">
        <f>IF(COUNTBLANK(B26:F26)&lt;&gt;COLUMNS(B26:F26),25,"")</f>
        <v>0</v>
      </c>
      <c r="C26" s="1">
        <f>IF(B26="", "", "human-skin")</f>
        <v>0</v>
      </c>
      <c r="E26" s="1">
        <f>IF(B26="", "", "human skin metagenome")</f>
        <v>0</v>
      </c>
      <c r="F26" s="1">
        <f>IF(B26="", "", "539655")</f>
        <v>0</v>
      </c>
    </row>
    <row r="27" spans="1:6">
      <c r="A27">
        <f>IF(COUNTBLANK(B27:F27)&lt;&gt;COLUMNS(B27:F27),26,"")</f>
        <v>0</v>
      </c>
      <c r="C27" s="1">
        <f>IF(B27="", "", "human-skin")</f>
        <v>0</v>
      </c>
      <c r="E27" s="1">
        <f>IF(B27="", "", "human skin metagenome")</f>
        <v>0</v>
      </c>
      <c r="F27" s="1">
        <f>IF(B27="", "", "539655")</f>
        <v>0</v>
      </c>
    </row>
    <row r="28" spans="1:6">
      <c r="A28">
        <f>IF(COUNTBLANK(B28:F28)&lt;&gt;COLUMNS(B28:F28),27,"")</f>
        <v>0</v>
      </c>
      <c r="C28" s="1">
        <f>IF(B28="", "", "human-skin")</f>
        <v>0</v>
      </c>
      <c r="E28" s="1">
        <f>IF(B28="", "", "human skin metagenome")</f>
        <v>0</v>
      </c>
      <c r="F28" s="1">
        <f>IF(B28="", "", "539655")</f>
        <v>0</v>
      </c>
    </row>
    <row r="29" spans="1:6">
      <c r="A29">
        <f>IF(COUNTBLANK(B29:F29)&lt;&gt;COLUMNS(B29:F29),28,"")</f>
        <v>0</v>
      </c>
      <c r="C29" s="1">
        <f>IF(B29="", "", "human-skin")</f>
        <v>0</v>
      </c>
      <c r="E29" s="1">
        <f>IF(B29="", "", "human skin metagenome")</f>
        <v>0</v>
      </c>
      <c r="F29" s="1">
        <f>IF(B29="", "", "539655")</f>
        <v>0</v>
      </c>
    </row>
    <row r="30" spans="1:6">
      <c r="A30">
        <f>IF(COUNTBLANK(B30:F30)&lt;&gt;COLUMNS(B30:F30),29,"")</f>
        <v>0</v>
      </c>
      <c r="C30" s="1">
        <f>IF(B30="", "", "human-skin")</f>
        <v>0</v>
      </c>
      <c r="E30" s="1">
        <f>IF(B30="", "", "human skin metagenome")</f>
        <v>0</v>
      </c>
      <c r="F30" s="1">
        <f>IF(B30="", "", "539655")</f>
        <v>0</v>
      </c>
    </row>
    <row r="31" spans="1:6">
      <c r="A31">
        <f>IF(COUNTBLANK(B31:F31)&lt;&gt;COLUMNS(B31:F31),30,"")</f>
        <v>0</v>
      </c>
      <c r="C31" s="1">
        <f>IF(B31="", "", "human-skin")</f>
        <v>0</v>
      </c>
      <c r="E31" s="1">
        <f>IF(B31="", "", "human skin metagenome")</f>
        <v>0</v>
      </c>
      <c r="F31" s="1">
        <f>IF(B31="", "", "539655")</f>
        <v>0</v>
      </c>
    </row>
    <row r="32" spans="1:6">
      <c r="A32">
        <f>IF(COUNTBLANK(B32:F32)&lt;&gt;COLUMNS(B32:F32),31,"")</f>
        <v>0</v>
      </c>
      <c r="C32" s="1">
        <f>IF(B32="", "", "human-skin")</f>
        <v>0</v>
      </c>
      <c r="E32" s="1">
        <f>IF(B32="", "", "human skin metagenome")</f>
        <v>0</v>
      </c>
      <c r="F32" s="1">
        <f>IF(B32="", "", "539655")</f>
        <v>0</v>
      </c>
    </row>
    <row r="33" spans="1:6">
      <c r="A33">
        <f>IF(COUNTBLANK(B33:F33)&lt;&gt;COLUMNS(B33:F33),32,"")</f>
        <v>0</v>
      </c>
      <c r="C33" s="1">
        <f>IF(B33="", "", "human-skin")</f>
        <v>0</v>
      </c>
      <c r="E33" s="1">
        <f>IF(B33="", "", "human skin metagenome")</f>
        <v>0</v>
      </c>
      <c r="F33" s="1">
        <f>IF(B33="", "", "539655")</f>
        <v>0</v>
      </c>
    </row>
    <row r="34" spans="1:6">
      <c r="A34">
        <f>IF(COUNTBLANK(B34:F34)&lt;&gt;COLUMNS(B34:F34),33,"")</f>
        <v>0</v>
      </c>
      <c r="C34" s="1">
        <f>IF(B34="", "", "human-skin")</f>
        <v>0</v>
      </c>
      <c r="E34" s="1">
        <f>IF(B34="", "", "human skin metagenome")</f>
        <v>0</v>
      </c>
      <c r="F34" s="1">
        <f>IF(B34="", "", "539655")</f>
        <v>0</v>
      </c>
    </row>
    <row r="35" spans="1:6">
      <c r="A35">
        <f>IF(COUNTBLANK(B35:F35)&lt;&gt;COLUMNS(B35:F35),34,"")</f>
        <v>0</v>
      </c>
      <c r="C35" s="1">
        <f>IF(B35="", "", "human-skin")</f>
        <v>0</v>
      </c>
      <c r="E35" s="1">
        <f>IF(B35="", "", "human skin metagenome")</f>
        <v>0</v>
      </c>
      <c r="F35" s="1">
        <f>IF(B35="", "", "539655")</f>
        <v>0</v>
      </c>
    </row>
    <row r="36" spans="1:6">
      <c r="A36">
        <f>IF(COUNTBLANK(B36:F36)&lt;&gt;COLUMNS(B36:F36),35,"")</f>
        <v>0</v>
      </c>
      <c r="C36" s="1">
        <f>IF(B36="", "", "human-skin")</f>
        <v>0</v>
      </c>
      <c r="E36" s="1">
        <f>IF(B36="", "", "human skin metagenome")</f>
        <v>0</v>
      </c>
      <c r="F36" s="1">
        <f>IF(B36="", "", "539655")</f>
        <v>0</v>
      </c>
    </row>
    <row r="37" spans="1:6">
      <c r="A37">
        <f>IF(COUNTBLANK(B37:F37)&lt;&gt;COLUMNS(B37:F37),36,"")</f>
        <v>0</v>
      </c>
      <c r="C37" s="1">
        <f>IF(B37="", "", "human-skin")</f>
        <v>0</v>
      </c>
      <c r="E37" s="1">
        <f>IF(B37="", "", "human skin metagenome")</f>
        <v>0</v>
      </c>
      <c r="F37" s="1">
        <f>IF(B37="", "", "539655")</f>
        <v>0</v>
      </c>
    </row>
    <row r="38" spans="1:6">
      <c r="A38">
        <f>IF(COUNTBLANK(B38:F38)&lt;&gt;COLUMNS(B38:F38),37,"")</f>
        <v>0</v>
      </c>
      <c r="C38" s="1">
        <f>IF(B38="", "", "human-skin")</f>
        <v>0</v>
      </c>
      <c r="E38" s="1">
        <f>IF(B38="", "", "human skin metagenome")</f>
        <v>0</v>
      </c>
      <c r="F38" s="1">
        <f>IF(B38="", "", "539655")</f>
        <v>0</v>
      </c>
    </row>
    <row r="39" spans="1:6">
      <c r="A39">
        <f>IF(COUNTBLANK(B39:F39)&lt;&gt;COLUMNS(B39:F39),38,"")</f>
        <v>0</v>
      </c>
      <c r="C39" s="1">
        <f>IF(B39="", "", "human-skin")</f>
        <v>0</v>
      </c>
      <c r="E39" s="1">
        <f>IF(B39="", "", "human skin metagenome")</f>
        <v>0</v>
      </c>
      <c r="F39" s="1">
        <f>IF(B39="", "", "539655")</f>
        <v>0</v>
      </c>
    </row>
    <row r="40" spans="1:6">
      <c r="A40">
        <f>IF(COUNTBLANK(B40:F40)&lt;&gt;COLUMNS(B40:F40),39,"")</f>
        <v>0</v>
      </c>
      <c r="C40" s="1">
        <f>IF(B40="", "", "human-skin")</f>
        <v>0</v>
      </c>
      <c r="E40" s="1">
        <f>IF(B40="", "", "human skin metagenome")</f>
        <v>0</v>
      </c>
      <c r="F40" s="1">
        <f>IF(B40="", "", "539655")</f>
        <v>0</v>
      </c>
    </row>
    <row r="41" spans="1:6">
      <c r="A41">
        <f>IF(COUNTBLANK(B41:F41)&lt;&gt;COLUMNS(B41:F41),40,"")</f>
        <v>0</v>
      </c>
      <c r="C41" s="1">
        <f>IF(B41="", "", "human-skin")</f>
        <v>0</v>
      </c>
      <c r="E41" s="1">
        <f>IF(B41="", "", "human skin metagenome")</f>
        <v>0</v>
      </c>
      <c r="F41" s="1">
        <f>IF(B41="", "", "539655")</f>
        <v>0</v>
      </c>
    </row>
    <row r="42" spans="1:6">
      <c r="A42">
        <f>IF(COUNTBLANK(B42:F42)&lt;&gt;COLUMNS(B42:F42),41,"")</f>
        <v>0</v>
      </c>
      <c r="C42" s="1">
        <f>IF(B42="", "", "human-skin")</f>
        <v>0</v>
      </c>
      <c r="E42" s="1">
        <f>IF(B42="", "", "human skin metagenome")</f>
        <v>0</v>
      </c>
      <c r="F42" s="1">
        <f>IF(B42="", "", "539655")</f>
        <v>0</v>
      </c>
    </row>
    <row r="43" spans="1:6">
      <c r="A43">
        <f>IF(COUNTBLANK(B43:F43)&lt;&gt;COLUMNS(B43:F43),42,"")</f>
        <v>0</v>
      </c>
      <c r="C43" s="1">
        <f>IF(B43="", "", "human-skin")</f>
        <v>0</v>
      </c>
      <c r="E43" s="1">
        <f>IF(B43="", "", "human skin metagenome")</f>
        <v>0</v>
      </c>
      <c r="F43" s="1">
        <f>IF(B43="", "", "539655")</f>
        <v>0</v>
      </c>
    </row>
    <row r="44" spans="1:6">
      <c r="A44">
        <f>IF(COUNTBLANK(B44:F44)&lt;&gt;COLUMNS(B44:F44),43,"")</f>
        <v>0</v>
      </c>
      <c r="C44" s="1">
        <f>IF(B44="", "", "human-skin")</f>
        <v>0</v>
      </c>
      <c r="E44" s="1">
        <f>IF(B44="", "", "human skin metagenome")</f>
        <v>0</v>
      </c>
      <c r="F44" s="1">
        <f>IF(B44="", "", "539655")</f>
        <v>0</v>
      </c>
    </row>
    <row r="45" spans="1:6">
      <c r="A45">
        <f>IF(COUNTBLANK(B45:F45)&lt;&gt;COLUMNS(B45:F45),44,"")</f>
        <v>0</v>
      </c>
      <c r="C45" s="1">
        <f>IF(B45="", "", "human-skin")</f>
        <v>0</v>
      </c>
      <c r="E45" s="1">
        <f>IF(B45="", "", "human skin metagenome")</f>
        <v>0</v>
      </c>
      <c r="F45" s="1">
        <f>IF(B45="", "", "539655")</f>
        <v>0</v>
      </c>
    </row>
    <row r="46" spans="1:6">
      <c r="A46">
        <f>IF(COUNTBLANK(B46:F46)&lt;&gt;COLUMNS(B46:F46),45,"")</f>
        <v>0</v>
      </c>
      <c r="C46" s="1">
        <f>IF(B46="", "", "human-skin")</f>
        <v>0</v>
      </c>
      <c r="E46" s="1">
        <f>IF(B46="", "", "human skin metagenome")</f>
        <v>0</v>
      </c>
      <c r="F46" s="1">
        <f>IF(B46="", "", "539655")</f>
        <v>0</v>
      </c>
    </row>
    <row r="47" spans="1:6">
      <c r="A47">
        <f>IF(COUNTBLANK(B47:F47)&lt;&gt;COLUMNS(B47:F47),46,"")</f>
        <v>0</v>
      </c>
      <c r="C47" s="1">
        <f>IF(B47="", "", "human-skin")</f>
        <v>0</v>
      </c>
      <c r="E47" s="1">
        <f>IF(B47="", "", "human skin metagenome")</f>
        <v>0</v>
      </c>
      <c r="F47" s="1">
        <f>IF(B47="", "", "539655")</f>
        <v>0</v>
      </c>
    </row>
    <row r="48" spans="1:6">
      <c r="A48">
        <f>IF(COUNTBLANK(B48:F48)&lt;&gt;COLUMNS(B48:F48),47,"")</f>
        <v>0</v>
      </c>
      <c r="C48" s="1">
        <f>IF(B48="", "", "human-skin")</f>
        <v>0</v>
      </c>
      <c r="E48" s="1">
        <f>IF(B48="", "", "human skin metagenome")</f>
        <v>0</v>
      </c>
      <c r="F48" s="1">
        <f>IF(B48="", "", "539655")</f>
        <v>0</v>
      </c>
    </row>
    <row r="49" spans="1:6">
      <c r="A49">
        <f>IF(COUNTBLANK(B49:F49)&lt;&gt;COLUMNS(B49:F49),48,"")</f>
        <v>0</v>
      </c>
      <c r="C49" s="1">
        <f>IF(B49="", "", "human-skin")</f>
        <v>0</v>
      </c>
      <c r="E49" s="1">
        <f>IF(B49="", "", "human skin metagenome")</f>
        <v>0</v>
      </c>
      <c r="F49" s="1">
        <f>IF(B49="", "", "539655")</f>
        <v>0</v>
      </c>
    </row>
    <row r="50" spans="1:6">
      <c r="A50">
        <f>IF(COUNTBLANK(B50:F50)&lt;&gt;COLUMNS(B50:F50),49,"")</f>
        <v>0</v>
      </c>
      <c r="C50" s="1">
        <f>IF(B50="", "", "human-skin")</f>
        <v>0</v>
      </c>
      <c r="E50" s="1">
        <f>IF(B50="", "", "human skin metagenome")</f>
        <v>0</v>
      </c>
      <c r="F50" s="1">
        <f>IF(B50="", "", "539655")</f>
        <v>0</v>
      </c>
    </row>
    <row r="51" spans="1:6">
      <c r="A51">
        <f>IF(COUNTBLANK(B51:F51)&lt;&gt;COLUMNS(B51:F51),50,"")</f>
        <v>0</v>
      </c>
      <c r="C51" s="1">
        <f>IF(B51="", "", "human-skin")</f>
        <v>0</v>
      </c>
      <c r="E51" s="1">
        <f>IF(B51="", "", "human skin metagenome")</f>
        <v>0</v>
      </c>
      <c r="F51" s="1">
        <f>IF(B51="", "", "539655")</f>
        <v>0</v>
      </c>
    </row>
    <row r="52" spans="1:6">
      <c r="A52">
        <f>IF(COUNTBLANK(B52:F52)&lt;&gt;COLUMNS(B52:F52),51,"")</f>
        <v>0</v>
      </c>
      <c r="C52" s="1">
        <f>IF(B52="", "", "human-skin")</f>
        <v>0</v>
      </c>
      <c r="E52" s="1">
        <f>IF(B52="", "", "human skin metagenome")</f>
        <v>0</v>
      </c>
      <c r="F52" s="1">
        <f>IF(B52="", "", "539655")</f>
        <v>0</v>
      </c>
    </row>
    <row r="53" spans="1:6">
      <c r="A53">
        <f>IF(COUNTBLANK(B53:F53)&lt;&gt;COLUMNS(B53:F53),52,"")</f>
        <v>0</v>
      </c>
      <c r="C53" s="1">
        <f>IF(B53="", "", "human-skin")</f>
        <v>0</v>
      </c>
      <c r="E53" s="1">
        <f>IF(B53="", "", "human skin metagenome")</f>
        <v>0</v>
      </c>
      <c r="F53" s="1">
        <f>IF(B53="", "", "539655")</f>
        <v>0</v>
      </c>
    </row>
    <row r="54" spans="1:6">
      <c r="A54">
        <f>IF(COUNTBLANK(B54:F54)&lt;&gt;COLUMNS(B54:F54),53,"")</f>
        <v>0</v>
      </c>
      <c r="C54" s="1">
        <f>IF(B54="", "", "human-skin")</f>
        <v>0</v>
      </c>
      <c r="E54" s="1">
        <f>IF(B54="", "", "human skin metagenome")</f>
        <v>0</v>
      </c>
      <c r="F54" s="1">
        <f>IF(B54="", "", "539655")</f>
        <v>0</v>
      </c>
    </row>
    <row r="55" spans="1:6">
      <c r="A55">
        <f>IF(COUNTBLANK(B55:F55)&lt;&gt;COLUMNS(B55:F55),54,"")</f>
        <v>0</v>
      </c>
      <c r="C55" s="1">
        <f>IF(B55="", "", "human-skin")</f>
        <v>0</v>
      </c>
      <c r="E55" s="1">
        <f>IF(B55="", "", "human skin metagenome")</f>
        <v>0</v>
      </c>
      <c r="F55" s="1">
        <f>IF(B55="", "", "539655")</f>
        <v>0</v>
      </c>
    </row>
    <row r="56" spans="1:6">
      <c r="A56">
        <f>IF(COUNTBLANK(B56:F56)&lt;&gt;COLUMNS(B56:F56),55,"")</f>
        <v>0</v>
      </c>
      <c r="C56" s="1">
        <f>IF(B56="", "", "human-skin")</f>
        <v>0</v>
      </c>
      <c r="E56" s="1">
        <f>IF(B56="", "", "human skin metagenome")</f>
        <v>0</v>
      </c>
      <c r="F56" s="1">
        <f>IF(B56="", "", "539655")</f>
        <v>0</v>
      </c>
    </row>
    <row r="57" spans="1:6">
      <c r="A57">
        <f>IF(COUNTBLANK(B57:F57)&lt;&gt;COLUMNS(B57:F57),56,"")</f>
        <v>0</v>
      </c>
      <c r="C57" s="1">
        <f>IF(B57="", "", "human-skin")</f>
        <v>0</v>
      </c>
      <c r="E57" s="1">
        <f>IF(B57="", "", "human skin metagenome")</f>
        <v>0</v>
      </c>
      <c r="F57" s="1">
        <f>IF(B57="", "", "539655")</f>
        <v>0</v>
      </c>
    </row>
    <row r="58" spans="1:6">
      <c r="A58">
        <f>IF(COUNTBLANK(B58:F58)&lt;&gt;COLUMNS(B58:F58),57,"")</f>
        <v>0</v>
      </c>
      <c r="C58" s="1">
        <f>IF(B58="", "", "human-skin")</f>
        <v>0</v>
      </c>
      <c r="E58" s="1">
        <f>IF(B58="", "", "human skin metagenome")</f>
        <v>0</v>
      </c>
      <c r="F58" s="1">
        <f>IF(B58="", "", "539655")</f>
        <v>0</v>
      </c>
    </row>
    <row r="59" spans="1:6">
      <c r="A59">
        <f>IF(COUNTBLANK(B59:F59)&lt;&gt;COLUMNS(B59:F59),58,"")</f>
        <v>0</v>
      </c>
      <c r="C59" s="1">
        <f>IF(B59="", "", "human-skin")</f>
        <v>0</v>
      </c>
      <c r="E59" s="1">
        <f>IF(B59="", "", "human skin metagenome")</f>
        <v>0</v>
      </c>
      <c r="F59" s="1">
        <f>IF(B59="", "", "539655")</f>
        <v>0</v>
      </c>
    </row>
    <row r="60" spans="1:6">
      <c r="A60">
        <f>IF(COUNTBLANK(B60:F60)&lt;&gt;COLUMNS(B60:F60),59,"")</f>
        <v>0</v>
      </c>
      <c r="C60" s="1">
        <f>IF(B60="", "", "human-skin")</f>
        <v>0</v>
      </c>
      <c r="E60" s="1">
        <f>IF(B60="", "", "human skin metagenome")</f>
        <v>0</v>
      </c>
      <c r="F60" s="1">
        <f>IF(B60="", "", "539655")</f>
        <v>0</v>
      </c>
    </row>
    <row r="61" spans="1:6">
      <c r="A61">
        <f>IF(COUNTBLANK(B61:F61)&lt;&gt;COLUMNS(B61:F61),60,"")</f>
        <v>0</v>
      </c>
      <c r="C61" s="1">
        <f>IF(B61="", "", "human-skin")</f>
        <v>0</v>
      </c>
      <c r="E61" s="1">
        <f>IF(B61="", "", "human skin metagenome")</f>
        <v>0</v>
      </c>
      <c r="F61" s="1">
        <f>IF(B61="", "", "539655")</f>
        <v>0</v>
      </c>
    </row>
    <row r="62" spans="1:6">
      <c r="A62">
        <f>IF(COUNTBLANK(B62:F62)&lt;&gt;COLUMNS(B62:F62),61,"")</f>
        <v>0</v>
      </c>
      <c r="C62" s="1">
        <f>IF(B62="", "", "human-skin")</f>
        <v>0</v>
      </c>
      <c r="E62" s="1">
        <f>IF(B62="", "", "human skin metagenome")</f>
        <v>0</v>
      </c>
      <c r="F62" s="1">
        <f>IF(B62="", "", "539655")</f>
        <v>0</v>
      </c>
    </row>
    <row r="63" spans="1:6">
      <c r="A63">
        <f>IF(COUNTBLANK(B63:F63)&lt;&gt;COLUMNS(B63:F63),62,"")</f>
        <v>0</v>
      </c>
      <c r="C63" s="1">
        <f>IF(B63="", "", "human-skin")</f>
        <v>0</v>
      </c>
      <c r="E63" s="1">
        <f>IF(B63="", "", "human skin metagenome")</f>
        <v>0</v>
      </c>
      <c r="F63" s="1">
        <f>IF(B63="", "", "539655")</f>
        <v>0</v>
      </c>
    </row>
    <row r="64" spans="1:6">
      <c r="A64">
        <f>IF(COUNTBLANK(B64:F64)&lt;&gt;COLUMNS(B64:F64),63,"")</f>
        <v>0</v>
      </c>
      <c r="C64" s="1">
        <f>IF(B64="", "", "human-skin")</f>
        <v>0</v>
      </c>
      <c r="E64" s="1">
        <f>IF(B64="", "", "human skin metagenome")</f>
        <v>0</v>
      </c>
      <c r="F64" s="1">
        <f>IF(B64="", "", "539655")</f>
        <v>0</v>
      </c>
    </row>
    <row r="65" spans="1:6">
      <c r="A65">
        <f>IF(COUNTBLANK(B65:F65)&lt;&gt;COLUMNS(B65:F65),64,"")</f>
        <v>0</v>
      </c>
      <c r="C65" s="1">
        <f>IF(B65="", "", "human-skin")</f>
        <v>0</v>
      </c>
      <c r="E65" s="1">
        <f>IF(B65="", "", "human skin metagenome")</f>
        <v>0</v>
      </c>
      <c r="F65" s="1">
        <f>IF(B65="", "", "539655")</f>
        <v>0</v>
      </c>
    </row>
    <row r="66" spans="1:6">
      <c r="A66">
        <f>IF(COUNTBLANK(B66:F66)&lt;&gt;COLUMNS(B66:F66),65,"")</f>
        <v>0</v>
      </c>
      <c r="C66" s="1">
        <f>IF(B66="", "", "human-skin")</f>
        <v>0</v>
      </c>
      <c r="E66" s="1">
        <f>IF(B66="", "", "human skin metagenome")</f>
        <v>0</v>
      </c>
      <c r="F66" s="1">
        <f>IF(B66="", "", "539655")</f>
        <v>0</v>
      </c>
    </row>
    <row r="67" spans="1:6">
      <c r="A67">
        <f>IF(COUNTBLANK(B67:F67)&lt;&gt;COLUMNS(B67:F67),66,"")</f>
        <v>0</v>
      </c>
      <c r="C67" s="1">
        <f>IF(B67="", "", "human-skin")</f>
        <v>0</v>
      </c>
      <c r="E67" s="1">
        <f>IF(B67="", "", "human skin metagenome")</f>
        <v>0</v>
      </c>
      <c r="F67" s="1">
        <f>IF(B67="", "", "539655")</f>
        <v>0</v>
      </c>
    </row>
    <row r="68" spans="1:6">
      <c r="A68">
        <f>IF(COUNTBLANK(B68:F68)&lt;&gt;COLUMNS(B68:F68),67,"")</f>
        <v>0</v>
      </c>
      <c r="C68" s="1">
        <f>IF(B68="", "", "human-skin")</f>
        <v>0</v>
      </c>
      <c r="E68" s="1">
        <f>IF(B68="", "", "human skin metagenome")</f>
        <v>0</v>
      </c>
      <c r="F68" s="1">
        <f>IF(B68="", "", "539655")</f>
        <v>0</v>
      </c>
    </row>
    <row r="69" spans="1:6">
      <c r="A69">
        <f>IF(COUNTBLANK(B69:F69)&lt;&gt;COLUMNS(B69:F69),68,"")</f>
        <v>0</v>
      </c>
      <c r="C69" s="1">
        <f>IF(B69="", "", "human-skin")</f>
        <v>0</v>
      </c>
      <c r="E69" s="1">
        <f>IF(B69="", "", "human skin metagenome")</f>
        <v>0</v>
      </c>
      <c r="F69" s="1">
        <f>IF(B69="", "", "539655")</f>
        <v>0</v>
      </c>
    </row>
    <row r="70" spans="1:6">
      <c r="A70">
        <f>IF(COUNTBLANK(B70:F70)&lt;&gt;COLUMNS(B70:F70),69,"")</f>
        <v>0</v>
      </c>
      <c r="C70" s="1">
        <f>IF(B70="", "", "human-skin")</f>
        <v>0</v>
      </c>
      <c r="E70" s="1">
        <f>IF(B70="", "", "human skin metagenome")</f>
        <v>0</v>
      </c>
      <c r="F70" s="1">
        <f>IF(B70="", "", "539655")</f>
        <v>0</v>
      </c>
    </row>
    <row r="71" spans="1:6">
      <c r="A71">
        <f>IF(COUNTBLANK(B71:F71)&lt;&gt;COLUMNS(B71:F71),70,"")</f>
        <v>0</v>
      </c>
      <c r="C71" s="1">
        <f>IF(B71="", "", "human-skin")</f>
        <v>0</v>
      </c>
      <c r="E71" s="1">
        <f>IF(B71="", "", "human skin metagenome")</f>
        <v>0</v>
      </c>
      <c r="F71" s="1">
        <f>IF(B71="", "", "539655")</f>
        <v>0</v>
      </c>
    </row>
    <row r="72" spans="1:6">
      <c r="A72">
        <f>IF(COUNTBLANK(B72:F72)&lt;&gt;COLUMNS(B72:F72),71,"")</f>
        <v>0</v>
      </c>
      <c r="C72" s="1">
        <f>IF(B72="", "", "human-skin")</f>
        <v>0</v>
      </c>
      <c r="E72" s="1">
        <f>IF(B72="", "", "human skin metagenome")</f>
        <v>0</v>
      </c>
      <c r="F72" s="1">
        <f>IF(B72="", "", "539655")</f>
        <v>0</v>
      </c>
    </row>
    <row r="73" spans="1:6">
      <c r="A73">
        <f>IF(COUNTBLANK(B73:F73)&lt;&gt;COLUMNS(B73:F73),72,"")</f>
        <v>0</v>
      </c>
      <c r="C73" s="1">
        <f>IF(B73="", "", "human-skin")</f>
        <v>0</v>
      </c>
      <c r="E73" s="1">
        <f>IF(B73="", "", "human skin metagenome")</f>
        <v>0</v>
      </c>
      <c r="F73" s="1">
        <f>IF(B73="", "", "539655")</f>
        <v>0</v>
      </c>
    </row>
    <row r="74" spans="1:6">
      <c r="A74">
        <f>IF(COUNTBLANK(B74:F74)&lt;&gt;COLUMNS(B74:F74),73,"")</f>
        <v>0</v>
      </c>
      <c r="C74" s="1">
        <f>IF(B74="", "", "human-skin")</f>
        <v>0</v>
      </c>
      <c r="E74" s="1">
        <f>IF(B74="", "", "human skin metagenome")</f>
        <v>0</v>
      </c>
      <c r="F74" s="1">
        <f>IF(B74="", "", "539655")</f>
        <v>0</v>
      </c>
    </row>
    <row r="75" spans="1:6">
      <c r="A75">
        <f>IF(COUNTBLANK(B75:F75)&lt;&gt;COLUMNS(B75:F75),74,"")</f>
        <v>0</v>
      </c>
      <c r="C75" s="1">
        <f>IF(B75="", "", "human-skin")</f>
        <v>0</v>
      </c>
      <c r="E75" s="1">
        <f>IF(B75="", "", "human skin metagenome")</f>
        <v>0</v>
      </c>
      <c r="F75" s="1">
        <f>IF(B75="", "", "539655")</f>
        <v>0</v>
      </c>
    </row>
    <row r="76" spans="1:6">
      <c r="A76">
        <f>IF(COUNTBLANK(B76:F76)&lt;&gt;COLUMNS(B76:F76),75,"")</f>
        <v>0</v>
      </c>
      <c r="C76" s="1">
        <f>IF(B76="", "", "human-skin")</f>
        <v>0</v>
      </c>
      <c r="E76" s="1">
        <f>IF(B76="", "", "human skin metagenome")</f>
        <v>0</v>
      </c>
      <c r="F76" s="1">
        <f>IF(B76="", "", "539655")</f>
        <v>0</v>
      </c>
    </row>
    <row r="77" spans="1:6">
      <c r="A77">
        <f>IF(COUNTBLANK(B77:F77)&lt;&gt;COLUMNS(B77:F77),76,"")</f>
        <v>0</v>
      </c>
      <c r="C77" s="1">
        <f>IF(B77="", "", "human-skin")</f>
        <v>0</v>
      </c>
      <c r="E77" s="1">
        <f>IF(B77="", "", "human skin metagenome")</f>
        <v>0</v>
      </c>
      <c r="F77" s="1">
        <f>IF(B77="", "", "539655")</f>
        <v>0</v>
      </c>
    </row>
    <row r="78" spans="1:6">
      <c r="A78">
        <f>IF(COUNTBLANK(B78:F78)&lt;&gt;COLUMNS(B78:F78),77,"")</f>
        <v>0</v>
      </c>
      <c r="C78" s="1">
        <f>IF(B78="", "", "human-skin")</f>
        <v>0</v>
      </c>
      <c r="E78" s="1">
        <f>IF(B78="", "", "human skin metagenome")</f>
        <v>0</v>
      </c>
      <c r="F78" s="1">
        <f>IF(B78="", "", "539655")</f>
        <v>0</v>
      </c>
    </row>
    <row r="79" spans="1:6">
      <c r="A79">
        <f>IF(COUNTBLANK(B79:F79)&lt;&gt;COLUMNS(B79:F79),78,"")</f>
        <v>0</v>
      </c>
      <c r="C79" s="1">
        <f>IF(B79="", "", "human-skin")</f>
        <v>0</v>
      </c>
      <c r="E79" s="1">
        <f>IF(B79="", "", "human skin metagenome")</f>
        <v>0</v>
      </c>
      <c r="F79" s="1">
        <f>IF(B79="", "", "539655")</f>
        <v>0</v>
      </c>
    </row>
    <row r="80" spans="1:6">
      <c r="A80">
        <f>IF(COUNTBLANK(B80:F80)&lt;&gt;COLUMNS(B80:F80),79,"")</f>
        <v>0</v>
      </c>
      <c r="C80" s="1">
        <f>IF(B80="", "", "human-skin")</f>
        <v>0</v>
      </c>
      <c r="E80" s="1">
        <f>IF(B80="", "", "human skin metagenome")</f>
        <v>0</v>
      </c>
      <c r="F80" s="1">
        <f>IF(B80="", "", "539655")</f>
        <v>0</v>
      </c>
    </row>
    <row r="81" spans="1:6">
      <c r="A81">
        <f>IF(COUNTBLANK(B81:F81)&lt;&gt;COLUMNS(B81:F81),80,"")</f>
        <v>0</v>
      </c>
      <c r="C81" s="1">
        <f>IF(B81="", "", "human-skin")</f>
        <v>0</v>
      </c>
      <c r="E81" s="1">
        <f>IF(B81="", "", "human skin metagenome")</f>
        <v>0</v>
      </c>
      <c r="F81" s="1">
        <f>IF(B81="", "", "539655")</f>
        <v>0</v>
      </c>
    </row>
    <row r="82" spans="1:6">
      <c r="A82">
        <f>IF(COUNTBLANK(B82:F82)&lt;&gt;COLUMNS(B82:F82),81,"")</f>
        <v>0</v>
      </c>
      <c r="C82" s="1">
        <f>IF(B82="", "", "human-skin")</f>
        <v>0</v>
      </c>
      <c r="E82" s="1">
        <f>IF(B82="", "", "human skin metagenome")</f>
        <v>0</v>
      </c>
      <c r="F82" s="1">
        <f>IF(B82="", "", "539655")</f>
        <v>0</v>
      </c>
    </row>
    <row r="83" spans="1:6">
      <c r="A83">
        <f>IF(COUNTBLANK(B83:F83)&lt;&gt;COLUMNS(B83:F83),82,"")</f>
        <v>0</v>
      </c>
      <c r="C83" s="1">
        <f>IF(B83="", "", "human-skin")</f>
        <v>0</v>
      </c>
      <c r="E83" s="1">
        <f>IF(B83="", "", "human skin metagenome")</f>
        <v>0</v>
      </c>
      <c r="F83" s="1">
        <f>IF(B83="", "", "539655")</f>
        <v>0</v>
      </c>
    </row>
    <row r="84" spans="1:6">
      <c r="A84">
        <f>IF(COUNTBLANK(B84:F84)&lt;&gt;COLUMNS(B84:F84),83,"")</f>
        <v>0</v>
      </c>
      <c r="C84" s="1">
        <f>IF(B84="", "", "human-skin")</f>
        <v>0</v>
      </c>
      <c r="E84" s="1">
        <f>IF(B84="", "", "human skin metagenome")</f>
        <v>0</v>
      </c>
      <c r="F84" s="1">
        <f>IF(B84="", "", "539655")</f>
        <v>0</v>
      </c>
    </row>
    <row r="85" spans="1:6">
      <c r="A85">
        <f>IF(COUNTBLANK(B85:F85)&lt;&gt;COLUMNS(B85:F85),84,"")</f>
        <v>0</v>
      </c>
      <c r="C85" s="1">
        <f>IF(B85="", "", "human-skin")</f>
        <v>0</v>
      </c>
      <c r="E85" s="1">
        <f>IF(B85="", "", "human skin metagenome")</f>
        <v>0</v>
      </c>
      <c r="F85" s="1">
        <f>IF(B85="", "", "539655")</f>
        <v>0</v>
      </c>
    </row>
    <row r="86" spans="1:6">
      <c r="A86">
        <f>IF(COUNTBLANK(B86:F86)&lt;&gt;COLUMNS(B86:F86),85,"")</f>
        <v>0</v>
      </c>
      <c r="C86" s="1">
        <f>IF(B86="", "", "human-skin")</f>
        <v>0</v>
      </c>
      <c r="E86" s="1">
        <f>IF(B86="", "", "human skin metagenome")</f>
        <v>0</v>
      </c>
      <c r="F86" s="1">
        <f>IF(B86="", "", "539655")</f>
        <v>0</v>
      </c>
    </row>
    <row r="87" spans="1:6">
      <c r="A87">
        <f>IF(COUNTBLANK(B87:F87)&lt;&gt;COLUMNS(B87:F87),86,"")</f>
        <v>0</v>
      </c>
      <c r="C87" s="1">
        <f>IF(B87="", "", "human-skin")</f>
        <v>0</v>
      </c>
      <c r="E87" s="1">
        <f>IF(B87="", "", "human skin metagenome")</f>
        <v>0</v>
      </c>
      <c r="F87" s="1">
        <f>IF(B87="", "", "539655")</f>
        <v>0</v>
      </c>
    </row>
    <row r="88" spans="1:6">
      <c r="A88">
        <f>IF(COUNTBLANK(B88:F88)&lt;&gt;COLUMNS(B88:F88),87,"")</f>
        <v>0</v>
      </c>
      <c r="C88" s="1">
        <f>IF(B88="", "", "human-skin")</f>
        <v>0</v>
      </c>
      <c r="E88" s="1">
        <f>IF(B88="", "", "human skin metagenome")</f>
        <v>0</v>
      </c>
      <c r="F88" s="1">
        <f>IF(B88="", "", "539655")</f>
        <v>0</v>
      </c>
    </row>
    <row r="89" spans="1:6">
      <c r="A89">
        <f>IF(COUNTBLANK(B89:F89)&lt;&gt;COLUMNS(B89:F89),88,"")</f>
        <v>0</v>
      </c>
      <c r="C89" s="1">
        <f>IF(B89="", "", "human-skin")</f>
        <v>0</v>
      </c>
      <c r="E89" s="1">
        <f>IF(B89="", "", "human skin metagenome")</f>
        <v>0</v>
      </c>
      <c r="F89" s="1">
        <f>IF(B89="", "", "539655")</f>
        <v>0</v>
      </c>
    </row>
    <row r="90" spans="1:6">
      <c r="A90">
        <f>IF(COUNTBLANK(B90:F90)&lt;&gt;COLUMNS(B90:F90),89,"")</f>
        <v>0</v>
      </c>
      <c r="C90" s="1">
        <f>IF(B90="", "", "human-skin")</f>
        <v>0</v>
      </c>
      <c r="E90" s="1">
        <f>IF(B90="", "", "human skin metagenome")</f>
        <v>0</v>
      </c>
      <c r="F90" s="1">
        <f>IF(B90="", "", "539655")</f>
        <v>0</v>
      </c>
    </row>
    <row r="91" spans="1:6">
      <c r="A91">
        <f>IF(COUNTBLANK(B91:F91)&lt;&gt;COLUMNS(B91:F91),90,"")</f>
        <v>0</v>
      </c>
      <c r="C91" s="1">
        <f>IF(B91="", "", "human-skin")</f>
        <v>0</v>
      </c>
      <c r="E91" s="1">
        <f>IF(B91="", "", "human skin metagenome")</f>
        <v>0</v>
      </c>
      <c r="F91" s="1">
        <f>IF(B91="", "", "539655")</f>
        <v>0</v>
      </c>
    </row>
    <row r="92" spans="1:6">
      <c r="A92">
        <f>IF(COUNTBLANK(B92:F92)&lt;&gt;COLUMNS(B92:F92),91,"")</f>
        <v>0</v>
      </c>
      <c r="C92" s="1">
        <f>IF(B92="", "", "human-skin")</f>
        <v>0</v>
      </c>
      <c r="E92" s="1">
        <f>IF(B92="", "", "human skin metagenome")</f>
        <v>0</v>
      </c>
      <c r="F92" s="1">
        <f>IF(B92="", "", "539655")</f>
        <v>0</v>
      </c>
    </row>
    <row r="93" spans="1:6">
      <c r="A93">
        <f>IF(COUNTBLANK(B93:F93)&lt;&gt;COLUMNS(B93:F93),92,"")</f>
        <v>0</v>
      </c>
      <c r="C93" s="1">
        <f>IF(B93="", "", "human-skin")</f>
        <v>0</v>
      </c>
      <c r="E93" s="1">
        <f>IF(B93="", "", "human skin metagenome")</f>
        <v>0</v>
      </c>
      <c r="F93" s="1">
        <f>IF(B93="", "", "539655")</f>
        <v>0</v>
      </c>
    </row>
    <row r="94" spans="1:6">
      <c r="A94">
        <f>IF(COUNTBLANK(B94:F94)&lt;&gt;COLUMNS(B94:F94),93,"")</f>
        <v>0</v>
      </c>
      <c r="C94" s="1">
        <f>IF(B94="", "", "human-skin")</f>
        <v>0</v>
      </c>
      <c r="E94" s="1">
        <f>IF(B94="", "", "human skin metagenome")</f>
        <v>0</v>
      </c>
      <c r="F94" s="1">
        <f>IF(B94="", "", "539655")</f>
        <v>0</v>
      </c>
    </row>
    <row r="95" spans="1:6">
      <c r="A95">
        <f>IF(COUNTBLANK(B95:F95)&lt;&gt;COLUMNS(B95:F95),94,"")</f>
        <v>0</v>
      </c>
      <c r="C95" s="1">
        <f>IF(B95="", "", "human-skin")</f>
        <v>0</v>
      </c>
      <c r="E95" s="1">
        <f>IF(B95="", "", "human skin metagenome")</f>
        <v>0</v>
      </c>
      <c r="F95" s="1">
        <f>IF(B95="", "", "539655")</f>
        <v>0</v>
      </c>
    </row>
    <row r="96" spans="1:6">
      <c r="A96">
        <f>IF(COUNTBLANK(B96:F96)&lt;&gt;COLUMNS(B96:F96),95,"")</f>
        <v>0</v>
      </c>
      <c r="C96" s="1">
        <f>IF(B96="", "", "human-skin")</f>
        <v>0</v>
      </c>
      <c r="E96" s="1">
        <f>IF(B96="", "", "human skin metagenome")</f>
        <v>0</v>
      </c>
      <c r="F96" s="1">
        <f>IF(B96="", "", "539655")</f>
        <v>0</v>
      </c>
    </row>
    <row r="97" spans="1:6">
      <c r="A97">
        <f>IF(COUNTBLANK(B97:F97)&lt;&gt;COLUMNS(B97:F97),96,"")</f>
        <v>0</v>
      </c>
      <c r="C97" s="1">
        <f>IF(B97="", "", "human-skin")</f>
        <v>0</v>
      </c>
      <c r="E97" s="1">
        <f>IF(B97="", "", "human skin metagenome")</f>
        <v>0</v>
      </c>
      <c r="F97" s="1">
        <f>IF(B97="", "", "539655")</f>
        <v>0</v>
      </c>
    </row>
    <row r="98" spans="1:6">
      <c r="A98">
        <f>IF(COUNTBLANK(B98:F98)&lt;&gt;COLUMNS(B98:F98),97,"")</f>
        <v>0</v>
      </c>
      <c r="C98" s="1">
        <f>IF(B98="", "", "human-skin")</f>
        <v>0</v>
      </c>
      <c r="E98" s="1">
        <f>IF(B98="", "", "human skin metagenome")</f>
        <v>0</v>
      </c>
      <c r="F98" s="1">
        <f>IF(B98="", "", "539655")</f>
        <v>0</v>
      </c>
    </row>
    <row r="99" spans="1:6">
      <c r="A99">
        <f>IF(COUNTBLANK(B99:F99)&lt;&gt;COLUMNS(B99:F99),98,"")</f>
        <v>0</v>
      </c>
      <c r="C99" s="1">
        <f>IF(B99="", "", "human-skin")</f>
        <v>0</v>
      </c>
      <c r="E99" s="1">
        <f>IF(B99="", "", "human skin metagenome")</f>
        <v>0</v>
      </c>
      <c r="F99" s="1">
        <f>IF(B99="", "", "539655")</f>
        <v>0</v>
      </c>
    </row>
    <row r="100" spans="1:6">
      <c r="A100">
        <f>IF(COUNTBLANK(B100:F100)&lt;&gt;COLUMNS(B100:F100),99,"")</f>
        <v>0</v>
      </c>
      <c r="C100" s="1">
        <f>IF(B100="", "", "human-skin")</f>
        <v>0</v>
      </c>
      <c r="E100" s="1">
        <f>IF(B100="", "", "human skin metagenome")</f>
        <v>0</v>
      </c>
      <c r="F100" s="1">
        <f>IF(B100="", "", "539655")</f>
        <v>0</v>
      </c>
    </row>
    <row r="101" spans="1:6">
      <c r="A101">
        <f>IF(COUNTBLANK(B101:F101)&lt;&gt;COLUMNS(B101:F101),100,"")</f>
        <v>0</v>
      </c>
      <c r="C101" s="1">
        <f>IF(B101="", "", "human-skin")</f>
        <v>0</v>
      </c>
      <c r="E101" s="1">
        <f>IF(B101="", "", "human skin metagenome")</f>
        <v>0</v>
      </c>
      <c r="F101" s="1">
        <f>IF(B101="", "", "539655")</f>
        <v>0</v>
      </c>
    </row>
    <row r="102" spans="1:6">
      <c r="A102">
        <f>IF(COUNTBLANK(B102:F102)&lt;&gt;COLUMNS(B102:F102),101,"")</f>
        <v>0</v>
      </c>
      <c r="C102" s="1">
        <f>IF(B102="", "", "human-skin")</f>
        <v>0</v>
      </c>
      <c r="E102" s="1">
        <f>IF(B102="", "", "human skin metagenome")</f>
        <v>0</v>
      </c>
      <c r="F102" s="1">
        <f>IF(B102="", "", "539655")</f>
        <v>0</v>
      </c>
    </row>
    <row r="103" spans="1:6">
      <c r="A103">
        <f>IF(COUNTBLANK(B103:F103)&lt;&gt;COLUMNS(B103:F103),102,"")</f>
        <v>0</v>
      </c>
      <c r="C103" s="1">
        <f>IF(B103="", "", "human-skin")</f>
        <v>0</v>
      </c>
      <c r="E103" s="1">
        <f>IF(B103="", "", "human skin metagenome")</f>
        <v>0</v>
      </c>
      <c r="F103" s="1">
        <f>IF(B103="", "", "539655")</f>
        <v>0</v>
      </c>
    </row>
    <row r="104" spans="1:6">
      <c r="A104">
        <f>IF(COUNTBLANK(B104:F104)&lt;&gt;COLUMNS(B104:F104),103,"")</f>
        <v>0</v>
      </c>
      <c r="C104" s="1">
        <f>IF(B104="", "", "human-skin")</f>
        <v>0</v>
      </c>
      <c r="E104" s="1">
        <f>IF(B104="", "", "human skin metagenome")</f>
        <v>0</v>
      </c>
      <c r="F104" s="1">
        <f>IF(B104="", "", "539655")</f>
        <v>0</v>
      </c>
    </row>
    <row r="105" spans="1:6">
      <c r="A105">
        <f>IF(COUNTBLANK(B105:F105)&lt;&gt;COLUMNS(B105:F105),104,"")</f>
        <v>0</v>
      </c>
      <c r="C105" s="1">
        <f>IF(B105="", "", "human-skin")</f>
        <v>0</v>
      </c>
      <c r="E105" s="1">
        <f>IF(B105="", "", "human skin metagenome")</f>
        <v>0</v>
      </c>
      <c r="F105" s="1">
        <f>IF(B105="", "", "539655")</f>
        <v>0</v>
      </c>
    </row>
    <row r="106" spans="1:6">
      <c r="A106">
        <f>IF(COUNTBLANK(B106:F106)&lt;&gt;COLUMNS(B106:F106),105,"")</f>
        <v>0</v>
      </c>
      <c r="C106" s="1">
        <f>IF(B106="", "", "human-skin")</f>
        <v>0</v>
      </c>
      <c r="E106" s="1">
        <f>IF(B106="", "", "human skin metagenome")</f>
        <v>0</v>
      </c>
      <c r="F106" s="1">
        <f>IF(B106="", "", "539655")</f>
        <v>0</v>
      </c>
    </row>
    <row r="107" spans="1:6">
      <c r="A107">
        <f>IF(COUNTBLANK(B107:F107)&lt;&gt;COLUMNS(B107:F107),106,"")</f>
        <v>0</v>
      </c>
      <c r="C107" s="1">
        <f>IF(B107="", "", "human-skin")</f>
        <v>0</v>
      </c>
      <c r="E107" s="1">
        <f>IF(B107="", "", "human skin metagenome")</f>
        <v>0</v>
      </c>
      <c r="F107" s="1">
        <f>IF(B107="", "", "539655")</f>
        <v>0</v>
      </c>
    </row>
    <row r="108" spans="1:6">
      <c r="A108">
        <f>IF(COUNTBLANK(B108:F108)&lt;&gt;COLUMNS(B108:F108),107,"")</f>
        <v>0</v>
      </c>
      <c r="C108" s="1">
        <f>IF(B108="", "", "human-skin")</f>
        <v>0</v>
      </c>
      <c r="E108" s="1">
        <f>IF(B108="", "", "human skin metagenome")</f>
        <v>0</v>
      </c>
      <c r="F108" s="1">
        <f>IF(B108="", "", "539655")</f>
        <v>0</v>
      </c>
    </row>
    <row r="109" spans="1:6">
      <c r="A109">
        <f>IF(COUNTBLANK(B109:F109)&lt;&gt;COLUMNS(B109:F109),108,"")</f>
        <v>0</v>
      </c>
      <c r="C109" s="1">
        <f>IF(B109="", "", "human-skin")</f>
        <v>0</v>
      </c>
      <c r="E109" s="1">
        <f>IF(B109="", "", "human skin metagenome")</f>
        <v>0</v>
      </c>
      <c r="F109" s="1">
        <f>IF(B109="", "", "539655")</f>
        <v>0</v>
      </c>
    </row>
    <row r="110" spans="1:6">
      <c r="A110">
        <f>IF(COUNTBLANK(B110:F110)&lt;&gt;COLUMNS(B110:F110),109,"")</f>
        <v>0</v>
      </c>
      <c r="C110" s="1">
        <f>IF(B110="", "", "human-skin")</f>
        <v>0</v>
      </c>
      <c r="E110" s="1">
        <f>IF(B110="", "", "human skin metagenome")</f>
        <v>0</v>
      </c>
      <c r="F110" s="1">
        <f>IF(B110="", "", "539655")</f>
        <v>0</v>
      </c>
    </row>
    <row r="111" spans="1:6">
      <c r="A111">
        <f>IF(COUNTBLANK(B111:F111)&lt;&gt;COLUMNS(B111:F111),110,"")</f>
        <v>0</v>
      </c>
      <c r="C111" s="1">
        <f>IF(B111="", "", "human-skin")</f>
        <v>0</v>
      </c>
      <c r="E111" s="1">
        <f>IF(B111="", "", "human skin metagenome")</f>
        <v>0</v>
      </c>
      <c r="F111" s="1">
        <f>IF(B111="", "", "539655")</f>
        <v>0</v>
      </c>
    </row>
    <row r="112" spans="1:6">
      <c r="A112">
        <f>IF(COUNTBLANK(B112:F112)&lt;&gt;COLUMNS(B112:F112),111,"")</f>
        <v>0</v>
      </c>
      <c r="C112" s="1">
        <f>IF(B112="", "", "human-skin")</f>
        <v>0</v>
      </c>
      <c r="E112" s="1">
        <f>IF(B112="", "", "human skin metagenome")</f>
        <v>0</v>
      </c>
      <c r="F112" s="1">
        <f>IF(B112="", "", "539655")</f>
        <v>0</v>
      </c>
    </row>
    <row r="113" spans="1:6">
      <c r="A113">
        <f>IF(COUNTBLANK(B113:F113)&lt;&gt;COLUMNS(B113:F113),112,"")</f>
        <v>0</v>
      </c>
      <c r="C113" s="1">
        <f>IF(B113="", "", "human-skin")</f>
        <v>0</v>
      </c>
      <c r="E113" s="1">
        <f>IF(B113="", "", "human skin metagenome")</f>
        <v>0</v>
      </c>
      <c r="F113" s="1">
        <f>IF(B113="", "", "539655")</f>
        <v>0</v>
      </c>
    </row>
    <row r="114" spans="1:6">
      <c r="A114">
        <f>IF(COUNTBLANK(B114:F114)&lt;&gt;COLUMNS(B114:F114),113,"")</f>
        <v>0</v>
      </c>
      <c r="C114" s="1">
        <f>IF(B114="", "", "human-skin")</f>
        <v>0</v>
      </c>
      <c r="E114" s="1">
        <f>IF(B114="", "", "human skin metagenome")</f>
        <v>0</v>
      </c>
      <c r="F114" s="1">
        <f>IF(B114="", "", "539655")</f>
        <v>0</v>
      </c>
    </row>
    <row r="115" spans="1:6">
      <c r="A115">
        <f>IF(COUNTBLANK(B115:F115)&lt;&gt;COLUMNS(B115:F115),114,"")</f>
        <v>0</v>
      </c>
      <c r="C115" s="1">
        <f>IF(B115="", "", "human-skin")</f>
        <v>0</v>
      </c>
      <c r="E115" s="1">
        <f>IF(B115="", "", "human skin metagenome")</f>
        <v>0</v>
      </c>
      <c r="F115" s="1">
        <f>IF(B115="", "", "539655")</f>
        <v>0</v>
      </c>
    </row>
    <row r="116" spans="1:6">
      <c r="A116">
        <f>IF(COUNTBLANK(B116:F116)&lt;&gt;COLUMNS(B116:F116),115,"")</f>
        <v>0</v>
      </c>
      <c r="C116" s="1">
        <f>IF(B116="", "", "human-skin")</f>
        <v>0</v>
      </c>
      <c r="E116" s="1">
        <f>IF(B116="", "", "human skin metagenome")</f>
        <v>0</v>
      </c>
      <c r="F116" s="1">
        <f>IF(B116="", "", "539655")</f>
        <v>0</v>
      </c>
    </row>
    <row r="117" spans="1:6">
      <c r="A117">
        <f>IF(COUNTBLANK(B117:F117)&lt;&gt;COLUMNS(B117:F117),116,"")</f>
        <v>0</v>
      </c>
      <c r="C117" s="1">
        <f>IF(B117="", "", "human-skin")</f>
        <v>0</v>
      </c>
      <c r="E117" s="1">
        <f>IF(B117="", "", "human skin metagenome")</f>
        <v>0</v>
      </c>
      <c r="F117" s="1">
        <f>IF(B117="", "", "539655")</f>
        <v>0</v>
      </c>
    </row>
    <row r="118" spans="1:6">
      <c r="A118">
        <f>IF(COUNTBLANK(B118:F118)&lt;&gt;COLUMNS(B118:F118),117,"")</f>
        <v>0</v>
      </c>
      <c r="C118" s="1">
        <f>IF(B118="", "", "human-skin")</f>
        <v>0</v>
      </c>
      <c r="E118" s="1">
        <f>IF(B118="", "", "human skin metagenome")</f>
        <v>0</v>
      </c>
      <c r="F118" s="1">
        <f>IF(B118="", "", "539655")</f>
        <v>0</v>
      </c>
    </row>
    <row r="119" spans="1:6">
      <c r="A119">
        <f>IF(COUNTBLANK(B119:F119)&lt;&gt;COLUMNS(B119:F119),118,"")</f>
        <v>0</v>
      </c>
      <c r="C119" s="1">
        <f>IF(B119="", "", "human-skin")</f>
        <v>0</v>
      </c>
      <c r="E119" s="1">
        <f>IF(B119="", "", "human skin metagenome")</f>
        <v>0</v>
      </c>
      <c r="F119" s="1">
        <f>IF(B119="", "", "539655")</f>
        <v>0</v>
      </c>
    </row>
    <row r="120" spans="1:6">
      <c r="A120">
        <f>IF(COUNTBLANK(B120:F120)&lt;&gt;COLUMNS(B120:F120),119,"")</f>
        <v>0</v>
      </c>
      <c r="C120" s="1">
        <f>IF(B120="", "", "human-skin")</f>
        <v>0</v>
      </c>
      <c r="E120" s="1">
        <f>IF(B120="", "", "human skin metagenome")</f>
        <v>0</v>
      </c>
      <c r="F120" s="1">
        <f>IF(B120="", "", "539655")</f>
        <v>0</v>
      </c>
    </row>
    <row r="121" spans="1:6">
      <c r="A121">
        <f>IF(COUNTBLANK(B121:F121)&lt;&gt;COLUMNS(B121:F121),120,"")</f>
        <v>0</v>
      </c>
      <c r="C121" s="1">
        <f>IF(B121="", "", "human-skin")</f>
        <v>0</v>
      </c>
      <c r="E121" s="1">
        <f>IF(B121="", "", "human skin metagenome")</f>
        <v>0</v>
      </c>
      <c r="F121" s="1">
        <f>IF(B121="", "", "539655")</f>
        <v>0</v>
      </c>
    </row>
    <row r="122" spans="1:6">
      <c r="A122">
        <f>IF(COUNTBLANK(B122:F122)&lt;&gt;COLUMNS(B122:F122),121,"")</f>
        <v>0</v>
      </c>
      <c r="C122" s="1">
        <f>IF(B122="", "", "human-skin")</f>
        <v>0</v>
      </c>
      <c r="E122" s="1">
        <f>IF(B122="", "", "human skin metagenome")</f>
        <v>0</v>
      </c>
      <c r="F122" s="1">
        <f>IF(B122="", "", "539655")</f>
        <v>0</v>
      </c>
    </row>
    <row r="123" spans="1:6">
      <c r="A123">
        <f>IF(COUNTBLANK(B123:F123)&lt;&gt;COLUMNS(B123:F123),122,"")</f>
        <v>0</v>
      </c>
      <c r="C123" s="1">
        <f>IF(B123="", "", "human-skin")</f>
        <v>0</v>
      </c>
      <c r="E123" s="1">
        <f>IF(B123="", "", "human skin metagenome")</f>
        <v>0</v>
      </c>
      <c r="F123" s="1">
        <f>IF(B123="", "", "539655")</f>
        <v>0</v>
      </c>
    </row>
    <row r="124" spans="1:6">
      <c r="A124">
        <f>IF(COUNTBLANK(B124:F124)&lt;&gt;COLUMNS(B124:F124),123,"")</f>
        <v>0</v>
      </c>
      <c r="C124" s="1">
        <f>IF(B124="", "", "human-skin")</f>
        <v>0</v>
      </c>
      <c r="E124" s="1">
        <f>IF(B124="", "", "human skin metagenome")</f>
        <v>0</v>
      </c>
      <c r="F124" s="1">
        <f>IF(B124="", "", "539655")</f>
        <v>0</v>
      </c>
    </row>
    <row r="125" spans="1:6">
      <c r="A125">
        <f>IF(COUNTBLANK(B125:F125)&lt;&gt;COLUMNS(B125:F125),124,"")</f>
        <v>0</v>
      </c>
      <c r="C125" s="1">
        <f>IF(B125="", "", "human-skin")</f>
        <v>0</v>
      </c>
      <c r="E125" s="1">
        <f>IF(B125="", "", "human skin metagenome")</f>
        <v>0</v>
      </c>
      <c r="F125" s="1">
        <f>IF(B125="", "", "539655")</f>
        <v>0</v>
      </c>
    </row>
    <row r="126" spans="1:6">
      <c r="A126">
        <f>IF(COUNTBLANK(B126:F126)&lt;&gt;COLUMNS(B126:F126),125,"")</f>
        <v>0</v>
      </c>
      <c r="C126" s="1">
        <f>IF(B126="", "", "human-skin")</f>
        <v>0</v>
      </c>
      <c r="E126" s="1">
        <f>IF(B126="", "", "human skin metagenome")</f>
        <v>0</v>
      </c>
      <c r="F126" s="1">
        <f>IF(B126="", "", "539655")</f>
        <v>0</v>
      </c>
    </row>
    <row r="127" spans="1:6">
      <c r="A127">
        <f>IF(COUNTBLANK(B127:F127)&lt;&gt;COLUMNS(B127:F127),126,"")</f>
        <v>0</v>
      </c>
      <c r="C127" s="1">
        <f>IF(B127="", "", "human-skin")</f>
        <v>0</v>
      </c>
      <c r="E127" s="1">
        <f>IF(B127="", "", "human skin metagenome")</f>
        <v>0</v>
      </c>
      <c r="F127" s="1">
        <f>IF(B127="", "", "539655")</f>
        <v>0</v>
      </c>
    </row>
    <row r="128" spans="1:6">
      <c r="A128">
        <f>IF(COUNTBLANK(B128:F128)&lt;&gt;COLUMNS(B128:F128),127,"")</f>
        <v>0</v>
      </c>
      <c r="C128" s="1">
        <f>IF(B128="", "", "human-skin")</f>
        <v>0</v>
      </c>
      <c r="E128" s="1">
        <f>IF(B128="", "", "human skin metagenome")</f>
        <v>0</v>
      </c>
      <c r="F128" s="1">
        <f>IF(B128="", "", "539655")</f>
        <v>0</v>
      </c>
    </row>
    <row r="129" spans="1:6">
      <c r="A129">
        <f>IF(COUNTBLANK(B129:F129)&lt;&gt;COLUMNS(B129:F129),128,"")</f>
        <v>0</v>
      </c>
      <c r="C129" s="1">
        <f>IF(B129="", "", "human-skin")</f>
        <v>0</v>
      </c>
      <c r="E129" s="1">
        <f>IF(B129="", "", "human skin metagenome")</f>
        <v>0</v>
      </c>
      <c r="F129" s="1">
        <f>IF(B129="", "", "539655")</f>
        <v>0</v>
      </c>
    </row>
    <row r="130" spans="1:6">
      <c r="A130">
        <f>IF(COUNTBLANK(B130:F130)&lt;&gt;COLUMNS(B130:F130),129,"")</f>
        <v>0</v>
      </c>
      <c r="C130" s="1">
        <f>IF(B130="", "", "human-skin")</f>
        <v>0</v>
      </c>
      <c r="E130" s="1">
        <f>IF(B130="", "", "human skin metagenome")</f>
        <v>0</v>
      </c>
      <c r="F130" s="1">
        <f>IF(B130="", "", "539655")</f>
        <v>0</v>
      </c>
    </row>
    <row r="131" spans="1:6">
      <c r="A131">
        <f>IF(COUNTBLANK(B131:F131)&lt;&gt;COLUMNS(B131:F131),130,"")</f>
        <v>0</v>
      </c>
      <c r="C131" s="1">
        <f>IF(B131="", "", "human-skin")</f>
        <v>0</v>
      </c>
      <c r="E131" s="1">
        <f>IF(B131="", "", "human skin metagenome")</f>
        <v>0</v>
      </c>
      <c r="F131" s="1">
        <f>IF(B131="", "", "539655")</f>
        <v>0</v>
      </c>
    </row>
    <row r="132" spans="1:6">
      <c r="A132">
        <f>IF(COUNTBLANK(B132:F132)&lt;&gt;COLUMNS(B132:F132),131,"")</f>
        <v>0</v>
      </c>
      <c r="C132" s="1">
        <f>IF(B132="", "", "human-skin")</f>
        <v>0</v>
      </c>
      <c r="E132" s="1">
        <f>IF(B132="", "", "human skin metagenome")</f>
        <v>0</v>
      </c>
      <c r="F132" s="1">
        <f>IF(B132="", "", "539655")</f>
        <v>0</v>
      </c>
    </row>
    <row r="133" spans="1:6">
      <c r="A133">
        <f>IF(COUNTBLANK(B133:F133)&lt;&gt;COLUMNS(B133:F133),132,"")</f>
        <v>0</v>
      </c>
      <c r="C133" s="1">
        <f>IF(B133="", "", "human-skin")</f>
        <v>0</v>
      </c>
      <c r="E133" s="1">
        <f>IF(B133="", "", "human skin metagenome")</f>
        <v>0</v>
      </c>
      <c r="F133" s="1">
        <f>IF(B133="", "", "539655")</f>
        <v>0</v>
      </c>
    </row>
    <row r="134" spans="1:6">
      <c r="A134">
        <f>IF(COUNTBLANK(B134:F134)&lt;&gt;COLUMNS(B134:F134),133,"")</f>
        <v>0</v>
      </c>
      <c r="C134" s="1">
        <f>IF(B134="", "", "human-skin")</f>
        <v>0</v>
      </c>
      <c r="E134" s="1">
        <f>IF(B134="", "", "human skin metagenome")</f>
        <v>0</v>
      </c>
      <c r="F134" s="1">
        <f>IF(B134="", "", "539655")</f>
        <v>0</v>
      </c>
    </row>
    <row r="135" spans="1:6">
      <c r="A135">
        <f>IF(COUNTBLANK(B135:F135)&lt;&gt;COLUMNS(B135:F135),134,"")</f>
        <v>0</v>
      </c>
      <c r="C135" s="1">
        <f>IF(B135="", "", "human-skin")</f>
        <v>0</v>
      </c>
      <c r="E135" s="1">
        <f>IF(B135="", "", "human skin metagenome")</f>
        <v>0</v>
      </c>
      <c r="F135" s="1">
        <f>IF(B135="", "", "539655")</f>
        <v>0</v>
      </c>
    </row>
    <row r="136" spans="1:6">
      <c r="A136">
        <f>IF(COUNTBLANK(B136:F136)&lt;&gt;COLUMNS(B136:F136),135,"")</f>
        <v>0</v>
      </c>
      <c r="C136" s="1">
        <f>IF(B136="", "", "human-skin")</f>
        <v>0</v>
      </c>
      <c r="E136" s="1">
        <f>IF(B136="", "", "human skin metagenome")</f>
        <v>0</v>
      </c>
      <c r="F136" s="1">
        <f>IF(B136="", "", "539655")</f>
        <v>0</v>
      </c>
    </row>
    <row r="137" spans="1:6">
      <c r="A137">
        <f>IF(COUNTBLANK(B137:F137)&lt;&gt;COLUMNS(B137:F137),136,"")</f>
        <v>0</v>
      </c>
      <c r="C137" s="1">
        <f>IF(B137="", "", "human-skin")</f>
        <v>0</v>
      </c>
      <c r="E137" s="1">
        <f>IF(B137="", "", "human skin metagenome")</f>
        <v>0</v>
      </c>
      <c r="F137" s="1">
        <f>IF(B137="", "", "539655")</f>
        <v>0</v>
      </c>
    </row>
    <row r="138" spans="1:6">
      <c r="A138">
        <f>IF(COUNTBLANK(B138:F138)&lt;&gt;COLUMNS(B138:F138),137,"")</f>
        <v>0</v>
      </c>
      <c r="C138" s="1">
        <f>IF(B138="", "", "human-skin")</f>
        <v>0</v>
      </c>
      <c r="E138" s="1">
        <f>IF(B138="", "", "human skin metagenome")</f>
        <v>0</v>
      </c>
      <c r="F138" s="1">
        <f>IF(B138="", "", "539655")</f>
        <v>0</v>
      </c>
    </row>
    <row r="139" spans="1:6">
      <c r="A139">
        <f>IF(COUNTBLANK(B139:F139)&lt;&gt;COLUMNS(B139:F139),138,"")</f>
        <v>0</v>
      </c>
      <c r="C139" s="1">
        <f>IF(B139="", "", "human-skin")</f>
        <v>0</v>
      </c>
      <c r="E139" s="1">
        <f>IF(B139="", "", "human skin metagenome")</f>
        <v>0</v>
      </c>
      <c r="F139" s="1">
        <f>IF(B139="", "", "539655")</f>
        <v>0</v>
      </c>
    </row>
    <row r="140" spans="1:6">
      <c r="A140">
        <f>IF(COUNTBLANK(B140:F140)&lt;&gt;COLUMNS(B140:F140),139,"")</f>
        <v>0</v>
      </c>
      <c r="C140" s="1">
        <f>IF(B140="", "", "human-skin")</f>
        <v>0</v>
      </c>
      <c r="E140" s="1">
        <f>IF(B140="", "", "human skin metagenome")</f>
        <v>0</v>
      </c>
      <c r="F140" s="1">
        <f>IF(B140="", "", "539655")</f>
        <v>0</v>
      </c>
    </row>
    <row r="141" spans="1:6">
      <c r="A141">
        <f>IF(COUNTBLANK(B141:F141)&lt;&gt;COLUMNS(B141:F141),140,"")</f>
        <v>0</v>
      </c>
      <c r="C141" s="1">
        <f>IF(B141="", "", "human-skin")</f>
        <v>0</v>
      </c>
      <c r="E141" s="1">
        <f>IF(B141="", "", "human skin metagenome")</f>
        <v>0</v>
      </c>
      <c r="F141" s="1">
        <f>IF(B141="", "", "539655")</f>
        <v>0</v>
      </c>
    </row>
    <row r="142" spans="1:6">
      <c r="A142">
        <f>IF(COUNTBLANK(B142:F142)&lt;&gt;COLUMNS(B142:F142),141,"")</f>
        <v>0</v>
      </c>
      <c r="C142" s="1">
        <f>IF(B142="", "", "human-skin")</f>
        <v>0</v>
      </c>
      <c r="E142" s="1">
        <f>IF(B142="", "", "human skin metagenome")</f>
        <v>0</v>
      </c>
      <c r="F142" s="1">
        <f>IF(B142="", "", "539655")</f>
        <v>0</v>
      </c>
    </row>
    <row r="143" spans="1:6">
      <c r="A143">
        <f>IF(COUNTBLANK(B143:F143)&lt;&gt;COLUMNS(B143:F143),142,"")</f>
        <v>0</v>
      </c>
      <c r="C143" s="1">
        <f>IF(B143="", "", "human-skin")</f>
        <v>0</v>
      </c>
      <c r="E143" s="1">
        <f>IF(B143="", "", "human skin metagenome")</f>
        <v>0</v>
      </c>
      <c r="F143" s="1">
        <f>IF(B143="", "", "539655")</f>
        <v>0</v>
      </c>
    </row>
    <row r="144" spans="1:6">
      <c r="A144">
        <f>IF(COUNTBLANK(B144:F144)&lt;&gt;COLUMNS(B144:F144),143,"")</f>
        <v>0</v>
      </c>
      <c r="C144" s="1">
        <f>IF(B144="", "", "human-skin")</f>
        <v>0</v>
      </c>
      <c r="E144" s="1">
        <f>IF(B144="", "", "human skin metagenome")</f>
        <v>0</v>
      </c>
      <c r="F144" s="1">
        <f>IF(B144="", "", "539655")</f>
        <v>0</v>
      </c>
    </row>
    <row r="145" spans="1:6">
      <c r="A145">
        <f>IF(COUNTBLANK(B145:F145)&lt;&gt;COLUMNS(B145:F145),144,"")</f>
        <v>0</v>
      </c>
      <c r="C145" s="1">
        <f>IF(B145="", "", "human-skin")</f>
        <v>0</v>
      </c>
      <c r="E145" s="1">
        <f>IF(B145="", "", "human skin metagenome")</f>
        <v>0</v>
      </c>
      <c r="F145" s="1">
        <f>IF(B145="", "", "539655")</f>
        <v>0</v>
      </c>
    </row>
    <row r="146" spans="1:6">
      <c r="A146">
        <f>IF(COUNTBLANK(B146:F146)&lt;&gt;COLUMNS(B146:F146),145,"")</f>
        <v>0</v>
      </c>
      <c r="C146" s="1">
        <f>IF(B146="", "", "human-skin")</f>
        <v>0</v>
      </c>
      <c r="E146" s="1">
        <f>IF(B146="", "", "human skin metagenome")</f>
        <v>0</v>
      </c>
      <c r="F146" s="1">
        <f>IF(B146="", "", "539655")</f>
        <v>0</v>
      </c>
    </row>
    <row r="147" spans="1:6">
      <c r="A147">
        <f>IF(COUNTBLANK(B147:F147)&lt;&gt;COLUMNS(B147:F147),146,"")</f>
        <v>0</v>
      </c>
      <c r="C147" s="1">
        <f>IF(B147="", "", "human-skin")</f>
        <v>0</v>
      </c>
      <c r="E147" s="1">
        <f>IF(B147="", "", "human skin metagenome")</f>
        <v>0</v>
      </c>
      <c r="F147" s="1">
        <f>IF(B147="", "", "539655")</f>
        <v>0</v>
      </c>
    </row>
    <row r="148" spans="1:6">
      <c r="A148">
        <f>IF(COUNTBLANK(B148:F148)&lt;&gt;COLUMNS(B148:F148),147,"")</f>
        <v>0</v>
      </c>
      <c r="C148" s="1">
        <f>IF(B148="", "", "human-skin")</f>
        <v>0</v>
      </c>
      <c r="E148" s="1">
        <f>IF(B148="", "", "human skin metagenome")</f>
        <v>0</v>
      </c>
      <c r="F148" s="1">
        <f>IF(B148="", "", "539655")</f>
        <v>0</v>
      </c>
    </row>
    <row r="149" spans="1:6">
      <c r="A149">
        <f>IF(COUNTBLANK(B149:F149)&lt;&gt;COLUMNS(B149:F149),148,"")</f>
        <v>0</v>
      </c>
      <c r="C149" s="1">
        <f>IF(B149="", "", "human-skin")</f>
        <v>0</v>
      </c>
      <c r="E149" s="1">
        <f>IF(B149="", "", "human skin metagenome")</f>
        <v>0</v>
      </c>
      <c r="F149" s="1">
        <f>IF(B149="", "", "539655")</f>
        <v>0</v>
      </c>
    </row>
    <row r="150" spans="1:6">
      <c r="A150">
        <f>IF(COUNTBLANK(B150:F150)&lt;&gt;COLUMNS(B150:F150),149,"")</f>
        <v>0</v>
      </c>
      <c r="C150" s="1">
        <f>IF(B150="", "", "human-skin")</f>
        <v>0</v>
      </c>
      <c r="E150" s="1">
        <f>IF(B150="", "", "human skin metagenome")</f>
        <v>0</v>
      </c>
      <c r="F150" s="1">
        <f>IF(B150="", "", "539655")</f>
        <v>0</v>
      </c>
    </row>
    <row r="151" spans="1:6">
      <c r="A151">
        <f>IF(COUNTBLANK(B151:F151)&lt;&gt;COLUMNS(B151:F151),150,"")</f>
        <v>0</v>
      </c>
      <c r="C151" s="1">
        <f>IF(B151="", "", "human-skin")</f>
        <v>0</v>
      </c>
      <c r="E151" s="1">
        <f>IF(B151="", "", "human skin metagenome")</f>
        <v>0</v>
      </c>
      <c r="F151" s="1">
        <f>IF(B151="", "", "539655")</f>
        <v>0</v>
      </c>
    </row>
    <row r="152" spans="1:6">
      <c r="A152">
        <f>IF(COUNTBLANK(B152:F152)&lt;&gt;COLUMNS(B152:F152),151,"")</f>
        <v>0</v>
      </c>
      <c r="C152" s="1">
        <f>IF(B152="", "", "human-skin")</f>
        <v>0</v>
      </c>
      <c r="E152" s="1">
        <f>IF(B152="", "", "human skin metagenome")</f>
        <v>0</v>
      </c>
      <c r="F152" s="1">
        <f>IF(B152="", "", "539655")</f>
        <v>0</v>
      </c>
    </row>
    <row r="153" spans="1:6">
      <c r="A153">
        <f>IF(COUNTBLANK(B153:F153)&lt;&gt;COLUMNS(B153:F153),152,"")</f>
        <v>0</v>
      </c>
      <c r="C153" s="1">
        <f>IF(B153="", "", "human-skin")</f>
        <v>0</v>
      </c>
      <c r="E153" s="1">
        <f>IF(B153="", "", "human skin metagenome")</f>
        <v>0</v>
      </c>
      <c r="F153" s="1">
        <f>IF(B153="", "", "539655")</f>
        <v>0</v>
      </c>
    </row>
    <row r="154" spans="1:6">
      <c r="A154">
        <f>IF(COUNTBLANK(B154:F154)&lt;&gt;COLUMNS(B154:F154),153,"")</f>
        <v>0</v>
      </c>
      <c r="C154" s="1">
        <f>IF(B154="", "", "human-skin")</f>
        <v>0</v>
      </c>
      <c r="E154" s="1">
        <f>IF(B154="", "", "human skin metagenome")</f>
        <v>0</v>
      </c>
      <c r="F154" s="1">
        <f>IF(B154="", "", "539655")</f>
        <v>0</v>
      </c>
    </row>
    <row r="155" spans="1:6">
      <c r="A155">
        <f>IF(COUNTBLANK(B155:F155)&lt;&gt;COLUMNS(B155:F155),154,"")</f>
        <v>0</v>
      </c>
      <c r="C155" s="1">
        <f>IF(B155="", "", "human-skin")</f>
        <v>0</v>
      </c>
      <c r="E155" s="1">
        <f>IF(B155="", "", "human skin metagenome")</f>
        <v>0</v>
      </c>
      <c r="F155" s="1">
        <f>IF(B155="", "", "539655")</f>
        <v>0</v>
      </c>
    </row>
    <row r="156" spans="1:6">
      <c r="A156">
        <f>IF(COUNTBLANK(B156:F156)&lt;&gt;COLUMNS(B156:F156),155,"")</f>
        <v>0</v>
      </c>
      <c r="C156" s="1">
        <f>IF(B156="", "", "human-skin")</f>
        <v>0</v>
      </c>
      <c r="E156" s="1">
        <f>IF(B156="", "", "human skin metagenome")</f>
        <v>0</v>
      </c>
      <c r="F156" s="1">
        <f>IF(B156="", "", "539655")</f>
        <v>0</v>
      </c>
    </row>
    <row r="157" spans="1:6">
      <c r="A157">
        <f>IF(COUNTBLANK(B157:F157)&lt;&gt;COLUMNS(B157:F157),156,"")</f>
        <v>0</v>
      </c>
      <c r="C157" s="1">
        <f>IF(B157="", "", "human-skin")</f>
        <v>0</v>
      </c>
      <c r="E157" s="1">
        <f>IF(B157="", "", "human skin metagenome")</f>
        <v>0</v>
      </c>
      <c r="F157" s="1">
        <f>IF(B157="", "", "539655")</f>
        <v>0</v>
      </c>
    </row>
    <row r="158" spans="1:6">
      <c r="A158">
        <f>IF(COUNTBLANK(B158:F158)&lt;&gt;COLUMNS(B158:F158),157,"")</f>
        <v>0</v>
      </c>
      <c r="C158" s="1">
        <f>IF(B158="", "", "human-skin")</f>
        <v>0</v>
      </c>
      <c r="E158" s="1">
        <f>IF(B158="", "", "human skin metagenome")</f>
        <v>0</v>
      </c>
      <c r="F158" s="1">
        <f>IF(B158="", "", "539655")</f>
        <v>0</v>
      </c>
    </row>
    <row r="159" spans="1:6">
      <c r="A159">
        <f>IF(COUNTBLANK(B159:F159)&lt;&gt;COLUMNS(B159:F159),158,"")</f>
        <v>0</v>
      </c>
      <c r="C159" s="1">
        <f>IF(B159="", "", "human-skin")</f>
        <v>0</v>
      </c>
      <c r="E159" s="1">
        <f>IF(B159="", "", "human skin metagenome")</f>
        <v>0</v>
      </c>
      <c r="F159" s="1">
        <f>IF(B159="", "", "539655")</f>
        <v>0</v>
      </c>
    </row>
    <row r="160" spans="1:6">
      <c r="A160">
        <f>IF(COUNTBLANK(B160:F160)&lt;&gt;COLUMNS(B160:F160),159,"")</f>
        <v>0</v>
      </c>
      <c r="C160" s="1">
        <f>IF(B160="", "", "human-skin")</f>
        <v>0</v>
      </c>
      <c r="E160" s="1">
        <f>IF(B160="", "", "human skin metagenome")</f>
        <v>0</v>
      </c>
      <c r="F160" s="1">
        <f>IF(B160="", "", "539655")</f>
        <v>0</v>
      </c>
    </row>
    <row r="161" spans="1:6">
      <c r="A161">
        <f>IF(COUNTBLANK(B161:F161)&lt;&gt;COLUMNS(B161:F161),160,"")</f>
        <v>0</v>
      </c>
      <c r="C161" s="1">
        <f>IF(B161="", "", "human-skin")</f>
        <v>0</v>
      </c>
      <c r="E161" s="1">
        <f>IF(B161="", "", "human skin metagenome")</f>
        <v>0</v>
      </c>
      <c r="F161" s="1">
        <f>IF(B161="", "", "539655")</f>
        <v>0</v>
      </c>
    </row>
    <row r="162" spans="1:6">
      <c r="A162">
        <f>IF(COUNTBLANK(B162:F162)&lt;&gt;COLUMNS(B162:F162),161,"")</f>
        <v>0</v>
      </c>
      <c r="C162" s="1">
        <f>IF(B162="", "", "human-skin")</f>
        <v>0</v>
      </c>
      <c r="E162" s="1">
        <f>IF(B162="", "", "human skin metagenome")</f>
        <v>0</v>
      </c>
      <c r="F162" s="1">
        <f>IF(B162="", "", "539655")</f>
        <v>0</v>
      </c>
    </row>
    <row r="163" spans="1:6">
      <c r="A163">
        <f>IF(COUNTBLANK(B163:F163)&lt;&gt;COLUMNS(B163:F163),162,"")</f>
        <v>0</v>
      </c>
      <c r="C163" s="1">
        <f>IF(B163="", "", "human-skin")</f>
        <v>0</v>
      </c>
      <c r="E163" s="1">
        <f>IF(B163="", "", "human skin metagenome")</f>
        <v>0</v>
      </c>
      <c r="F163" s="1">
        <f>IF(B163="", "", "539655")</f>
        <v>0</v>
      </c>
    </row>
    <row r="164" spans="1:6">
      <c r="A164">
        <f>IF(COUNTBLANK(B164:F164)&lt;&gt;COLUMNS(B164:F164),163,"")</f>
        <v>0</v>
      </c>
      <c r="C164" s="1">
        <f>IF(B164="", "", "human-skin")</f>
        <v>0</v>
      </c>
      <c r="E164" s="1">
        <f>IF(B164="", "", "human skin metagenome")</f>
        <v>0</v>
      </c>
      <c r="F164" s="1">
        <f>IF(B164="", "", "539655")</f>
        <v>0</v>
      </c>
    </row>
    <row r="165" spans="1:6">
      <c r="A165">
        <f>IF(COUNTBLANK(B165:F165)&lt;&gt;COLUMNS(B165:F165),164,"")</f>
        <v>0</v>
      </c>
      <c r="C165" s="1">
        <f>IF(B165="", "", "human-skin")</f>
        <v>0</v>
      </c>
      <c r="E165" s="1">
        <f>IF(B165="", "", "human skin metagenome")</f>
        <v>0</v>
      </c>
      <c r="F165" s="1">
        <f>IF(B165="", "", "539655")</f>
        <v>0</v>
      </c>
    </row>
    <row r="166" spans="1:6">
      <c r="A166">
        <f>IF(COUNTBLANK(B166:F166)&lt;&gt;COLUMNS(B166:F166),165,"")</f>
        <v>0</v>
      </c>
      <c r="C166" s="1">
        <f>IF(B166="", "", "human-skin")</f>
        <v>0</v>
      </c>
      <c r="E166" s="1">
        <f>IF(B166="", "", "human skin metagenome")</f>
        <v>0</v>
      </c>
      <c r="F166" s="1">
        <f>IF(B166="", "", "539655")</f>
        <v>0</v>
      </c>
    </row>
    <row r="167" spans="1:6">
      <c r="A167">
        <f>IF(COUNTBLANK(B167:F167)&lt;&gt;COLUMNS(B167:F167),166,"")</f>
        <v>0</v>
      </c>
      <c r="C167" s="1">
        <f>IF(B167="", "", "human-skin")</f>
        <v>0</v>
      </c>
      <c r="E167" s="1">
        <f>IF(B167="", "", "human skin metagenome")</f>
        <v>0</v>
      </c>
      <c r="F167" s="1">
        <f>IF(B167="", "", "539655")</f>
        <v>0</v>
      </c>
    </row>
    <row r="168" spans="1:6">
      <c r="A168">
        <f>IF(COUNTBLANK(B168:F168)&lt;&gt;COLUMNS(B168:F168),167,"")</f>
        <v>0</v>
      </c>
      <c r="C168" s="1">
        <f>IF(B168="", "", "human-skin")</f>
        <v>0</v>
      </c>
      <c r="E168" s="1">
        <f>IF(B168="", "", "human skin metagenome")</f>
        <v>0</v>
      </c>
      <c r="F168" s="1">
        <f>IF(B168="", "", "539655")</f>
        <v>0</v>
      </c>
    </row>
    <row r="169" spans="1:6">
      <c r="A169">
        <f>IF(COUNTBLANK(B169:F169)&lt;&gt;COLUMNS(B169:F169),168,"")</f>
        <v>0</v>
      </c>
      <c r="C169" s="1">
        <f>IF(B169="", "", "human-skin")</f>
        <v>0</v>
      </c>
      <c r="E169" s="1">
        <f>IF(B169="", "", "human skin metagenome")</f>
        <v>0</v>
      </c>
      <c r="F169" s="1">
        <f>IF(B169="", "", "539655")</f>
        <v>0</v>
      </c>
    </row>
    <row r="170" spans="1:6">
      <c r="A170">
        <f>IF(COUNTBLANK(B170:F170)&lt;&gt;COLUMNS(B170:F170),169,"")</f>
        <v>0</v>
      </c>
      <c r="C170" s="1">
        <f>IF(B170="", "", "human-skin")</f>
        <v>0</v>
      </c>
      <c r="E170" s="1">
        <f>IF(B170="", "", "human skin metagenome")</f>
        <v>0</v>
      </c>
      <c r="F170" s="1">
        <f>IF(B170="", "", "539655")</f>
        <v>0</v>
      </c>
    </row>
    <row r="171" spans="1:6">
      <c r="A171">
        <f>IF(COUNTBLANK(B171:F171)&lt;&gt;COLUMNS(B171:F171),170,"")</f>
        <v>0</v>
      </c>
      <c r="C171" s="1">
        <f>IF(B171="", "", "human-skin")</f>
        <v>0</v>
      </c>
      <c r="E171" s="1">
        <f>IF(B171="", "", "human skin metagenome")</f>
        <v>0</v>
      </c>
      <c r="F171" s="1">
        <f>IF(B171="", "", "539655")</f>
        <v>0</v>
      </c>
    </row>
    <row r="172" spans="1:6">
      <c r="A172">
        <f>IF(COUNTBLANK(B172:F172)&lt;&gt;COLUMNS(B172:F172),171,"")</f>
        <v>0</v>
      </c>
      <c r="C172" s="1">
        <f>IF(B172="", "", "human-skin")</f>
        <v>0</v>
      </c>
      <c r="E172" s="1">
        <f>IF(B172="", "", "human skin metagenome")</f>
        <v>0</v>
      </c>
      <c r="F172" s="1">
        <f>IF(B172="", "", "539655")</f>
        <v>0</v>
      </c>
    </row>
    <row r="173" spans="1:6">
      <c r="A173">
        <f>IF(COUNTBLANK(B173:F173)&lt;&gt;COLUMNS(B173:F173),172,"")</f>
        <v>0</v>
      </c>
      <c r="C173" s="1">
        <f>IF(B173="", "", "human-skin")</f>
        <v>0</v>
      </c>
      <c r="E173" s="1">
        <f>IF(B173="", "", "human skin metagenome")</f>
        <v>0</v>
      </c>
      <c r="F173" s="1">
        <f>IF(B173="", "", "539655")</f>
        <v>0</v>
      </c>
    </row>
    <row r="174" spans="1:6">
      <c r="A174">
        <f>IF(COUNTBLANK(B174:F174)&lt;&gt;COLUMNS(B174:F174),173,"")</f>
        <v>0</v>
      </c>
      <c r="C174" s="1">
        <f>IF(B174="", "", "human-skin")</f>
        <v>0</v>
      </c>
      <c r="E174" s="1">
        <f>IF(B174="", "", "human skin metagenome")</f>
        <v>0</v>
      </c>
      <c r="F174" s="1">
        <f>IF(B174="", "", "539655")</f>
        <v>0</v>
      </c>
    </row>
    <row r="175" spans="1:6">
      <c r="A175">
        <f>IF(COUNTBLANK(B175:F175)&lt;&gt;COLUMNS(B175:F175),174,"")</f>
        <v>0</v>
      </c>
      <c r="C175" s="1">
        <f>IF(B175="", "", "human-skin")</f>
        <v>0</v>
      </c>
      <c r="E175" s="1">
        <f>IF(B175="", "", "human skin metagenome")</f>
        <v>0</v>
      </c>
      <c r="F175" s="1">
        <f>IF(B175="", "", "539655")</f>
        <v>0</v>
      </c>
    </row>
    <row r="176" spans="1:6">
      <c r="A176">
        <f>IF(COUNTBLANK(B176:F176)&lt;&gt;COLUMNS(B176:F176),175,"")</f>
        <v>0</v>
      </c>
      <c r="C176" s="1">
        <f>IF(B176="", "", "human-skin")</f>
        <v>0</v>
      </c>
      <c r="E176" s="1">
        <f>IF(B176="", "", "human skin metagenome")</f>
        <v>0</v>
      </c>
      <c r="F176" s="1">
        <f>IF(B176="", "", "539655")</f>
        <v>0</v>
      </c>
    </row>
    <row r="177" spans="1:6">
      <c r="A177">
        <f>IF(COUNTBLANK(B177:F177)&lt;&gt;COLUMNS(B177:F177),176,"")</f>
        <v>0</v>
      </c>
      <c r="C177" s="1">
        <f>IF(B177="", "", "human-skin")</f>
        <v>0</v>
      </c>
      <c r="E177" s="1">
        <f>IF(B177="", "", "human skin metagenome")</f>
        <v>0</v>
      </c>
      <c r="F177" s="1">
        <f>IF(B177="", "", "539655")</f>
        <v>0</v>
      </c>
    </row>
    <row r="178" spans="1:6">
      <c r="A178">
        <f>IF(COUNTBLANK(B178:F178)&lt;&gt;COLUMNS(B178:F178),177,"")</f>
        <v>0</v>
      </c>
      <c r="C178" s="1">
        <f>IF(B178="", "", "human-skin")</f>
        <v>0</v>
      </c>
      <c r="E178" s="1">
        <f>IF(B178="", "", "human skin metagenome")</f>
        <v>0</v>
      </c>
      <c r="F178" s="1">
        <f>IF(B178="", "", "539655")</f>
        <v>0</v>
      </c>
    </row>
    <row r="179" spans="1:6">
      <c r="A179">
        <f>IF(COUNTBLANK(B179:F179)&lt;&gt;COLUMNS(B179:F179),178,"")</f>
        <v>0</v>
      </c>
      <c r="C179" s="1">
        <f>IF(B179="", "", "human-skin")</f>
        <v>0</v>
      </c>
      <c r="E179" s="1">
        <f>IF(B179="", "", "human skin metagenome")</f>
        <v>0</v>
      </c>
      <c r="F179" s="1">
        <f>IF(B179="", "", "539655")</f>
        <v>0</v>
      </c>
    </row>
    <row r="180" spans="1:6">
      <c r="A180">
        <f>IF(COUNTBLANK(B180:F180)&lt;&gt;COLUMNS(B180:F180),179,"")</f>
        <v>0</v>
      </c>
      <c r="C180" s="1">
        <f>IF(B180="", "", "human-skin")</f>
        <v>0</v>
      </c>
      <c r="E180" s="1">
        <f>IF(B180="", "", "human skin metagenome")</f>
        <v>0</v>
      </c>
      <c r="F180" s="1">
        <f>IF(B180="", "", "539655")</f>
        <v>0</v>
      </c>
    </row>
    <row r="181" spans="1:6">
      <c r="A181">
        <f>IF(COUNTBLANK(B181:F181)&lt;&gt;COLUMNS(B181:F181),180,"")</f>
        <v>0</v>
      </c>
      <c r="C181" s="1">
        <f>IF(B181="", "", "human-skin")</f>
        <v>0</v>
      </c>
      <c r="E181" s="1">
        <f>IF(B181="", "", "human skin metagenome")</f>
        <v>0</v>
      </c>
      <c r="F181" s="1">
        <f>IF(B181="", "", "539655")</f>
        <v>0</v>
      </c>
    </row>
    <row r="182" spans="1:6">
      <c r="A182">
        <f>IF(COUNTBLANK(B182:F182)&lt;&gt;COLUMNS(B182:F182),181,"")</f>
        <v>0</v>
      </c>
      <c r="C182" s="1">
        <f>IF(B182="", "", "human-skin")</f>
        <v>0</v>
      </c>
      <c r="E182" s="1">
        <f>IF(B182="", "", "human skin metagenome")</f>
        <v>0</v>
      </c>
      <c r="F182" s="1">
        <f>IF(B182="", "", "539655")</f>
        <v>0</v>
      </c>
    </row>
    <row r="183" spans="1:6">
      <c r="A183">
        <f>IF(COUNTBLANK(B183:F183)&lt;&gt;COLUMNS(B183:F183),182,"")</f>
        <v>0</v>
      </c>
      <c r="C183" s="1">
        <f>IF(B183="", "", "human-skin")</f>
        <v>0</v>
      </c>
      <c r="E183" s="1">
        <f>IF(B183="", "", "human skin metagenome")</f>
        <v>0</v>
      </c>
      <c r="F183" s="1">
        <f>IF(B183="", "", "539655")</f>
        <v>0</v>
      </c>
    </row>
    <row r="184" spans="1:6">
      <c r="A184">
        <f>IF(COUNTBLANK(B184:F184)&lt;&gt;COLUMNS(B184:F184),183,"")</f>
        <v>0</v>
      </c>
      <c r="C184" s="1">
        <f>IF(B184="", "", "human-skin")</f>
        <v>0</v>
      </c>
      <c r="E184" s="1">
        <f>IF(B184="", "", "human skin metagenome")</f>
        <v>0</v>
      </c>
      <c r="F184" s="1">
        <f>IF(B184="", "", "539655")</f>
        <v>0</v>
      </c>
    </row>
    <row r="185" spans="1:6">
      <c r="A185">
        <f>IF(COUNTBLANK(B185:F185)&lt;&gt;COLUMNS(B185:F185),184,"")</f>
        <v>0</v>
      </c>
      <c r="C185" s="1">
        <f>IF(B185="", "", "human-skin")</f>
        <v>0</v>
      </c>
      <c r="E185" s="1">
        <f>IF(B185="", "", "human skin metagenome")</f>
        <v>0</v>
      </c>
      <c r="F185" s="1">
        <f>IF(B185="", "", "539655")</f>
        <v>0</v>
      </c>
    </row>
    <row r="186" spans="1:6">
      <c r="A186">
        <f>IF(COUNTBLANK(B186:F186)&lt;&gt;COLUMNS(B186:F186),185,"")</f>
        <v>0</v>
      </c>
      <c r="C186" s="1">
        <f>IF(B186="", "", "human-skin")</f>
        <v>0</v>
      </c>
      <c r="E186" s="1">
        <f>IF(B186="", "", "human skin metagenome")</f>
        <v>0</v>
      </c>
      <c r="F186" s="1">
        <f>IF(B186="", "", "539655")</f>
        <v>0</v>
      </c>
    </row>
    <row r="187" spans="1:6">
      <c r="A187">
        <f>IF(COUNTBLANK(B187:F187)&lt;&gt;COLUMNS(B187:F187),186,"")</f>
        <v>0</v>
      </c>
      <c r="C187" s="1">
        <f>IF(B187="", "", "human-skin")</f>
        <v>0</v>
      </c>
      <c r="E187" s="1">
        <f>IF(B187="", "", "human skin metagenome")</f>
        <v>0</v>
      </c>
      <c r="F187" s="1">
        <f>IF(B187="", "", "539655")</f>
        <v>0</v>
      </c>
    </row>
    <row r="188" spans="1:6">
      <c r="A188">
        <f>IF(COUNTBLANK(B188:F188)&lt;&gt;COLUMNS(B188:F188),187,"")</f>
        <v>0</v>
      </c>
      <c r="C188" s="1">
        <f>IF(B188="", "", "human-skin")</f>
        <v>0</v>
      </c>
      <c r="E188" s="1">
        <f>IF(B188="", "", "human skin metagenome")</f>
        <v>0</v>
      </c>
      <c r="F188" s="1">
        <f>IF(B188="", "", "539655")</f>
        <v>0</v>
      </c>
    </row>
    <row r="189" spans="1:6">
      <c r="A189">
        <f>IF(COUNTBLANK(B189:F189)&lt;&gt;COLUMNS(B189:F189),188,"")</f>
        <v>0</v>
      </c>
      <c r="C189" s="1">
        <f>IF(B189="", "", "human-skin")</f>
        <v>0</v>
      </c>
      <c r="E189" s="1">
        <f>IF(B189="", "", "human skin metagenome")</f>
        <v>0</v>
      </c>
      <c r="F189" s="1">
        <f>IF(B189="", "", "539655")</f>
        <v>0</v>
      </c>
    </row>
    <row r="190" spans="1:6">
      <c r="A190">
        <f>IF(COUNTBLANK(B190:F190)&lt;&gt;COLUMNS(B190:F190),189,"")</f>
        <v>0</v>
      </c>
      <c r="C190" s="1">
        <f>IF(B190="", "", "human-skin")</f>
        <v>0</v>
      </c>
      <c r="E190" s="1">
        <f>IF(B190="", "", "human skin metagenome")</f>
        <v>0</v>
      </c>
      <c r="F190" s="1">
        <f>IF(B190="", "", "539655")</f>
        <v>0</v>
      </c>
    </row>
    <row r="191" spans="1:6">
      <c r="A191">
        <f>IF(COUNTBLANK(B191:F191)&lt;&gt;COLUMNS(B191:F191),190,"")</f>
        <v>0</v>
      </c>
      <c r="C191" s="1">
        <f>IF(B191="", "", "human-skin")</f>
        <v>0</v>
      </c>
      <c r="E191" s="1">
        <f>IF(B191="", "", "human skin metagenome")</f>
        <v>0</v>
      </c>
      <c r="F191" s="1">
        <f>IF(B191="", "", "539655")</f>
        <v>0</v>
      </c>
    </row>
    <row r="192" spans="1:6">
      <c r="A192">
        <f>IF(COUNTBLANK(B192:F192)&lt;&gt;COLUMNS(B192:F192),191,"")</f>
        <v>0</v>
      </c>
      <c r="C192" s="1">
        <f>IF(B192="", "", "human-skin")</f>
        <v>0</v>
      </c>
      <c r="E192" s="1">
        <f>IF(B192="", "", "human skin metagenome")</f>
        <v>0</v>
      </c>
      <c r="F192" s="1">
        <f>IF(B192="", "", "539655")</f>
        <v>0</v>
      </c>
    </row>
    <row r="193" spans="1:6">
      <c r="A193">
        <f>IF(COUNTBLANK(B193:F193)&lt;&gt;COLUMNS(B193:F193),192,"")</f>
        <v>0</v>
      </c>
      <c r="C193" s="1">
        <f>IF(B193="", "", "human-skin")</f>
        <v>0</v>
      </c>
      <c r="E193" s="1">
        <f>IF(B193="", "", "human skin metagenome")</f>
        <v>0</v>
      </c>
      <c r="F193" s="1">
        <f>IF(B193="", "", "539655")</f>
        <v>0</v>
      </c>
    </row>
    <row r="194" spans="1:6">
      <c r="A194">
        <f>IF(COUNTBLANK(B194:F194)&lt;&gt;COLUMNS(B194:F194),193,"")</f>
        <v>0</v>
      </c>
      <c r="C194" s="1">
        <f>IF(B194="", "", "human-skin")</f>
        <v>0</v>
      </c>
      <c r="E194" s="1">
        <f>IF(B194="", "", "human skin metagenome")</f>
        <v>0</v>
      </c>
      <c r="F194" s="1">
        <f>IF(B194="", "", "539655")</f>
        <v>0</v>
      </c>
    </row>
    <row r="195" spans="1:6">
      <c r="A195">
        <f>IF(COUNTBLANK(B195:F195)&lt;&gt;COLUMNS(B195:F195),194,"")</f>
        <v>0</v>
      </c>
      <c r="C195" s="1">
        <f>IF(B195="", "", "human-skin")</f>
        <v>0</v>
      </c>
      <c r="E195" s="1">
        <f>IF(B195="", "", "human skin metagenome")</f>
        <v>0</v>
      </c>
      <c r="F195" s="1">
        <f>IF(B195="", "", "539655")</f>
        <v>0</v>
      </c>
    </row>
    <row r="196" spans="1:6">
      <c r="A196">
        <f>IF(COUNTBLANK(B196:F196)&lt;&gt;COLUMNS(B196:F196),195,"")</f>
        <v>0</v>
      </c>
      <c r="C196" s="1">
        <f>IF(B196="", "", "human-skin")</f>
        <v>0</v>
      </c>
      <c r="E196" s="1">
        <f>IF(B196="", "", "human skin metagenome")</f>
        <v>0</v>
      </c>
      <c r="F196" s="1">
        <f>IF(B196="", "", "539655")</f>
        <v>0</v>
      </c>
    </row>
    <row r="197" spans="1:6">
      <c r="A197">
        <f>IF(COUNTBLANK(B197:F197)&lt;&gt;COLUMNS(B197:F197),196,"")</f>
        <v>0</v>
      </c>
      <c r="C197" s="1">
        <f>IF(B197="", "", "human-skin")</f>
        <v>0</v>
      </c>
      <c r="E197" s="1">
        <f>IF(B197="", "", "human skin metagenome")</f>
        <v>0</v>
      </c>
      <c r="F197" s="1">
        <f>IF(B197="", "", "539655")</f>
        <v>0</v>
      </c>
    </row>
    <row r="198" spans="1:6">
      <c r="A198">
        <f>IF(COUNTBLANK(B198:F198)&lt;&gt;COLUMNS(B198:F198),197,"")</f>
        <v>0</v>
      </c>
      <c r="C198" s="1">
        <f>IF(B198="", "", "human-skin")</f>
        <v>0</v>
      </c>
      <c r="E198" s="1">
        <f>IF(B198="", "", "human skin metagenome")</f>
        <v>0</v>
      </c>
      <c r="F198" s="1">
        <f>IF(B198="", "", "539655")</f>
        <v>0</v>
      </c>
    </row>
    <row r="199" spans="1:6">
      <c r="A199">
        <f>IF(COUNTBLANK(B199:F199)&lt;&gt;COLUMNS(B199:F199),198,"")</f>
        <v>0</v>
      </c>
      <c r="C199" s="1">
        <f>IF(B199="", "", "human-skin")</f>
        <v>0</v>
      </c>
      <c r="E199" s="1">
        <f>IF(B199="", "", "human skin metagenome")</f>
        <v>0</v>
      </c>
      <c r="F199" s="1">
        <f>IF(B199="", "", "539655")</f>
        <v>0</v>
      </c>
    </row>
    <row r="200" spans="1:6">
      <c r="A200">
        <f>IF(COUNTBLANK(B200:F200)&lt;&gt;COLUMNS(B200:F200),199,"")</f>
        <v>0</v>
      </c>
      <c r="C200" s="1">
        <f>IF(B200="", "", "human-skin")</f>
        <v>0</v>
      </c>
      <c r="E200" s="1">
        <f>IF(B200="", "", "human skin metagenome")</f>
        <v>0</v>
      </c>
      <c r="F200" s="1">
        <f>IF(B200="", "", "539655")</f>
        <v>0</v>
      </c>
    </row>
    <row r="201" spans="1:6">
      <c r="A201">
        <f>IF(COUNTBLANK(B201:F201)&lt;&gt;COLUMNS(B201:F201),200,"")</f>
        <v>0</v>
      </c>
      <c r="C201" s="1">
        <f>IF(B201="", "", "human-skin")</f>
        <v>0</v>
      </c>
      <c r="E201" s="1">
        <f>IF(B201="", "", "human skin metagenome")</f>
        <v>0</v>
      </c>
      <c r="F201" s="1">
        <f>IF(B201="", "", "539655")</f>
        <v>0</v>
      </c>
    </row>
    <row r="202" spans="1:6">
      <c r="A202">
        <f>IF(COUNTBLANK(B202:F202)&lt;&gt;COLUMNS(B202:F202),201,"")</f>
        <v>0</v>
      </c>
      <c r="C202" s="1">
        <f>IF(B202="", "", "human-skin")</f>
        <v>0</v>
      </c>
      <c r="E202" s="1">
        <f>IF(B202="", "", "human skin metagenome")</f>
        <v>0</v>
      </c>
      <c r="F202" s="1">
        <f>IF(B202="", "", "539655")</f>
        <v>0</v>
      </c>
    </row>
    <row r="203" spans="1:6">
      <c r="A203">
        <f>IF(COUNTBLANK(B203:F203)&lt;&gt;COLUMNS(B203:F203),202,"")</f>
        <v>0</v>
      </c>
      <c r="C203" s="1">
        <f>IF(B203="", "", "human-skin")</f>
        <v>0</v>
      </c>
      <c r="E203" s="1">
        <f>IF(B203="", "", "human skin metagenome")</f>
        <v>0</v>
      </c>
      <c r="F203" s="1">
        <f>IF(B203="", "", "539655")</f>
        <v>0</v>
      </c>
    </row>
    <row r="204" spans="1:6">
      <c r="A204">
        <f>IF(COUNTBLANK(B204:F204)&lt;&gt;COLUMNS(B204:F204),203,"")</f>
        <v>0</v>
      </c>
      <c r="C204" s="1">
        <f>IF(B204="", "", "human-skin")</f>
        <v>0</v>
      </c>
      <c r="E204" s="1">
        <f>IF(B204="", "", "human skin metagenome")</f>
        <v>0</v>
      </c>
      <c r="F204" s="1">
        <f>IF(B204="", "", "539655")</f>
        <v>0</v>
      </c>
    </row>
    <row r="205" spans="1:6">
      <c r="A205">
        <f>IF(COUNTBLANK(B205:F205)&lt;&gt;COLUMNS(B205:F205),204,"")</f>
        <v>0</v>
      </c>
      <c r="C205" s="1">
        <f>IF(B205="", "", "human-skin")</f>
        <v>0</v>
      </c>
      <c r="E205" s="1">
        <f>IF(B205="", "", "human skin metagenome")</f>
        <v>0</v>
      </c>
      <c r="F205" s="1">
        <f>IF(B205="", "", "539655")</f>
        <v>0</v>
      </c>
    </row>
    <row r="206" spans="1:6">
      <c r="A206">
        <f>IF(COUNTBLANK(B206:F206)&lt;&gt;COLUMNS(B206:F206),205,"")</f>
        <v>0</v>
      </c>
      <c r="C206" s="1">
        <f>IF(B206="", "", "human-skin")</f>
        <v>0</v>
      </c>
      <c r="E206" s="1">
        <f>IF(B206="", "", "human skin metagenome")</f>
        <v>0</v>
      </c>
      <c r="F206" s="1">
        <f>IF(B206="", "", "539655")</f>
        <v>0</v>
      </c>
    </row>
    <row r="207" spans="1:6">
      <c r="A207">
        <f>IF(COUNTBLANK(B207:F207)&lt;&gt;COLUMNS(B207:F207),206,"")</f>
        <v>0</v>
      </c>
      <c r="C207" s="1">
        <f>IF(B207="", "", "human-skin")</f>
        <v>0</v>
      </c>
      <c r="E207" s="1">
        <f>IF(B207="", "", "human skin metagenome")</f>
        <v>0</v>
      </c>
      <c r="F207" s="1">
        <f>IF(B207="", "", "539655")</f>
        <v>0</v>
      </c>
    </row>
    <row r="208" spans="1:6">
      <c r="A208">
        <f>IF(COUNTBLANK(B208:F208)&lt;&gt;COLUMNS(B208:F208),207,"")</f>
        <v>0</v>
      </c>
      <c r="C208" s="1">
        <f>IF(B208="", "", "human-skin")</f>
        <v>0</v>
      </c>
      <c r="E208" s="1">
        <f>IF(B208="", "", "human skin metagenome")</f>
        <v>0</v>
      </c>
      <c r="F208" s="1">
        <f>IF(B208="", "", "539655")</f>
        <v>0</v>
      </c>
    </row>
    <row r="209" spans="1:6">
      <c r="A209">
        <f>IF(COUNTBLANK(B209:F209)&lt;&gt;COLUMNS(B209:F209),208,"")</f>
        <v>0</v>
      </c>
      <c r="C209" s="1">
        <f>IF(B209="", "", "human-skin")</f>
        <v>0</v>
      </c>
      <c r="E209" s="1">
        <f>IF(B209="", "", "human skin metagenome")</f>
        <v>0</v>
      </c>
      <c r="F209" s="1">
        <f>IF(B209="", "", "539655")</f>
        <v>0</v>
      </c>
    </row>
    <row r="210" spans="1:6">
      <c r="A210">
        <f>IF(COUNTBLANK(B210:F210)&lt;&gt;COLUMNS(B210:F210),209,"")</f>
        <v>0</v>
      </c>
      <c r="C210" s="1">
        <f>IF(B210="", "", "human-skin")</f>
        <v>0</v>
      </c>
      <c r="E210" s="1">
        <f>IF(B210="", "", "human skin metagenome")</f>
        <v>0</v>
      </c>
      <c r="F210" s="1">
        <f>IF(B210="", "", "539655")</f>
        <v>0</v>
      </c>
    </row>
    <row r="211" spans="1:6">
      <c r="A211">
        <f>IF(COUNTBLANK(B211:F211)&lt;&gt;COLUMNS(B211:F211),210,"")</f>
        <v>0</v>
      </c>
      <c r="C211" s="1">
        <f>IF(B211="", "", "human-skin")</f>
        <v>0</v>
      </c>
      <c r="E211" s="1">
        <f>IF(B211="", "", "human skin metagenome")</f>
        <v>0</v>
      </c>
      <c r="F211" s="1">
        <f>IF(B211="", "", "539655")</f>
        <v>0</v>
      </c>
    </row>
    <row r="212" spans="1:6">
      <c r="A212">
        <f>IF(COUNTBLANK(B212:F212)&lt;&gt;COLUMNS(B212:F212),211,"")</f>
        <v>0</v>
      </c>
      <c r="C212" s="1">
        <f>IF(B212="", "", "human-skin")</f>
        <v>0</v>
      </c>
      <c r="E212" s="1">
        <f>IF(B212="", "", "human skin metagenome")</f>
        <v>0</v>
      </c>
      <c r="F212" s="1">
        <f>IF(B212="", "", "539655")</f>
        <v>0</v>
      </c>
    </row>
    <row r="213" spans="1:6">
      <c r="A213">
        <f>IF(COUNTBLANK(B213:F213)&lt;&gt;COLUMNS(B213:F213),212,"")</f>
        <v>0</v>
      </c>
      <c r="C213" s="1">
        <f>IF(B213="", "", "human-skin")</f>
        <v>0</v>
      </c>
      <c r="E213" s="1">
        <f>IF(B213="", "", "human skin metagenome")</f>
        <v>0</v>
      </c>
      <c r="F213" s="1">
        <f>IF(B213="", "", "539655")</f>
        <v>0</v>
      </c>
    </row>
    <row r="214" spans="1:6">
      <c r="A214">
        <f>IF(COUNTBLANK(B214:F214)&lt;&gt;COLUMNS(B214:F214),213,"")</f>
        <v>0</v>
      </c>
      <c r="C214" s="1">
        <f>IF(B214="", "", "human-skin")</f>
        <v>0</v>
      </c>
      <c r="E214" s="1">
        <f>IF(B214="", "", "human skin metagenome")</f>
        <v>0</v>
      </c>
      <c r="F214" s="1">
        <f>IF(B214="", "", "539655")</f>
        <v>0</v>
      </c>
    </row>
    <row r="215" spans="1:6">
      <c r="A215">
        <f>IF(COUNTBLANK(B215:F215)&lt;&gt;COLUMNS(B215:F215),214,"")</f>
        <v>0</v>
      </c>
      <c r="C215" s="1">
        <f>IF(B215="", "", "human-skin")</f>
        <v>0</v>
      </c>
      <c r="E215" s="1">
        <f>IF(B215="", "", "human skin metagenome")</f>
        <v>0</v>
      </c>
      <c r="F215" s="1">
        <f>IF(B215="", "", "539655")</f>
        <v>0</v>
      </c>
    </row>
    <row r="216" spans="1:6">
      <c r="A216">
        <f>IF(COUNTBLANK(B216:F216)&lt;&gt;COLUMNS(B216:F216),215,"")</f>
        <v>0</v>
      </c>
      <c r="C216" s="1">
        <f>IF(B216="", "", "human-skin")</f>
        <v>0</v>
      </c>
      <c r="E216" s="1">
        <f>IF(B216="", "", "human skin metagenome")</f>
        <v>0</v>
      </c>
      <c r="F216" s="1">
        <f>IF(B216="", "", "539655")</f>
        <v>0</v>
      </c>
    </row>
    <row r="217" spans="1:6">
      <c r="A217">
        <f>IF(COUNTBLANK(B217:F217)&lt;&gt;COLUMNS(B217:F217),216,"")</f>
        <v>0</v>
      </c>
      <c r="C217" s="1">
        <f>IF(B217="", "", "human-skin")</f>
        <v>0</v>
      </c>
      <c r="E217" s="1">
        <f>IF(B217="", "", "human skin metagenome")</f>
        <v>0</v>
      </c>
      <c r="F217" s="1">
        <f>IF(B217="", "", "539655")</f>
        <v>0</v>
      </c>
    </row>
    <row r="218" spans="1:6">
      <c r="A218">
        <f>IF(COUNTBLANK(B218:F218)&lt;&gt;COLUMNS(B218:F218),217,"")</f>
        <v>0</v>
      </c>
      <c r="C218" s="1">
        <f>IF(B218="", "", "human-skin")</f>
        <v>0</v>
      </c>
      <c r="E218" s="1">
        <f>IF(B218="", "", "human skin metagenome")</f>
        <v>0</v>
      </c>
      <c r="F218" s="1">
        <f>IF(B218="", "", "539655")</f>
        <v>0</v>
      </c>
    </row>
    <row r="219" spans="1:6">
      <c r="A219">
        <f>IF(COUNTBLANK(B219:F219)&lt;&gt;COLUMNS(B219:F219),218,"")</f>
        <v>0</v>
      </c>
      <c r="C219" s="1">
        <f>IF(B219="", "", "human-skin")</f>
        <v>0</v>
      </c>
      <c r="E219" s="1">
        <f>IF(B219="", "", "human skin metagenome")</f>
        <v>0</v>
      </c>
      <c r="F219" s="1">
        <f>IF(B219="", "", "539655")</f>
        <v>0</v>
      </c>
    </row>
    <row r="220" spans="1:6">
      <c r="A220">
        <f>IF(COUNTBLANK(B220:F220)&lt;&gt;COLUMNS(B220:F220),219,"")</f>
        <v>0</v>
      </c>
      <c r="C220" s="1">
        <f>IF(B220="", "", "human-skin")</f>
        <v>0</v>
      </c>
      <c r="E220" s="1">
        <f>IF(B220="", "", "human skin metagenome")</f>
        <v>0</v>
      </c>
      <c r="F220" s="1">
        <f>IF(B220="", "", "539655")</f>
        <v>0</v>
      </c>
    </row>
    <row r="221" spans="1:6">
      <c r="A221">
        <f>IF(COUNTBLANK(B221:F221)&lt;&gt;COLUMNS(B221:F221),220,"")</f>
        <v>0</v>
      </c>
      <c r="C221" s="1">
        <f>IF(B221="", "", "human-skin")</f>
        <v>0</v>
      </c>
      <c r="E221" s="1">
        <f>IF(B221="", "", "human skin metagenome")</f>
        <v>0</v>
      </c>
      <c r="F221" s="1">
        <f>IF(B221="", "", "539655")</f>
        <v>0</v>
      </c>
    </row>
    <row r="222" spans="1:6">
      <c r="A222">
        <f>IF(COUNTBLANK(B222:F222)&lt;&gt;COLUMNS(B222:F222),221,"")</f>
        <v>0</v>
      </c>
      <c r="C222" s="1">
        <f>IF(B222="", "", "human-skin")</f>
        <v>0</v>
      </c>
      <c r="E222" s="1">
        <f>IF(B222="", "", "human skin metagenome")</f>
        <v>0</v>
      </c>
      <c r="F222" s="1">
        <f>IF(B222="", "", "539655")</f>
        <v>0</v>
      </c>
    </row>
    <row r="223" spans="1:6">
      <c r="A223">
        <f>IF(COUNTBLANK(B223:F223)&lt;&gt;COLUMNS(B223:F223),222,"")</f>
        <v>0</v>
      </c>
      <c r="C223" s="1">
        <f>IF(B223="", "", "human-skin")</f>
        <v>0</v>
      </c>
      <c r="E223" s="1">
        <f>IF(B223="", "", "human skin metagenome")</f>
        <v>0</v>
      </c>
      <c r="F223" s="1">
        <f>IF(B223="", "", "539655")</f>
        <v>0</v>
      </c>
    </row>
    <row r="224" spans="1:6">
      <c r="A224">
        <f>IF(COUNTBLANK(B224:F224)&lt;&gt;COLUMNS(B224:F224),223,"")</f>
        <v>0</v>
      </c>
      <c r="C224" s="1">
        <f>IF(B224="", "", "human-skin")</f>
        <v>0</v>
      </c>
      <c r="E224" s="1">
        <f>IF(B224="", "", "human skin metagenome")</f>
        <v>0</v>
      </c>
      <c r="F224" s="1">
        <f>IF(B224="", "", "539655")</f>
        <v>0</v>
      </c>
    </row>
    <row r="225" spans="1:6">
      <c r="A225">
        <f>IF(COUNTBLANK(B225:F225)&lt;&gt;COLUMNS(B225:F225),224,"")</f>
        <v>0</v>
      </c>
      <c r="C225" s="1">
        <f>IF(B225="", "", "human-skin")</f>
        <v>0</v>
      </c>
      <c r="E225" s="1">
        <f>IF(B225="", "", "human skin metagenome")</f>
        <v>0</v>
      </c>
      <c r="F225" s="1">
        <f>IF(B225="", "", "539655")</f>
        <v>0</v>
      </c>
    </row>
    <row r="226" spans="1:6">
      <c r="A226">
        <f>IF(COUNTBLANK(B226:F226)&lt;&gt;COLUMNS(B226:F226),225,"")</f>
        <v>0</v>
      </c>
      <c r="C226" s="1">
        <f>IF(B226="", "", "human-skin")</f>
        <v>0</v>
      </c>
      <c r="E226" s="1">
        <f>IF(B226="", "", "human skin metagenome")</f>
        <v>0</v>
      </c>
      <c r="F226" s="1">
        <f>IF(B226="", "", "539655")</f>
        <v>0</v>
      </c>
    </row>
    <row r="227" spans="1:6">
      <c r="A227">
        <f>IF(COUNTBLANK(B227:F227)&lt;&gt;COLUMNS(B227:F227),226,"")</f>
        <v>0</v>
      </c>
      <c r="C227" s="1">
        <f>IF(B227="", "", "human-skin")</f>
        <v>0</v>
      </c>
      <c r="E227" s="1">
        <f>IF(B227="", "", "human skin metagenome")</f>
        <v>0</v>
      </c>
      <c r="F227" s="1">
        <f>IF(B227="", "", "539655")</f>
        <v>0</v>
      </c>
    </row>
    <row r="228" spans="1:6">
      <c r="A228">
        <f>IF(COUNTBLANK(B228:F228)&lt;&gt;COLUMNS(B228:F228),227,"")</f>
        <v>0</v>
      </c>
      <c r="C228" s="1">
        <f>IF(B228="", "", "human-skin")</f>
        <v>0</v>
      </c>
      <c r="E228" s="1">
        <f>IF(B228="", "", "human skin metagenome")</f>
        <v>0</v>
      </c>
      <c r="F228" s="1">
        <f>IF(B228="", "", "539655")</f>
        <v>0</v>
      </c>
    </row>
    <row r="229" spans="1:6">
      <c r="A229">
        <f>IF(COUNTBLANK(B229:F229)&lt;&gt;COLUMNS(B229:F229),228,"")</f>
        <v>0</v>
      </c>
      <c r="C229" s="1">
        <f>IF(B229="", "", "human-skin")</f>
        <v>0</v>
      </c>
      <c r="E229" s="1">
        <f>IF(B229="", "", "human skin metagenome")</f>
        <v>0</v>
      </c>
      <c r="F229" s="1">
        <f>IF(B229="", "", "539655")</f>
        <v>0</v>
      </c>
    </row>
    <row r="230" spans="1:6">
      <c r="A230">
        <f>IF(COUNTBLANK(B230:F230)&lt;&gt;COLUMNS(B230:F230),229,"")</f>
        <v>0</v>
      </c>
      <c r="C230" s="1">
        <f>IF(B230="", "", "human-skin")</f>
        <v>0</v>
      </c>
      <c r="E230" s="1">
        <f>IF(B230="", "", "human skin metagenome")</f>
        <v>0</v>
      </c>
      <c r="F230" s="1">
        <f>IF(B230="", "", "539655")</f>
        <v>0</v>
      </c>
    </row>
    <row r="231" spans="1:6">
      <c r="A231">
        <f>IF(COUNTBLANK(B231:F231)&lt;&gt;COLUMNS(B231:F231),230,"")</f>
        <v>0</v>
      </c>
      <c r="C231" s="1">
        <f>IF(B231="", "", "human-skin")</f>
        <v>0</v>
      </c>
      <c r="E231" s="1">
        <f>IF(B231="", "", "human skin metagenome")</f>
        <v>0</v>
      </c>
      <c r="F231" s="1">
        <f>IF(B231="", "", "539655")</f>
        <v>0</v>
      </c>
    </row>
    <row r="232" spans="1:6">
      <c r="A232">
        <f>IF(COUNTBLANK(B232:F232)&lt;&gt;COLUMNS(B232:F232),231,"")</f>
        <v>0</v>
      </c>
      <c r="C232" s="1">
        <f>IF(B232="", "", "human-skin")</f>
        <v>0</v>
      </c>
      <c r="E232" s="1">
        <f>IF(B232="", "", "human skin metagenome")</f>
        <v>0</v>
      </c>
      <c r="F232" s="1">
        <f>IF(B232="", "", "539655")</f>
        <v>0</v>
      </c>
    </row>
    <row r="233" spans="1:6">
      <c r="A233">
        <f>IF(COUNTBLANK(B233:F233)&lt;&gt;COLUMNS(B233:F233),232,"")</f>
        <v>0</v>
      </c>
      <c r="C233" s="1">
        <f>IF(B233="", "", "human-skin")</f>
        <v>0</v>
      </c>
      <c r="E233" s="1">
        <f>IF(B233="", "", "human skin metagenome")</f>
        <v>0</v>
      </c>
      <c r="F233" s="1">
        <f>IF(B233="", "", "539655")</f>
        <v>0</v>
      </c>
    </row>
    <row r="234" spans="1:6">
      <c r="A234">
        <f>IF(COUNTBLANK(B234:F234)&lt;&gt;COLUMNS(B234:F234),233,"")</f>
        <v>0</v>
      </c>
      <c r="C234" s="1">
        <f>IF(B234="", "", "human-skin")</f>
        <v>0</v>
      </c>
      <c r="E234" s="1">
        <f>IF(B234="", "", "human skin metagenome")</f>
        <v>0</v>
      </c>
      <c r="F234" s="1">
        <f>IF(B234="", "", "539655")</f>
        <v>0</v>
      </c>
    </row>
    <row r="235" spans="1:6">
      <c r="A235">
        <f>IF(COUNTBLANK(B235:F235)&lt;&gt;COLUMNS(B235:F235),234,"")</f>
        <v>0</v>
      </c>
      <c r="C235" s="1">
        <f>IF(B235="", "", "human-skin")</f>
        <v>0</v>
      </c>
      <c r="E235" s="1">
        <f>IF(B235="", "", "human skin metagenome")</f>
        <v>0</v>
      </c>
      <c r="F235" s="1">
        <f>IF(B235="", "", "539655")</f>
        <v>0</v>
      </c>
    </row>
    <row r="236" spans="1:6">
      <c r="A236">
        <f>IF(COUNTBLANK(B236:F236)&lt;&gt;COLUMNS(B236:F236),235,"")</f>
        <v>0</v>
      </c>
      <c r="C236" s="1">
        <f>IF(B236="", "", "human-skin")</f>
        <v>0</v>
      </c>
      <c r="E236" s="1">
        <f>IF(B236="", "", "human skin metagenome")</f>
        <v>0</v>
      </c>
      <c r="F236" s="1">
        <f>IF(B236="", "", "539655")</f>
        <v>0</v>
      </c>
    </row>
    <row r="237" spans="1:6">
      <c r="A237">
        <f>IF(COUNTBLANK(B237:F237)&lt;&gt;COLUMNS(B237:F237),236,"")</f>
        <v>0</v>
      </c>
      <c r="C237" s="1">
        <f>IF(B237="", "", "human-skin")</f>
        <v>0</v>
      </c>
      <c r="E237" s="1">
        <f>IF(B237="", "", "human skin metagenome")</f>
        <v>0</v>
      </c>
      <c r="F237" s="1">
        <f>IF(B237="", "", "539655")</f>
        <v>0</v>
      </c>
    </row>
    <row r="238" spans="1:6">
      <c r="A238">
        <f>IF(COUNTBLANK(B238:F238)&lt;&gt;COLUMNS(B238:F238),237,"")</f>
        <v>0</v>
      </c>
      <c r="C238" s="1">
        <f>IF(B238="", "", "human-skin")</f>
        <v>0</v>
      </c>
      <c r="E238" s="1">
        <f>IF(B238="", "", "human skin metagenome")</f>
        <v>0</v>
      </c>
      <c r="F238" s="1">
        <f>IF(B238="", "", "539655")</f>
        <v>0</v>
      </c>
    </row>
    <row r="239" spans="1:6">
      <c r="A239">
        <f>IF(COUNTBLANK(B239:F239)&lt;&gt;COLUMNS(B239:F239),238,"")</f>
        <v>0</v>
      </c>
      <c r="C239" s="1">
        <f>IF(B239="", "", "human-skin")</f>
        <v>0</v>
      </c>
      <c r="E239" s="1">
        <f>IF(B239="", "", "human skin metagenome")</f>
        <v>0</v>
      </c>
      <c r="F239" s="1">
        <f>IF(B239="", "", "539655")</f>
        <v>0</v>
      </c>
    </row>
    <row r="240" spans="1:6">
      <c r="A240">
        <f>IF(COUNTBLANK(B240:F240)&lt;&gt;COLUMNS(B240:F240),239,"")</f>
        <v>0</v>
      </c>
      <c r="C240" s="1">
        <f>IF(B240="", "", "human-skin")</f>
        <v>0</v>
      </c>
      <c r="E240" s="1">
        <f>IF(B240="", "", "human skin metagenome")</f>
        <v>0</v>
      </c>
      <c r="F240" s="1">
        <f>IF(B240="", "", "539655")</f>
        <v>0</v>
      </c>
    </row>
    <row r="241" spans="1:6">
      <c r="A241">
        <f>IF(COUNTBLANK(B241:F241)&lt;&gt;COLUMNS(B241:F241),240,"")</f>
        <v>0</v>
      </c>
      <c r="C241" s="1">
        <f>IF(B241="", "", "human-skin")</f>
        <v>0</v>
      </c>
      <c r="E241" s="1">
        <f>IF(B241="", "", "human skin metagenome")</f>
        <v>0</v>
      </c>
      <c r="F241" s="1">
        <f>IF(B241="", "", "539655")</f>
        <v>0</v>
      </c>
    </row>
    <row r="242" spans="1:6">
      <c r="A242">
        <f>IF(COUNTBLANK(B242:F242)&lt;&gt;COLUMNS(B242:F242),241,"")</f>
        <v>0</v>
      </c>
      <c r="C242" s="1">
        <f>IF(B242="", "", "human-skin")</f>
        <v>0</v>
      </c>
      <c r="E242" s="1">
        <f>IF(B242="", "", "human skin metagenome")</f>
        <v>0</v>
      </c>
      <c r="F242" s="1">
        <f>IF(B242="", "", "539655")</f>
        <v>0</v>
      </c>
    </row>
    <row r="243" spans="1:6">
      <c r="A243">
        <f>IF(COUNTBLANK(B243:F243)&lt;&gt;COLUMNS(B243:F243),242,"")</f>
        <v>0</v>
      </c>
      <c r="C243" s="1">
        <f>IF(B243="", "", "human-skin")</f>
        <v>0</v>
      </c>
      <c r="E243" s="1">
        <f>IF(B243="", "", "human skin metagenome")</f>
        <v>0</v>
      </c>
      <c r="F243" s="1">
        <f>IF(B243="", "", "539655")</f>
        <v>0</v>
      </c>
    </row>
    <row r="244" spans="1:6">
      <c r="A244">
        <f>IF(COUNTBLANK(B244:F244)&lt;&gt;COLUMNS(B244:F244),243,"")</f>
        <v>0</v>
      </c>
      <c r="C244" s="1">
        <f>IF(B244="", "", "human-skin")</f>
        <v>0</v>
      </c>
      <c r="E244" s="1">
        <f>IF(B244="", "", "human skin metagenome")</f>
        <v>0</v>
      </c>
      <c r="F244" s="1">
        <f>IF(B244="", "", "539655")</f>
        <v>0</v>
      </c>
    </row>
    <row r="245" spans="1:6">
      <c r="A245">
        <f>IF(COUNTBLANK(B245:F245)&lt;&gt;COLUMNS(B245:F245),244,"")</f>
        <v>0</v>
      </c>
      <c r="C245" s="1">
        <f>IF(B245="", "", "human-skin")</f>
        <v>0</v>
      </c>
      <c r="E245" s="1">
        <f>IF(B245="", "", "human skin metagenome")</f>
        <v>0</v>
      </c>
      <c r="F245" s="1">
        <f>IF(B245="", "", "539655")</f>
        <v>0</v>
      </c>
    </row>
    <row r="246" spans="1:6">
      <c r="A246">
        <f>IF(COUNTBLANK(B246:F246)&lt;&gt;COLUMNS(B246:F246),245,"")</f>
        <v>0</v>
      </c>
      <c r="C246" s="1">
        <f>IF(B246="", "", "human-skin")</f>
        <v>0</v>
      </c>
      <c r="E246" s="1">
        <f>IF(B246="", "", "human skin metagenome")</f>
        <v>0</v>
      </c>
      <c r="F246" s="1">
        <f>IF(B246="", "", "539655")</f>
        <v>0</v>
      </c>
    </row>
    <row r="247" spans="1:6">
      <c r="A247">
        <f>IF(COUNTBLANK(B247:F247)&lt;&gt;COLUMNS(B247:F247),246,"")</f>
        <v>0</v>
      </c>
      <c r="C247" s="1">
        <f>IF(B247="", "", "human-skin")</f>
        <v>0</v>
      </c>
      <c r="E247" s="1">
        <f>IF(B247="", "", "human skin metagenome")</f>
        <v>0</v>
      </c>
      <c r="F247" s="1">
        <f>IF(B247="", "", "539655")</f>
        <v>0</v>
      </c>
    </row>
    <row r="248" spans="1:6">
      <c r="A248">
        <f>IF(COUNTBLANK(B248:F248)&lt;&gt;COLUMNS(B248:F248),247,"")</f>
        <v>0</v>
      </c>
      <c r="C248" s="1">
        <f>IF(B248="", "", "human-skin")</f>
        <v>0</v>
      </c>
      <c r="E248" s="1">
        <f>IF(B248="", "", "human skin metagenome")</f>
        <v>0</v>
      </c>
      <c r="F248" s="1">
        <f>IF(B248="", "", "539655")</f>
        <v>0</v>
      </c>
    </row>
    <row r="249" spans="1:6">
      <c r="A249">
        <f>IF(COUNTBLANK(B249:F249)&lt;&gt;COLUMNS(B249:F249),248,"")</f>
        <v>0</v>
      </c>
      <c r="C249" s="1">
        <f>IF(B249="", "", "human-skin")</f>
        <v>0</v>
      </c>
      <c r="E249" s="1">
        <f>IF(B249="", "", "human skin metagenome")</f>
        <v>0</v>
      </c>
      <c r="F249" s="1">
        <f>IF(B249="", "", "539655")</f>
        <v>0</v>
      </c>
    </row>
    <row r="250" spans="1:6">
      <c r="A250">
        <f>IF(COUNTBLANK(B250:F250)&lt;&gt;COLUMNS(B250:F250),249,"")</f>
        <v>0</v>
      </c>
      <c r="C250" s="1">
        <f>IF(B250="", "", "human-skin")</f>
        <v>0</v>
      </c>
      <c r="E250" s="1">
        <f>IF(B250="", "", "human skin metagenome")</f>
        <v>0</v>
      </c>
      <c r="F250" s="1">
        <f>IF(B250="", "", "539655")</f>
        <v>0</v>
      </c>
    </row>
    <row r="251" spans="1:6">
      <c r="A251">
        <f>IF(COUNTBLANK(B251:F251)&lt;&gt;COLUMNS(B251:F251),250,"")</f>
        <v>0</v>
      </c>
      <c r="C251" s="1">
        <f>IF(B251="", "", "human-skin")</f>
        <v>0</v>
      </c>
      <c r="E251" s="1">
        <f>IF(B251="", "", "human skin metagenome")</f>
        <v>0</v>
      </c>
      <c r="F251" s="1">
        <f>IF(B251="", "", "539655")</f>
        <v>0</v>
      </c>
    </row>
    <row r="252" spans="1:6">
      <c r="A252">
        <f>IF(COUNTBLANK(B252:F252)&lt;&gt;COLUMNS(B252:F252),251,"")</f>
        <v>0</v>
      </c>
      <c r="C252" s="1">
        <f>IF(B252="", "", "human-skin")</f>
        <v>0</v>
      </c>
      <c r="E252" s="1">
        <f>IF(B252="", "", "human skin metagenome")</f>
        <v>0</v>
      </c>
      <c r="F252" s="1">
        <f>IF(B252="", "", "539655")</f>
        <v>0</v>
      </c>
    </row>
    <row r="253" spans="1:6">
      <c r="A253">
        <f>IF(COUNTBLANK(B253:F253)&lt;&gt;COLUMNS(B253:F253),252,"")</f>
        <v>0</v>
      </c>
      <c r="C253" s="1">
        <f>IF(B253="", "", "human-skin")</f>
        <v>0</v>
      </c>
      <c r="E253" s="1">
        <f>IF(B253="", "", "human skin metagenome")</f>
        <v>0</v>
      </c>
      <c r="F253" s="1">
        <f>IF(B253="", "", "539655")</f>
        <v>0</v>
      </c>
    </row>
    <row r="254" spans="1:6">
      <c r="A254">
        <f>IF(COUNTBLANK(B254:F254)&lt;&gt;COLUMNS(B254:F254),253,"")</f>
        <v>0</v>
      </c>
      <c r="C254" s="1">
        <f>IF(B254="", "", "human-skin")</f>
        <v>0</v>
      </c>
      <c r="E254" s="1">
        <f>IF(B254="", "", "human skin metagenome")</f>
        <v>0</v>
      </c>
      <c r="F254" s="1">
        <f>IF(B254="", "", "539655")</f>
        <v>0</v>
      </c>
    </row>
    <row r="255" spans="1:6">
      <c r="A255">
        <f>IF(COUNTBLANK(B255:F255)&lt;&gt;COLUMNS(B255:F255),254,"")</f>
        <v>0</v>
      </c>
      <c r="C255" s="1">
        <f>IF(B255="", "", "human-skin")</f>
        <v>0</v>
      </c>
      <c r="E255" s="1">
        <f>IF(B255="", "", "human skin metagenome")</f>
        <v>0</v>
      </c>
      <c r="F255" s="1">
        <f>IF(B255="", "", "539655")</f>
        <v>0</v>
      </c>
    </row>
    <row r="256" spans="1:6">
      <c r="A256">
        <f>IF(COUNTBLANK(B256:F256)&lt;&gt;COLUMNS(B256:F256),255,"")</f>
        <v>0</v>
      </c>
      <c r="C256" s="1">
        <f>IF(B256="", "", "human-skin")</f>
        <v>0</v>
      </c>
      <c r="E256" s="1">
        <f>IF(B256="", "", "human skin metagenome")</f>
        <v>0</v>
      </c>
      <c r="F256" s="1">
        <f>IF(B256="", "", "539655")</f>
        <v>0</v>
      </c>
    </row>
    <row r="257" spans="1:6">
      <c r="A257">
        <f>IF(COUNTBLANK(B257:F257)&lt;&gt;COLUMNS(B257:F257),256,"")</f>
        <v>0</v>
      </c>
      <c r="C257" s="1">
        <f>IF(B257="", "", "human-skin")</f>
        <v>0</v>
      </c>
      <c r="E257" s="1">
        <f>IF(B257="", "", "human skin metagenome")</f>
        <v>0</v>
      </c>
      <c r="F257" s="1">
        <f>IF(B257="", "", "539655")</f>
        <v>0</v>
      </c>
    </row>
    <row r="258" spans="1:6">
      <c r="A258">
        <f>IF(COUNTBLANK(B258:F258)&lt;&gt;COLUMNS(B258:F258),257,"")</f>
        <v>0</v>
      </c>
      <c r="C258" s="1">
        <f>IF(B258="", "", "human-skin")</f>
        <v>0</v>
      </c>
      <c r="E258" s="1">
        <f>IF(B258="", "", "human skin metagenome")</f>
        <v>0</v>
      </c>
      <c r="F258" s="1">
        <f>IF(B258="", "", "539655")</f>
        <v>0</v>
      </c>
    </row>
    <row r="259" spans="1:6">
      <c r="A259">
        <f>IF(COUNTBLANK(B259:F259)&lt;&gt;COLUMNS(B259:F259),258,"")</f>
        <v>0</v>
      </c>
      <c r="C259" s="1">
        <f>IF(B259="", "", "human-skin")</f>
        <v>0</v>
      </c>
      <c r="E259" s="1">
        <f>IF(B259="", "", "human skin metagenome")</f>
        <v>0</v>
      </c>
      <c r="F259" s="1">
        <f>IF(B259="", "", "539655")</f>
        <v>0</v>
      </c>
    </row>
    <row r="260" spans="1:6">
      <c r="A260">
        <f>IF(COUNTBLANK(B260:F260)&lt;&gt;COLUMNS(B260:F260),259,"")</f>
        <v>0</v>
      </c>
      <c r="C260" s="1">
        <f>IF(B260="", "", "human-skin")</f>
        <v>0</v>
      </c>
      <c r="E260" s="1">
        <f>IF(B260="", "", "human skin metagenome")</f>
        <v>0</v>
      </c>
      <c r="F260" s="1">
        <f>IF(B260="", "", "539655")</f>
        <v>0</v>
      </c>
    </row>
    <row r="261" spans="1:6">
      <c r="A261">
        <f>IF(COUNTBLANK(B261:F261)&lt;&gt;COLUMNS(B261:F261),260,"")</f>
        <v>0</v>
      </c>
      <c r="C261" s="1">
        <f>IF(B261="", "", "human-skin")</f>
        <v>0</v>
      </c>
      <c r="E261" s="1">
        <f>IF(B261="", "", "human skin metagenome")</f>
        <v>0</v>
      </c>
      <c r="F261" s="1">
        <f>IF(B261="", "", "539655")</f>
        <v>0</v>
      </c>
    </row>
    <row r="262" spans="1:6">
      <c r="A262">
        <f>IF(COUNTBLANK(B262:F262)&lt;&gt;COLUMNS(B262:F262),261,"")</f>
        <v>0</v>
      </c>
      <c r="C262" s="1">
        <f>IF(B262="", "", "human-skin")</f>
        <v>0</v>
      </c>
      <c r="E262" s="1">
        <f>IF(B262="", "", "human skin metagenome")</f>
        <v>0</v>
      </c>
      <c r="F262" s="1">
        <f>IF(B262="", "", "539655")</f>
        <v>0</v>
      </c>
    </row>
    <row r="263" spans="1:6">
      <c r="A263">
        <f>IF(COUNTBLANK(B263:F263)&lt;&gt;COLUMNS(B263:F263),262,"")</f>
        <v>0</v>
      </c>
      <c r="C263" s="1">
        <f>IF(B263="", "", "human-skin")</f>
        <v>0</v>
      </c>
      <c r="E263" s="1">
        <f>IF(B263="", "", "human skin metagenome")</f>
        <v>0</v>
      </c>
      <c r="F263" s="1">
        <f>IF(B263="", "", "539655")</f>
        <v>0</v>
      </c>
    </row>
    <row r="264" spans="1:6">
      <c r="A264">
        <f>IF(COUNTBLANK(B264:F264)&lt;&gt;COLUMNS(B264:F264),263,"")</f>
        <v>0</v>
      </c>
      <c r="C264" s="1">
        <f>IF(B264="", "", "human-skin")</f>
        <v>0</v>
      </c>
      <c r="E264" s="1">
        <f>IF(B264="", "", "human skin metagenome")</f>
        <v>0</v>
      </c>
      <c r="F264" s="1">
        <f>IF(B264="", "", "539655")</f>
        <v>0</v>
      </c>
    </row>
    <row r="265" spans="1:6">
      <c r="A265">
        <f>IF(COUNTBLANK(B265:F265)&lt;&gt;COLUMNS(B265:F265),264,"")</f>
        <v>0</v>
      </c>
      <c r="C265" s="1">
        <f>IF(B265="", "", "human-skin")</f>
        <v>0</v>
      </c>
      <c r="E265" s="1">
        <f>IF(B265="", "", "human skin metagenome")</f>
        <v>0</v>
      </c>
      <c r="F265" s="1">
        <f>IF(B265="", "", "539655")</f>
        <v>0</v>
      </c>
    </row>
    <row r="266" spans="1:6">
      <c r="A266">
        <f>IF(COUNTBLANK(B266:F266)&lt;&gt;COLUMNS(B266:F266),265,"")</f>
        <v>0</v>
      </c>
      <c r="C266" s="1">
        <f>IF(B266="", "", "human-skin")</f>
        <v>0</v>
      </c>
      <c r="E266" s="1">
        <f>IF(B266="", "", "human skin metagenome")</f>
        <v>0</v>
      </c>
      <c r="F266" s="1">
        <f>IF(B266="", "", "539655")</f>
        <v>0</v>
      </c>
    </row>
    <row r="267" spans="1:6">
      <c r="A267">
        <f>IF(COUNTBLANK(B267:F267)&lt;&gt;COLUMNS(B267:F267),266,"")</f>
        <v>0</v>
      </c>
      <c r="C267" s="1">
        <f>IF(B267="", "", "human-skin")</f>
        <v>0</v>
      </c>
      <c r="E267" s="1">
        <f>IF(B267="", "", "human skin metagenome")</f>
        <v>0</v>
      </c>
      <c r="F267" s="1">
        <f>IF(B267="", "", "539655")</f>
        <v>0</v>
      </c>
    </row>
    <row r="268" spans="1:6">
      <c r="A268">
        <f>IF(COUNTBLANK(B268:F268)&lt;&gt;COLUMNS(B268:F268),267,"")</f>
        <v>0</v>
      </c>
      <c r="C268" s="1">
        <f>IF(B268="", "", "human-skin")</f>
        <v>0</v>
      </c>
      <c r="E268" s="1">
        <f>IF(B268="", "", "human skin metagenome")</f>
        <v>0</v>
      </c>
      <c r="F268" s="1">
        <f>IF(B268="", "", "539655")</f>
        <v>0</v>
      </c>
    </row>
    <row r="269" spans="1:6">
      <c r="A269">
        <f>IF(COUNTBLANK(B269:F269)&lt;&gt;COLUMNS(B269:F269),268,"")</f>
        <v>0</v>
      </c>
      <c r="C269" s="1">
        <f>IF(B269="", "", "human-skin")</f>
        <v>0</v>
      </c>
      <c r="E269" s="1">
        <f>IF(B269="", "", "human skin metagenome")</f>
        <v>0</v>
      </c>
      <c r="F269" s="1">
        <f>IF(B269="", "", "539655")</f>
        <v>0</v>
      </c>
    </row>
    <row r="270" spans="1:6">
      <c r="A270">
        <f>IF(COUNTBLANK(B270:F270)&lt;&gt;COLUMNS(B270:F270),269,"")</f>
        <v>0</v>
      </c>
      <c r="C270" s="1">
        <f>IF(B270="", "", "human-skin")</f>
        <v>0</v>
      </c>
      <c r="E270" s="1">
        <f>IF(B270="", "", "human skin metagenome")</f>
        <v>0</v>
      </c>
      <c r="F270" s="1">
        <f>IF(B270="", "", "539655")</f>
        <v>0</v>
      </c>
    </row>
    <row r="271" spans="1:6">
      <c r="A271">
        <f>IF(COUNTBLANK(B271:F271)&lt;&gt;COLUMNS(B271:F271),270,"")</f>
        <v>0</v>
      </c>
      <c r="C271" s="1">
        <f>IF(B271="", "", "human-skin")</f>
        <v>0</v>
      </c>
      <c r="E271" s="1">
        <f>IF(B271="", "", "human skin metagenome")</f>
        <v>0</v>
      </c>
      <c r="F271" s="1">
        <f>IF(B271="", "", "539655")</f>
        <v>0</v>
      </c>
    </row>
    <row r="272" spans="1:6">
      <c r="A272">
        <f>IF(COUNTBLANK(B272:F272)&lt;&gt;COLUMNS(B272:F272),271,"")</f>
        <v>0</v>
      </c>
      <c r="C272" s="1">
        <f>IF(B272="", "", "human-skin")</f>
        <v>0</v>
      </c>
      <c r="E272" s="1">
        <f>IF(B272="", "", "human skin metagenome")</f>
        <v>0</v>
      </c>
      <c r="F272" s="1">
        <f>IF(B272="", "", "539655")</f>
        <v>0</v>
      </c>
    </row>
    <row r="273" spans="1:6">
      <c r="A273">
        <f>IF(COUNTBLANK(B273:F273)&lt;&gt;COLUMNS(B273:F273),272,"")</f>
        <v>0</v>
      </c>
      <c r="C273" s="1">
        <f>IF(B273="", "", "human-skin")</f>
        <v>0</v>
      </c>
      <c r="E273" s="1">
        <f>IF(B273="", "", "human skin metagenome")</f>
        <v>0</v>
      </c>
      <c r="F273" s="1">
        <f>IF(B273="", "", "539655")</f>
        <v>0</v>
      </c>
    </row>
    <row r="274" spans="1:6">
      <c r="A274">
        <f>IF(COUNTBLANK(B274:F274)&lt;&gt;COLUMNS(B274:F274),273,"")</f>
        <v>0</v>
      </c>
      <c r="C274" s="1">
        <f>IF(B274="", "", "human-skin")</f>
        <v>0</v>
      </c>
      <c r="E274" s="1">
        <f>IF(B274="", "", "human skin metagenome")</f>
        <v>0</v>
      </c>
      <c r="F274" s="1">
        <f>IF(B274="", "", "539655")</f>
        <v>0</v>
      </c>
    </row>
    <row r="275" spans="1:6">
      <c r="A275">
        <f>IF(COUNTBLANK(B275:F275)&lt;&gt;COLUMNS(B275:F275),274,"")</f>
        <v>0</v>
      </c>
      <c r="C275" s="1">
        <f>IF(B275="", "", "human-skin")</f>
        <v>0</v>
      </c>
      <c r="E275" s="1">
        <f>IF(B275="", "", "human skin metagenome")</f>
        <v>0</v>
      </c>
      <c r="F275" s="1">
        <f>IF(B275="", "", "539655")</f>
        <v>0</v>
      </c>
    </row>
    <row r="276" spans="1:6">
      <c r="A276">
        <f>IF(COUNTBLANK(B276:F276)&lt;&gt;COLUMNS(B276:F276),275,"")</f>
        <v>0</v>
      </c>
      <c r="C276" s="1">
        <f>IF(B276="", "", "human-skin")</f>
        <v>0</v>
      </c>
      <c r="E276" s="1">
        <f>IF(B276="", "", "human skin metagenome")</f>
        <v>0</v>
      </c>
      <c r="F276" s="1">
        <f>IF(B276="", "", "539655")</f>
        <v>0</v>
      </c>
    </row>
    <row r="277" spans="1:6">
      <c r="A277">
        <f>IF(COUNTBLANK(B277:F277)&lt;&gt;COLUMNS(B277:F277),276,"")</f>
        <v>0</v>
      </c>
      <c r="C277" s="1">
        <f>IF(B277="", "", "human-skin")</f>
        <v>0</v>
      </c>
      <c r="E277" s="1">
        <f>IF(B277="", "", "human skin metagenome")</f>
        <v>0</v>
      </c>
      <c r="F277" s="1">
        <f>IF(B277="", "", "539655")</f>
        <v>0</v>
      </c>
    </row>
    <row r="278" spans="1:6">
      <c r="A278">
        <f>IF(COUNTBLANK(B278:F278)&lt;&gt;COLUMNS(B278:F278),277,"")</f>
        <v>0</v>
      </c>
      <c r="C278" s="1">
        <f>IF(B278="", "", "human-skin")</f>
        <v>0</v>
      </c>
      <c r="E278" s="1">
        <f>IF(B278="", "", "human skin metagenome")</f>
        <v>0</v>
      </c>
      <c r="F278" s="1">
        <f>IF(B278="", "", "539655")</f>
        <v>0</v>
      </c>
    </row>
    <row r="279" spans="1:6">
      <c r="A279">
        <f>IF(COUNTBLANK(B279:F279)&lt;&gt;COLUMNS(B279:F279),278,"")</f>
        <v>0</v>
      </c>
      <c r="C279" s="1">
        <f>IF(B279="", "", "human-skin")</f>
        <v>0</v>
      </c>
      <c r="E279" s="1">
        <f>IF(B279="", "", "human skin metagenome")</f>
        <v>0</v>
      </c>
      <c r="F279" s="1">
        <f>IF(B279="", "", "539655")</f>
        <v>0</v>
      </c>
    </row>
    <row r="280" spans="1:6">
      <c r="A280">
        <f>IF(COUNTBLANK(B280:F280)&lt;&gt;COLUMNS(B280:F280),279,"")</f>
        <v>0</v>
      </c>
      <c r="C280" s="1">
        <f>IF(B280="", "", "human-skin")</f>
        <v>0</v>
      </c>
      <c r="E280" s="1">
        <f>IF(B280="", "", "human skin metagenome")</f>
        <v>0</v>
      </c>
      <c r="F280" s="1">
        <f>IF(B280="", "", "539655")</f>
        <v>0</v>
      </c>
    </row>
    <row r="281" spans="1:6">
      <c r="A281">
        <f>IF(COUNTBLANK(B281:F281)&lt;&gt;COLUMNS(B281:F281),280,"")</f>
        <v>0</v>
      </c>
      <c r="C281" s="1">
        <f>IF(B281="", "", "human-skin")</f>
        <v>0</v>
      </c>
      <c r="E281" s="1">
        <f>IF(B281="", "", "human skin metagenome")</f>
        <v>0</v>
      </c>
      <c r="F281" s="1">
        <f>IF(B281="", "", "539655")</f>
        <v>0</v>
      </c>
    </row>
    <row r="282" spans="1:6">
      <c r="A282">
        <f>IF(COUNTBLANK(B282:F282)&lt;&gt;COLUMNS(B282:F282),281,"")</f>
        <v>0</v>
      </c>
      <c r="C282" s="1">
        <f>IF(B282="", "", "human-skin")</f>
        <v>0</v>
      </c>
      <c r="E282" s="1">
        <f>IF(B282="", "", "human skin metagenome")</f>
        <v>0</v>
      </c>
      <c r="F282" s="1">
        <f>IF(B282="", "", "539655")</f>
        <v>0</v>
      </c>
    </row>
    <row r="283" spans="1:6">
      <c r="A283">
        <f>IF(COUNTBLANK(B283:F283)&lt;&gt;COLUMNS(B283:F283),282,"")</f>
        <v>0</v>
      </c>
      <c r="C283" s="1">
        <f>IF(B283="", "", "human-skin")</f>
        <v>0</v>
      </c>
      <c r="E283" s="1">
        <f>IF(B283="", "", "human skin metagenome")</f>
        <v>0</v>
      </c>
      <c r="F283" s="1">
        <f>IF(B283="", "", "539655")</f>
        <v>0</v>
      </c>
    </row>
    <row r="284" spans="1:6">
      <c r="A284">
        <f>IF(COUNTBLANK(B284:F284)&lt;&gt;COLUMNS(B284:F284),283,"")</f>
        <v>0</v>
      </c>
      <c r="C284" s="1">
        <f>IF(B284="", "", "human-skin")</f>
        <v>0</v>
      </c>
      <c r="E284" s="1">
        <f>IF(B284="", "", "human skin metagenome")</f>
        <v>0</v>
      </c>
      <c r="F284" s="1">
        <f>IF(B284="", "", "539655")</f>
        <v>0</v>
      </c>
    </row>
    <row r="285" spans="1:6">
      <c r="A285">
        <f>IF(COUNTBLANK(B285:F285)&lt;&gt;COLUMNS(B285:F285),284,"")</f>
        <v>0</v>
      </c>
      <c r="C285" s="1">
        <f>IF(B285="", "", "human-skin")</f>
        <v>0</v>
      </c>
      <c r="E285" s="1">
        <f>IF(B285="", "", "human skin metagenome")</f>
        <v>0</v>
      </c>
      <c r="F285" s="1">
        <f>IF(B285="", "", "539655")</f>
        <v>0</v>
      </c>
    </row>
    <row r="286" spans="1:6">
      <c r="A286">
        <f>IF(COUNTBLANK(B286:F286)&lt;&gt;COLUMNS(B286:F286),285,"")</f>
        <v>0</v>
      </c>
      <c r="C286" s="1">
        <f>IF(B286="", "", "human-skin")</f>
        <v>0</v>
      </c>
      <c r="E286" s="1">
        <f>IF(B286="", "", "human skin metagenome")</f>
        <v>0</v>
      </c>
      <c r="F286" s="1">
        <f>IF(B286="", "", "539655")</f>
        <v>0</v>
      </c>
    </row>
    <row r="287" spans="1:6">
      <c r="A287">
        <f>IF(COUNTBLANK(B287:F287)&lt;&gt;COLUMNS(B287:F287),286,"")</f>
        <v>0</v>
      </c>
      <c r="C287" s="1">
        <f>IF(B287="", "", "human-skin")</f>
        <v>0</v>
      </c>
      <c r="E287" s="1">
        <f>IF(B287="", "", "human skin metagenome")</f>
        <v>0</v>
      </c>
      <c r="F287" s="1">
        <f>IF(B287="", "", "539655")</f>
        <v>0</v>
      </c>
    </row>
    <row r="288" spans="1:6">
      <c r="A288">
        <f>IF(COUNTBLANK(B288:F288)&lt;&gt;COLUMNS(B288:F288),287,"")</f>
        <v>0</v>
      </c>
      <c r="C288" s="1">
        <f>IF(B288="", "", "human-skin")</f>
        <v>0</v>
      </c>
      <c r="E288" s="1">
        <f>IF(B288="", "", "human skin metagenome")</f>
        <v>0</v>
      </c>
      <c r="F288" s="1">
        <f>IF(B288="", "", "539655")</f>
        <v>0</v>
      </c>
    </row>
    <row r="289" spans="1:6">
      <c r="A289">
        <f>IF(COUNTBLANK(B289:F289)&lt;&gt;COLUMNS(B289:F289),288,"")</f>
        <v>0</v>
      </c>
      <c r="C289" s="1">
        <f>IF(B289="", "", "human-skin")</f>
        <v>0</v>
      </c>
      <c r="E289" s="1">
        <f>IF(B289="", "", "human skin metagenome")</f>
        <v>0</v>
      </c>
      <c r="F289" s="1">
        <f>IF(B289="", "", "539655")</f>
        <v>0</v>
      </c>
    </row>
    <row r="290" spans="1:6">
      <c r="A290">
        <f>IF(COUNTBLANK(B290:F290)&lt;&gt;COLUMNS(B290:F290),289,"")</f>
        <v>0</v>
      </c>
      <c r="C290" s="1">
        <f>IF(B290="", "", "human-skin")</f>
        <v>0</v>
      </c>
      <c r="E290" s="1">
        <f>IF(B290="", "", "human skin metagenome")</f>
        <v>0</v>
      </c>
      <c r="F290" s="1">
        <f>IF(B290="", "", "539655")</f>
        <v>0</v>
      </c>
    </row>
    <row r="291" spans="1:6">
      <c r="A291">
        <f>IF(COUNTBLANK(B291:F291)&lt;&gt;COLUMNS(B291:F291),290,"")</f>
        <v>0</v>
      </c>
      <c r="C291" s="1">
        <f>IF(B291="", "", "human-skin")</f>
        <v>0</v>
      </c>
      <c r="E291" s="1">
        <f>IF(B291="", "", "human skin metagenome")</f>
        <v>0</v>
      </c>
      <c r="F291" s="1">
        <f>IF(B291="", "", "539655")</f>
        <v>0</v>
      </c>
    </row>
    <row r="292" spans="1:6">
      <c r="A292">
        <f>IF(COUNTBLANK(B292:F292)&lt;&gt;COLUMNS(B292:F292),291,"")</f>
        <v>0</v>
      </c>
      <c r="C292" s="1">
        <f>IF(B292="", "", "human-skin")</f>
        <v>0</v>
      </c>
      <c r="E292" s="1">
        <f>IF(B292="", "", "human skin metagenome")</f>
        <v>0</v>
      </c>
      <c r="F292" s="1">
        <f>IF(B292="", "", "539655")</f>
        <v>0</v>
      </c>
    </row>
    <row r="293" spans="1:6">
      <c r="A293">
        <f>IF(COUNTBLANK(B293:F293)&lt;&gt;COLUMNS(B293:F293),292,"")</f>
        <v>0</v>
      </c>
      <c r="C293" s="1">
        <f>IF(B293="", "", "human-skin")</f>
        <v>0</v>
      </c>
      <c r="E293" s="1">
        <f>IF(B293="", "", "human skin metagenome")</f>
        <v>0</v>
      </c>
      <c r="F293" s="1">
        <f>IF(B293="", "", "539655")</f>
        <v>0</v>
      </c>
    </row>
    <row r="294" spans="1:6">
      <c r="A294">
        <f>IF(COUNTBLANK(B294:F294)&lt;&gt;COLUMNS(B294:F294),293,"")</f>
        <v>0</v>
      </c>
      <c r="C294" s="1">
        <f>IF(B294="", "", "human-skin")</f>
        <v>0</v>
      </c>
      <c r="E294" s="1">
        <f>IF(B294="", "", "human skin metagenome")</f>
        <v>0</v>
      </c>
      <c r="F294" s="1">
        <f>IF(B294="", "", "539655")</f>
        <v>0</v>
      </c>
    </row>
    <row r="295" spans="1:6">
      <c r="A295">
        <f>IF(COUNTBLANK(B295:F295)&lt;&gt;COLUMNS(B295:F295),294,"")</f>
        <v>0</v>
      </c>
      <c r="C295" s="1">
        <f>IF(B295="", "", "human-skin")</f>
        <v>0</v>
      </c>
      <c r="E295" s="1">
        <f>IF(B295="", "", "human skin metagenome")</f>
        <v>0</v>
      </c>
      <c r="F295" s="1">
        <f>IF(B295="", "", "539655")</f>
        <v>0</v>
      </c>
    </row>
    <row r="296" spans="1:6">
      <c r="A296">
        <f>IF(COUNTBLANK(B296:F296)&lt;&gt;COLUMNS(B296:F296),295,"")</f>
        <v>0</v>
      </c>
      <c r="C296" s="1">
        <f>IF(B296="", "", "human-skin")</f>
        <v>0</v>
      </c>
      <c r="E296" s="1">
        <f>IF(B296="", "", "human skin metagenome")</f>
        <v>0</v>
      </c>
      <c r="F296" s="1">
        <f>IF(B296="", "", "539655")</f>
        <v>0</v>
      </c>
    </row>
    <row r="297" spans="1:6">
      <c r="A297">
        <f>IF(COUNTBLANK(B297:F297)&lt;&gt;COLUMNS(B297:F297),296,"")</f>
        <v>0</v>
      </c>
      <c r="C297" s="1">
        <f>IF(B297="", "", "human-skin")</f>
        <v>0</v>
      </c>
      <c r="E297" s="1">
        <f>IF(B297="", "", "human skin metagenome")</f>
        <v>0</v>
      </c>
      <c r="F297" s="1">
        <f>IF(B297="", "", "539655")</f>
        <v>0</v>
      </c>
    </row>
    <row r="298" spans="1:6">
      <c r="A298">
        <f>IF(COUNTBLANK(B298:F298)&lt;&gt;COLUMNS(B298:F298),297,"")</f>
        <v>0</v>
      </c>
      <c r="C298" s="1">
        <f>IF(B298="", "", "human-skin")</f>
        <v>0</v>
      </c>
      <c r="E298" s="1">
        <f>IF(B298="", "", "human skin metagenome")</f>
        <v>0</v>
      </c>
      <c r="F298" s="1">
        <f>IF(B298="", "", "539655")</f>
        <v>0</v>
      </c>
    </row>
    <row r="299" spans="1:6">
      <c r="A299">
        <f>IF(COUNTBLANK(B299:F299)&lt;&gt;COLUMNS(B299:F299),298,"")</f>
        <v>0</v>
      </c>
      <c r="C299" s="1">
        <f>IF(B299="", "", "human-skin")</f>
        <v>0</v>
      </c>
      <c r="E299" s="1">
        <f>IF(B299="", "", "human skin metagenome")</f>
        <v>0</v>
      </c>
      <c r="F299" s="1">
        <f>IF(B299="", "", "539655")</f>
        <v>0</v>
      </c>
    </row>
    <row r="300" spans="1:6">
      <c r="A300">
        <f>IF(COUNTBLANK(B300:F300)&lt;&gt;COLUMNS(B300:F300),299,"")</f>
        <v>0</v>
      </c>
      <c r="C300" s="1">
        <f>IF(B300="", "", "human-skin")</f>
        <v>0</v>
      </c>
      <c r="E300" s="1">
        <f>IF(B300="", "", "human skin metagenome")</f>
        <v>0</v>
      </c>
      <c r="F300" s="1">
        <f>IF(B300="", "", "539655")</f>
        <v>0</v>
      </c>
    </row>
    <row r="301" spans="1:6">
      <c r="A301">
        <f>IF(COUNTBLANK(B301:F301)&lt;&gt;COLUMNS(B301:F301),300,"")</f>
        <v>0</v>
      </c>
      <c r="C301" s="1">
        <f>IF(B301="", "", "human-skin")</f>
        <v>0</v>
      </c>
      <c r="E301" s="1">
        <f>IF(B301="", "", "human skin metagenome")</f>
        <v>0</v>
      </c>
      <c r="F301" s="1">
        <f>IF(B301="", "", "539655")</f>
        <v>0</v>
      </c>
    </row>
    <row r="302" spans="1:6">
      <c r="A302">
        <f>IF(COUNTBLANK(B302:F302)&lt;&gt;COLUMNS(B302:F302),301,"")</f>
        <v>0</v>
      </c>
      <c r="C302" s="1">
        <f>IF(B302="", "", "human-skin")</f>
        <v>0</v>
      </c>
      <c r="E302" s="1">
        <f>IF(B302="", "", "human skin metagenome")</f>
        <v>0</v>
      </c>
      <c r="F302" s="1">
        <f>IF(B302="", "", "539655")</f>
        <v>0</v>
      </c>
    </row>
    <row r="303" spans="1:6">
      <c r="A303">
        <f>IF(COUNTBLANK(B303:F303)&lt;&gt;COLUMNS(B303:F303),302,"")</f>
        <v>0</v>
      </c>
      <c r="C303" s="1">
        <f>IF(B303="", "", "human-skin")</f>
        <v>0</v>
      </c>
      <c r="E303" s="1">
        <f>IF(B303="", "", "human skin metagenome")</f>
        <v>0</v>
      </c>
      <c r="F303" s="1">
        <f>IF(B303="", "", "539655")</f>
        <v>0</v>
      </c>
    </row>
    <row r="304" spans="1:6">
      <c r="A304">
        <f>IF(COUNTBLANK(B304:F304)&lt;&gt;COLUMNS(B304:F304),303,"")</f>
        <v>0</v>
      </c>
      <c r="C304" s="1">
        <f>IF(B304="", "", "human-skin")</f>
        <v>0</v>
      </c>
      <c r="E304" s="1">
        <f>IF(B304="", "", "human skin metagenome")</f>
        <v>0</v>
      </c>
      <c r="F304" s="1">
        <f>IF(B304="", "", "539655")</f>
        <v>0</v>
      </c>
    </row>
    <row r="305" spans="1:6">
      <c r="A305">
        <f>IF(COUNTBLANK(B305:F305)&lt;&gt;COLUMNS(B305:F305),304,"")</f>
        <v>0</v>
      </c>
      <c r="C305" s="1">
        <f>IF(B305="", "", "human-skin")</f>
        <v>0</v>
      </c>
      <c r="E305" s="1">
        <f>IF(B305="", "", "human skin metagenome")</f>
        <v>0</v>
      </c>
      <c r="F305" s="1">
        <f>IF(B305="", "", "539655")</f>
        <v>0</v>
      </c>
    </row>
    <row r="306" spans="1:6">
      <c r="A306">
        <f>IF(COUNTBLANK(B306:F306)&lt;&gt;COLUMNS(B306:F306),305,"")</f>
        <v>0</v>
      </c>
      <c r="C306" s="1">
        <f>IF(B306="", "", "human-skin")</f>
        <v>0</v>
      </c>
      <c r="E306" s="1">
        <f>IF(B306="", "", "human skin metagenome")</f>
        <v>0</v>
      </c>
      <c r="F306" s="1">
        <f>IF(B306="", "", "539655")</f>
        <v>0</v>
      </c>
    </row>
    <row r="307" spans="1:6">
      <c r="A307">
        <f>IF(COUNTBLANK(B307:F307)&lt;&gt;COLUMNS(B307:F307),306,"")</f>
        <v>0</v>
      </c>
      <c r="C307" s="1">
        <f>IF(B307="", "", "human-skin")</f>
        <v>0</v>
      </c>
      <c r="E307" s="1">
        <f>IF(B307="", "", "human skin metagenome")</f>
        <v>0</v>
      </c>
      <c r="F307" s="1">
        <f>IF(B307="", "", "539655")</f>
        <v>0</v>
      </c>
    </row>
    <row r="308" spans="1:6">
      <c r="A308">
        <f>IF(COUNTBLANK(B308:F308)&lt;&gt;COLUMNS(B308:F308),307,"")</f>
        <v>0</v>
      </c>
      <c r="C308" s="1">
        <f>IF(B308="", "", "human-skin")</f>
        <v>0</v>
      </c>
      <c r="E308" s="1">
        <f>IF(B308="", "", "human skin metagenome")</f>
        <v>0</v>
      </c>
      <c r="F308" s="1">
        <f>IF(B308="", "", "539655")</f>
        <v>0</v>
      </c>
    </row>
    <row r="309" spans="1:6">
      <c r="A309">
        <f>IF(COUNTBLANK(B309:F309)&lt;&gt;COLUMNS(B309:F309),308,"")</f>
        <v>0</v>
      </c>
      <c r="C309" s="1">
        <f>IF(B309="", "", "human-skin")</f>
        <v>0</v>
      </c>
      <c r="E309" s="1">
        <f>IF(B309="", "", "human skin metagenome")</f>
        <v>0</v>
      </c>
      <c r="F309" s="1">
        <f>IF(B309="", "", "539655")</f>
        <v>0</v>
      </c>
    </row>
    <row r="310" spans="1:6">
      <c r="A310">
        <f>IF(COUNTBLANK(B310:F310)&lt;&gt;COLUMNS(B310:F310),309,"")</f>
        <v>0</v>
      </c>
      <c r="C310" s="1">
        <f>IF(B310="", "", "human-skin")</f>
        <v>0</v>
      </c>
      <c r="E310" s="1">
        <f>IF(B310="", "", "human skin metagenome")</f>
        <v>0</v>
      </c>
      <c r="F310" s="1">
        <f>IF(B310="", "", "539655")</f>
        <v>0</v>
      </c>
    </row>
    <row r="311" spans="1:6">
      <c r="A311">
        <f>IF(COUNTBLANK(B311:F311)&lt;&gt;COLUMNS(B311:F311),310,"")</f>
        <v>0</v>
      </c>
      <c r="C311" s="1">
        <f>IF(B311="", "", "human-skin")</f>
        <v>0</v>
      </c>
      <c r="E311" s="1">
        <f>IF(B311="", "", "human skin metagenome")</f>
        <v>0</v>
      </c>
      <c r="F311" s="1">
        <f>IF(B311="", "", "539655")</f>
        <v>0</v>
      </c>
    </row>
    <row r="312" spans="1:6">
      <c r="A312">
        <f>IF(COUNTBLANK(B312:F312)&lt;&gt;COLUMNS(B312:F312),311,"")</f>
        <v>0</v>
      </c>
      <c r="C312" s="1">
        <f>IF(B312="", "", "human-skin")</f>
        <v>0</v>
      </c>
      <c r="E312" s="1">
        <f>IF(B312="", "", "human skin metagenome")</f>
        <v>0</v>
      </c>
      <c r="F312" s="1">
        <f>IF(B312="", "", "539655")</f>
        <v>0</v>
      </c>
    </row>
    <row r="313" spans="1:6">
      <c r="A313">
        <f>IF(COUNTBLANK(B313:F313)&lt;&gt;COLUMNS(B313:F313),312,"")</f>
        <v>0</v>
      </c>
      <c r="C313" s="1">
        <f>IF(B313="", "", "human-skin")</f>
        <v>0</v>
      </c>
      <c r="E313" s="1">
        <f>IF(B313="", "", "human skin metagenome")</f>
        <v>0</v>
      </c>
      <c r="F313" s="1">
        <f>IF(B313="", "", "539655")</f>
        <v>0</v>
      </c>
    </row>
    <row r="314" spans="1:6">
      <c r="A314">
        <f>IF(COUNTBLANK(B314:F314)&lt;&gt;COLUMNS(B314:F314),313,"")</f>
        <v>0</v>
      </c>
      <c r="C314" s="1">
        <f>IF(B314="", "", "human-skin")</f>
        <v>0</v>
      </c>
      <c r="E314" s="1">
        <f>IF(B314="", "", "human skin metagenome")</f>
        <v>0</v>
      </c>
      <c r="F314" s="1">
        <f>IF(B314="", "", "539655")</f>
        <v>0</v>
      </c>
    </row>
    <row r="315" spans="1:6">
      <c r="A315">
        <f>IF(COUNTBLANK(B315:F315)&lt;&gt;COLUMNS(B315:F315),314,"")</f>
        <v>0</v>
      </c>
      <c r="C315" s="1">
        <f>IF(B315="", "", "human-skin")</f>
        <v>0</v>
      </c>
      <c r="E315" s="1">
        <f>IF(B315="", "", "human skin metagenome")</f>
        <v>0</v>
      </c>
      <c r="F315" s="1">
        <f>IF(B315="", "", "539655")</f>
        <v>0</v>
      </c>
    </row>
    <row r="316" spans="1:6">
      <c r="A316">
        <f>IF(COUNTBLANK(B316:F316)&lt;&gt;COLUMNS(B316:F316),315,"")</f>
        <v>0</v>
      </c>
      <c r="C316" s="1">
        <f>IF(B316="", "", "human-skin")</f>
        <v>0</v>
      </c>
      <c r="E316" s="1">
        <f>IF(B316="", "", "human skin metagenome")</f>
        <v>0</v>
      </c>
      <c r="F316" s="1">
        <f>IF(B316="", "", "539655")</f>
        <v>0</v>
      </c>
    </row>
    <row r="317" spans="1:6">
      <c r="A317">
        <f>IF(COUNTBLANK(B317:F317)&lt;&gt;COLUMNS(B317:F317),316,"")</f>
        <v>0</v>
      </c>
      <c r="C317" s="1">
        <f>IF(B317="", "", "human-skin")</f>
        <v>0</v>
      </c>
      <c r="E317" s="1">
        <f>IF(B317="", "", "human skin metagenome")</f>
        <v>0</v>
      </c>
      <c r="F317" s="1">
        <f>IF(B317="", "", "539655")</f>
        <v>0</v>
      </c>
    </row>
    <row r="318" spans="1:6">
      <c r="A318">
        <f>IF(COUNTBLANK(B318:F318)&lt;&gt;COLUMNS(B318:F318),317,"")</f>
        <v>0</v>
      </c>
      <c r="C318" s="1">
        <f>IF(B318="", "", "human-skin")</f>
        <v>0</v>
      </c>
      <c r="E318" s="1">
        <f>IF(B318="", "", "human skin metagenome")</f>
        <v>0</v>
      </c>
      <c r="F318" s="1">
        <f>IF(B318="", "", "539655")</f>
        <v>0</v>
      </c>
    </row>
    <row r="319" spans="1:6">
      <c r="A319">
        <f>IF(COUNTBLANK(B319:F319)&lt;&gt;COLUMNS(B319:F319),318,"")</f>
        <v>0</v>
      </c>
      <c r="C319" s="1">
        <f>IF(B319="", "", "human-skin")</f>
        <v>0</v>
      </c>
      <c r="E319" s="1">
        <f>IF(B319="", "", "human skin metagenome")</f>
        <v>0</v>
      </c>
      <c r="F319" s="1">
        <f>IF(B319="", "", "539655")</f>
        <v>0</v>
      </c>
    </row>
    <row r="320" spans="1:6">
      <c r="A320">
        <f>IF(COUNTBLANK(B320:F320)&lt;&gt;COLUMNS(B320:F320),319,"")</f>
        <v>0</v>
      </c>
      <c r="C320" s="1">
        <f>IF(B320="", "", "human-skin")</f>
        <v>0</v>
      </c>
      <c r="E320" s="1">
        <f>IF(B320="", "", "human skin metagenome")</f>
        <v>0</v>
      </c>
      <c r="F320" s="1">
        <f>IF(B320="", "", "539655")</f>
        <v>0</v>
      </c>
    </row>
    <row r="321" spans="1:6">
      <c r="A321">
        <f>IF(COUNTBLANK(B321:F321)&lt;&gt;COLUMNS(B321:F321),320,"")</f>
        <v>0</v>
      </c>
      <c r="C321" s="1">
        <f>IF(B321="", "", "human-skin")</f>
        <v>0</v>
      </c>
      <c r="E321" s="1">
        <f>IF(B321="", "", "human skin metagenome")</f>
        <v>0</v>
      </c>
      <c r="F321" s="1">
        <f>IF(B321="", "", "539655")</f>
        <v>0</v>
      </c>
    </row>
    <row r="322" spans="1:6">
      <c r="A322">
        <f>IF(COUNTBLANK(B322:F322)&lt;&gt;COLUMNS(B322:F322),321,"")</f>
        <v>0</v>
      </c>
      <c r="C322" s="1">
        <f>IF(B322="", "", "human-skin")</f>
        <v>0</v>
      </c>
      <c r="E322" s="1">
        <f>IF(B322="", "", "human skin metagenome")</f>
        <v>0</v>
      </c>
      <c r="F322" s="1">
        <f>IF(B322="", "", "539655")</f>
        <v>0</v>
      </c>
    </row>
    <row r="323" spans="1:6">
      <c r="A323">
        <f>IF(COUNTBLANK(B323:F323)&lt;&gt;COLUMNS(B323:F323),322,"")</f>
        <v>0</v>
      </c>
      <c r="C323" s="1">
        <f>IF(B323="", "", "human-skin")</f>
        <v>0</v>
      </c>
      <c r="E323" s="1">
        <f>IF(B323="", "", "human skin metagenome")</f>
        <v>0</v>
      </c>
      <c r="F323" s="1">
        <f>IF(B323="", "", "539655")</f>
        <v>0</v>
      </c>
    </row>
    <row r="324" spans="1:6">
      <c r="A324">
        <f>IF(COUNTBLANK(B324:F324)&lt;&gt;COLUMNS(B324:F324),323,"")</f>
        <v>0</v>
      </c>
      <c r="C324" s="1">
        <f>IF(B324="", "", "human-skin")</f>
        <v>0</v>
      </c>
      <c r="E324" s="1">
        <f>IF(B324="", "", "human skin metagenome")</f>
        <v>0</v>
      </c>
      <c r="F324" s="1">
        <f>IF(B324="", "", "539655")</f>
        <v>0</v>
      </c>
    </row>
    <row r="325" spans="1:6">
      <c r="A325">
        <f>IF(COUNTBLANK(B325:F325)&lt;&gt;COLUMNS(B325:F325),324,"")</f>
        <v>0</v>
      </c>
      <c r="C325" s="1">
        <f>IF(B325="", "", "human-skin")</f>
        <v>0</v>
      </c>
      <c r="E325" s="1">
        <f>IF(B325="", "", "human skin metagenome")</f>
        <v>0</v>
      </c>
      <c r="F325" s="1">
        <f>IF(B325="", "", "539655")</f>
        <v>0</v>
      </c>
    </row>
    <row r="326" spans="1:6">
      <c r="A326">
        <f>IF(COUNTBLANK(B326:F326)&lt;&gt;COLUMNS(B326:F326),325,"")</f>
        <v>0</v>
      </c>
      <c r="C326" s="1">
        <f>IF(B326="", "", "human-skin")</f>
        <v>0</v>
      </c>
      <c r="E326" s="1">
        <f>IF(B326="", "", "human skin metagenome")</f>
        <v>0</v>
      </c>
      <c r="F326" s="1">
        <f>IF(B326="", "", "539655")</f>
        <v>0</v>
      </c>
    </row>
    <row r="327" spans="1:6">
      <c r="A327">
        <f>IF(COUNTBLANK(B327:F327)&lt;&gt;COLUMNS(B327:F327),326,"")</f>
        <v>0</v>
      </c>
      <c r="C327" s="1">
        <f>IF(B327="", "", "human-skin")</f>
        <v>0</v>
      </c>
      <c r="E327" s="1">
        <f>IF(B327="", "", "human skin metagenome")</f>
        <v>0</v>
      </c>
      <c r="F327" s="1">
        <f>IF(B327="", "", "539655")</f>
        <v>0</v>
      </c>
    </row>
    <row r="328" spans="1:6">
      <c r="A328">
        <f>IF(COUNTBLANK(B328:F328)&lt;&gt;COLUMNS(B328:F328),327,"")</f>
        <v>0</v>
      </c>
      <c r="C328" s="1">
        <f>IF(B328="", "", "human-skin")</f>
        <v>0</v>
      </c>
      <c r="E328" s="1">
        <f>IF(B328="", "", "human skin metagenome")</f>
        <v>0</v>
      </c>
      <c r="F328" s="1">
        <f>IF(B328="", "", "539655")</f>
        <v>0</v>
      </c>
    </row>
    <row r="329" spans="1:6">
      <c r="A329">
        <f>IF(COUNTBLANK(B329:F329)&lt;&gt;COLUMNS(B329:F329),328,"")</f>
        <v>0</v>
      </c>
      <c r="C329" s="1">
        <f>IF(B329="", "", "human-skin")</f>
        <v>0</v>
      </c>
      <c r="E329" s="1">
        <f>IF(B329="", "", "human skin metagenome")</f>
        <v>0</v>
      </c>
      <c r="F329" s="1">
        <f>IF(B329="", "", "539655")</f>
        <v>0</v>
      </c>
    </row>
    <row r="330" spans="1:6">
      <c r="A330">
        <f>IF(COUNTBLANK(B330:F330)&lt;&gt;COLUMNS(B330:F330),329,"")</f>
        <v>0</v>
      </c>
      <c r="C330" s="1">
        <f>IF(B330="", "", "human-skin")</f>
        <v>0</v>
      </c>
      <c r="E330" s="1">
        <f>IF(B330="", "", "human skin metagenome")</f>
        <v>0</v>
      </c>
      <c r="F330" s="1">
        <f>IF(B330="", "", "539655")</f>
        <v>0</v>
      </c>
    </row>
    <row r="331" spans="1:6">
      <c r="A331">
        <f>IF(COUNTBLANK(B331:F331)&lt;&gt;COLUMNS(B331:F331),330,"")</f>
        <v>0</v>
      </c>
      <c r="C331" s="1">
        <f>IF(B331="", "", "human-skin")</f>
        <v>0</v>
      </c>
      <c r="E331" s="1">
        <f>IF(B331="", "", "human skin metagenome")</f>
        <v>0</v>
      </c>
      <c r="F331" s="1">
        <f>IF(B331="", "", "539655")</f>
        <v>0</v>
      </c>
    </row>
    <row r="332" spans="1:6">
      <c r="A332">
        <f>IF(COUNTBLANK(B332:F332)&lt;&gt;COLUMNS(B332:F332),331,"")</f>
        <v>0</v>
      </c>
      <c r="C332" s="1">
        <f>IF(B332="", "", "human-skin")</f>
        <v>0</v>
      </c>
      <c r="E332" s="1">
        <f>IF(B332="", "", "human skin metagenome")</f>
        <v>0</v>
      </c>
      <c r="F332" s="1">
        <f>IF(B332="", "", "539655")</f>
        <v>0</v>
      </c>
    </row>
    <row r="333" spans="1:6">
      <c r="A333">
        <f>IF(COUNTBLANK(B333:F333)&lt;&gt;COLUMNS(B333:F333),332,"")</f>
        <v>0</v>
      </c>
      <c r="C333" s="1">
        <f>IF(B333="", "", "human-skin")</f>
        <v>0</v>
      </c>
      <c r="E333" s="1">
        <f>IF(B333="", "", "human skin metagenome")</f>
        <v>0</v>
      </c>
      <c r="F333" s="1">
        <f>IF(B333="", "", "539655")</f>
        <v>0</v>
      </c>
    </row>
    <row r="334" spans="1:6">
      <c r="A334">
        <f>IF(COUNTBLANK(B334:F334)&lt;&gt;COLUMNS(B334:F334),333,"")</f>
        <v>0</v>
      </c>
      <c r="C334" s="1">
        <f>IF(B334="", "", "human-skin")</f>
        <v>0</v>
      </c>
      <c r="E334" s="1">
        <f>IF(B334="", "", "human skin metagenome")</f>
        <v>0</v>
      </c>
      <c r="F334" s="1">
        <f>IF(B334="", "", "539655")</f>
        <v>0</v>
      </c>
    </row>
    <row r="335" spans="1:6">
      <c r="A335">
        <f>IF(COUNTBLANK(B335:F335)&lt;&gt;COLUMNS(B335:F335),334,"")</f>
        <v>0</v>
      </c>
      <c r="C335" s="1">
        <f>IF(B335="", "", "human-skin")</f>
        <v>0</v>
      </c>
      <c r="E335" s="1">
        <f>IF(B335="", "", "human skin metagenome")</f>
        <v>0</v>
      </c>
      <c r="F335" s="1">
        <f>IF(B335="", "", "539655")</f>
        <v>0</v>
      </c>
    </row>
    <row r="336" spans="1:6">
      <c r="A336">
        <f>IF(COUNTBLANK(B336:F336)&lt;&gt;COLUMNS(B336:F336),335,"")</f>
        <v>0</v>
      </c>
      <c r="C336" s="1">
        <f>IF(B336="", "", "human-skin")</f>
        <v>0</v>
      </c>
      <c r="E336" s="1">
        <f>IF(B336="", "", "human skin metagenome")</f>
        <v>0</v>
      </c>
      <c r="F336" s="1">
        <f>IF(B336="", "", "539655")</f>
        <v>0</v>
      </c>
    </row>
    <row r="337" spans="1:6">
      <c r="A337">
        <f>IF(COUNTBLANK(B337:F337)&lt;&gt;COLUMNS(B337:F337),336,"")</f>
        <v>0</v>
      </c>
      <c r="C337" s="1">
        <f>IF(B337="", "", "human-skin")</f>
        <v>0</v>
      </c>
      <c r="E337" s="1">
        <f>IF(B337="", "", "human skin metagenome")</f>
        <v>0</v>
      </c>
      <c r="F337" s="1">
        <f>IF(B337="", "", "539655")</f>
        <v>0</v>
      </c>
    </row>
    <row r="338" spans="1:6">
      <c r="A338">
        <f>IF(COUNTBLANK(B338:F338)&lt;&gt;COLUMNS(B338:F338),337,"")</f>
        <v>0</v>
      </c>
      <c r="C338" s="1">
        <f>IF(B338="", "", "human-skin")</f>
        <v>0</v>
      </c>
      <c r="E338" s="1">
        <f>IF(B338="", "", "human skin metagenome")</f>
        <v>0</v>
      </c>
      <c r="F338" s="1">
        <f>IF(B338="", "", "539655")</f>
        <v>0</v>
      </c>
    </row>
    <row r="339" spans="1:6">
      <c r="A339">
        <f>IF(COUNTBLANK(B339:F339)&lt;&gt;COLUMNS(B339:F339),338,"")</f>
        <v>0</v>
      </c>
      <c r="C339" s="1">
        <f>IF(B339="", "", "human-skin")</f>
        <v>0</v>
      </c>
      <c r="E339" s="1">
        <f>IF(B339="", "", "human skin metagenome")</f>
        <v>0</v>
      </c>
      <c r="F339" s="1">
        <f>IF(B339="", "", "539655")</f>
        <v>0</v>
      </c>
    </row>
    <row r="340" spans="1:6">
      <c r="A340">
        <f>IF(COUNTBLANK(B340:F340)&lt;&gt;COLUMNS(B340:F340),339,"")</f>
        <v>0</v>
      </c>
      <c r="C340" s="1">
        <f>IF(B340="", "", "human-skin")</f>
        <v>0</v>
      </c>
      <c r="E340" s="1">
        <f>IF(B340="", "", "human skin metagenome")</f>
        <v>0</v>
      </c>
      <c r="F340" s="1">
        <f>IF(B340="", "", "539655")</f>
        <v>0</v>
      </c>
    </row>
    <row r="341" spans="1:6">
      <c r="A341">
        <f>IF(COUNTBLANK(B341:F341)&lt;&gt;COLUMNS(B341:F341),340,"")</f>
        <v>0</v>
      </c>
      <c r="C341" s="1">
        <f>IF(B341="", "", "human-skin")</f>
        <v>0</v>
      </c>
      <c r="E341" s="1">
        <f>IF(B341="", "", "human skin metagenome")</f>
        <v>0</v>
      </c>
      <c r="F341" s="1">
        <f>IF(B341="", "", "539655")</f>
        <v>0</v>
      </c>
    </row>
    <row r="342" spans="1:6">
      <c r="A342">
        <f>IF(COUNTBLANK(B342:F342)&lt;&gt;COLUMNS(B342:F342),341,"")</f>
        <v>0</v>
      </c>
      <c r="C342" s="1">
        <f>IF(B342="", "", "human-skin")</f>
        <v>0</v>
      </c>
      <c r="E342" s="1">
        <f>IF(B342="", "", "human skin metagenome")</f>
        <v>0</v>
      </c>
      <c r="F342" s="1">
        <f>IF(B342="", "", "539655")</f>
        <v>0</v>
      </c>
    </row>
    <row r="343" spans="1:6">
      <c r="A343">
        <f>IF(COUNTBLANK(B343:F343)&lt;&gt;COLUMNS(B343:F343),342,"")</f>
        <v>0</v>
      </c>
      <c r="C343" s="1">
        <f>IF(B343="", "", "human-skin")</f>
        <v>0</v>
      </c>
      <c r="E343" s="1">
        <f>IF(B343="", "", "human skin metagenome")</f>
        <v>0</v>
      </c>
      <c r="F343" s="1">
        <f>IF(B343="", "", "539655")</f>
        <v>0</v>
      </c>
    </row>
    <row r="344" spans="1:6">
      <c r="A344">
        <f>IF(COUNTBLANK(B344:F344)&lt;&gt;COLUMNS(B344:F344),343,"")</f>
        <v>0</v>
      </c>
      <c r="C344" s="1">
        <f>IF(B344="", "", "human-skin")</f>
        <v>0</v>
      </c>
      <c r="E344" s="1">
        <f>IF(B344="", "", "human skin metagenome")</f>
        <v>0</v>
      </c>
      <c r="F344" s="1">
        <f>IF(B344="", "", "539655")</f>
        <v>0</v>
      </c>
    </row>
    <row r="345" spans="1:6">
      <c r="A345">
        <f>IF(COUNTBLANK(B345:F345)&lt;&gt;COLUMNS(B345:F345),344,"")</f>
        <v>0</v>
      </c>
      <c r="C345" s="1">
        <f>IF(B345="", "", "human-skin")</f>
        <v>0</v>
      </c>
      <c r="E345" s="1">
        <f>IF(B345="", "", "human skin metagenome")</f>
        <v>0</v>
      </c>
      <c r="F345" s="1">
        <f>IF(B345="", "", "539655")</f>
        <v>0</v>
      </c>
    </row>
    <row r="346" spans="1:6">
      <c r="A346">
        <f>IF(COUNTBLANK(B346:F346)&lt;&gt;COLUMNS(B346:F346),345,"")</f>
        <v>0</v>
      </c>
      <c r="C346" s="1">
        <f>IF(B346="", "", "human-skin")</f>
        <v>0</v>
      </c>
      <c r="E346" s="1">
        <f>IF(B346="", "", "human skin metagenome")</f>
        <v>0</v>
      </c>
      <c r="F346" s="1">
        <f>IF(B346="", "", "539655")</f>
        <v>0</v>
      </c>
    </row>
    <row r="347" spans="1:6">
      <c r="A347">
        <f>IF(COUNTBLANK(B347:F347)&lt;&gt;COLUMNS(B347:F347),346,"")</f>
        <v>0</v>
      </c>
      <c r="C347" s="1">
        <f>IF(B347="", "", "human-skin")</f>
        <v>0</v>
      </c>
      <c r="E347" s="1">
        <f>IF(B347="", "", "human skin metagenome")</f>
        <v>0</v>
      </c>
      <c r="F347" s="1">
        <f>IF(B347="", "", "539655")</f>
        <v>0</v>
      </c>
    </row>
    <row r="348" spans="1:6">
      <c r="A348">
        <f>IF(COUNTBLANK(B348:F348)&lt;&gt;COLUMNS(B348:F348),347,"")</f>
        <v>0</v>
      </c>
      <c r="C348" s="1">
        <f>IF(B348="", "", "human-skin")</f>
        <v>0</v>
      </c>
      <c r="E348" s="1">
        <f>IF(B348="", "", "human skin metagenome")</f>
        <v>0</v>
      </c>
      <c r="F348" s="1">
        <f>IF(B348="", "", "539655")</f>
        <v>0</v>
      </c>
    </row>
    <row r="349" spans="1:6">
      <c r="A349">
        <f>IF(COUNTBLANK(B349:F349)&lt;&gt;COLUMNS(B349:F349),348,"")</f>
        <v>0</v>
      </c>
      <c r="C349" s="1">
        <f>IF(B349="", "", "human-skin")</f>
        <v>0</v>
      </c>
      <c r="E349" s="1">
        <f>IF(B349="", "", "human skin metagenome")</f>
        <v>0</v>
      </c>
      <c r="F349" s="1">
        <f>IF(B349="", "", "539655")</f>
        <v>0</v>
      </c>
    </row>
    <row r="350" spans="1:6">
      <c r="A350">
        <f>IF(COUNTBLANK(B350:F350)&lt;&gt;COLUMNS(B350:F350),349,"")</f>
        <v>0</v>
      </c>
      <c r="C350" s="1">
        <f>IF(B350="", "", "human-skin")</f>
        <v>0</v>
      </c>
      <c r="E350" s="1">
        <f>IF(B350="", "", "human skin metagenome")</f>
        <v>0</v>
      </c>
      <c r="F350" s="1">
        <f>IF(B350="", "", "539655")</f>
        <v>0</v>
      </c>
    </row>
    <row r="351" spans="1:6">
      <c r="A351">
        <f>IF(COUNTBLANK(B351:F351)&lt;&gt;COLUMNS(B351:F351),350,"")</f>
        <v>0</v>
      </c>
      <c r="C351" s="1">
        <f>IF(B351="", "", "human-skin")</f>
        <v>0</v>
      </c>
      <c r="E351" s="1">
        <f>IF(B351="", "", "human skin metagenome")</f>
        <v>0</v>
      </c>
      <c r="F351" s="1">
        <f>IF(B351="", "", "539655")</f>
        <v>0</v>
      </c>
    </row>
    <row r="352" spans="1:6">
      <c r="A352">
        <f>IF(COUNTBLANK(B352:F352)&lt;&gt;COLUMNS(B352:F352),351,"")</f>
        <v>0</v>
      </c>
      <c r="C352" s="1">
        <f>IF(B352="", "", "human-skin")</f>
        <v>0</v>
      </c>
      <c r="E352" s="1">
        <f>IF(B352="", "", "human skin metagenome")</f>
        <v>0</v>
      </c>
      <c r="F352" s="1">
        <f>IF(B352="", "", "539655")</f>
        <v>0</v>
      </c>
    </row>
    <row r="353" spans="1:6">
      <c r="A353">
        <f>IF(COUNTBLANK(B353:F353)&lt;&gt;COLUMNS(B353:F353),352,"")</f>
        <v>0</v>
      </c>
      <c r="C353" s="1">
        <f>IF(B353="", "", "human-skin")</f>
        <v>0</v>
      </c>
      <c r="E353" s="1">
        <f>IF(B353="", "", "human skin metagenome")</f>
        <v>0</v>
      </c>
      <c r="F353" s="1">
        <f>IF(B353="", "", "539655")</f>
        <v>0</v>
      </c>
    </row>
    <row r="354" spans="1:6">
      <c r="A354">
        <f>IF(COUNTBLANK(B354:F354)&lt;&gt;COLUMNS(B354:F354),353,"")</f>
        <v>0</v>
      </c>
      <c r="C354" s="1">
        <f>IF(B354="", "", "human-skin")</f>
        <v>0</v>
      </c>
      <c r="E354" s="1">
        <f>IF(B354="", "", "human skin metagenome")</f>
        <v>0</v>
      </c>
      <c r="F354" s="1">
        <f>IF(B354="", "", "539655")</f>
        <v>0</v>
      </c>
    </row>
    <row r="355" spans="1:6">
      <c r="A355">
        <f>IF(COUNTBLANK(B355:F355)&lt;&gt;COLUMNS(B355:F355),354,"")</f>
        <v>0</v>
      </c>
      <c r="C355" s="1">
        <f>IF(B355="", "", "human-skin")</f>
        <v>0</v>
      </c>
      <c r="E355" s="1">
        <f>IF(B355="", "", "human skin metagenome")</f>
        <v>0</v>
      </c>
      <c r="F355" s="1">
        <f>IF(B355="", "", "539655")</f>
        <v>0</v>
      </c>
    </row>
    <row r="356" spans="1:6">
      <c r="A356">
        <f>IF(COUNTBLANK(B356:F356)&lt;&gt;COLUMNS(B356:F356),355,"")</f>
        <v>0</v>
      </c>
      <c r="C356" s="1">
        <f>IF(B356="", "", "human-skin")</f>
        <v>0</v>
      </c>
      <c r="E356" s="1">
        <f>IF(B356="", "", "human skin metagenome")</f>
        <v>0</v>
      </c>
      <c r="F356" s="1">
        <f>IF(B356="", "", "539655")</f>
        <v>0</v>
      </c>
    </row>
    <row r="357" spans="1:6">
      <c r="A357">
        <f>IF(COUNTBLANK(B357:F357)&lt;&gt;COLUMNS(B357:F357),356,"")</f>
        <v>0</v>
      </c>
      <c r="C357" s="1">
        <f>IF(B357="", "", "human-skin")</f>
        <v>0</v>
      </c>
      <c r="E357" s="1">
        <f>IF(B357="", "", "human skin metagenome")</f>
        <v>0</v>
      </c>
      <c r="F357" s="1">
        <f>IF(B357="", "", "539655")</f>
        <v>0</v>
      </c>
    </row>
    <row r="358" spans="1:6">
      <c r="A358">
        <f>IF(COUNTBLANK(B358:F358)&lt;&gt;COLUMNS(B358:F358),357,"")</f>
        <v>0</v>
      </c>
      <c r="C358" s="1">
        <f>IF(B358="", "", "human-skin")</f>
        <v>0</v>
      </c>
      <c r="E358" s="1">
        <f>IF(B358="", "", "human skin metagenome")</f>
        <v>0</v>
      </c>
      <c r="F358" s="1">
        <f>IF(B358="", "", "539655")</f>
        <v>0</v>
      </c>
    </row>
    <row r="359" spans="1:6">
      <c r="A359">
        <f>IF(COUNTBLANK(B359:F359)&lt;&gt;COLUMNS(B359:F359),358,"")</f>
        <v>0</v>
      </c>
      <c r="C359" s="1">
        <f>IF(B359="", "", "human-skin")</f>
        <v>0</v>
      </c>
      <c r="E359" s="1">
        <f>IF(B359="", "", "human skin metagenome")</f>
        <v>0</v>
      </c>
      <c r="F359" s="1">
        <f>IF(B359="", "", "539655")</f>
        <v>0</v>
      </c>
    </row>
    <row r="360" spans="1:6">
      <c r="A360">
        <f>IF(COUNTBLANK(B360:F360)&lt;&gt;COLUMNS(B360:F360),359,"")</f>
        <v>0</v>
      </c>
      <c r="C360" s="1">
        <f>IF(B360="", "", "human-skin")</f>
        <v>0</v>
      </c>
      <c r="E360" s="1">
        <f>IF(B360="", "", "human skin metagenome")</f>
        <v>0</v>
      </c>
      <c r="F360" s="1">
        <f>IF(B360="", "", "539655")</f>
        <v>0</v>
      </c>
    </row>
    <row r="361" spans="1:6">
      <c r="A361">
        <f>IF(COUNTBLANK(B361:F361)&lt;&gt;COLUMNS(B361:F361),360,"")</f>
        <v>0</v>
      </c>
      <c r="C361" s="1">
        <f>IF(B361="", "", "human-skin")</f>
        <v>0</v>
      </c>
      <c r="E361" s="1">
        <f>IF(B361="", "", "human skin metagenome")</f>
        <v>0</v>
      </c>
      <c r="F361" s="1">
        <f>IF(B361="", "", "539655")</f>
        <v>0</v>
      </c>
    </row>
    <row r="362" spans="1:6">
      <c r="A362">
        <f>IF(COUNTBLANK(B362:F362)&lt;&gt;COLUMNS(B362:F362),361,"")</f>
        <v>0</v>
      </c>
      <c r="C362" s="1">
        <f>IF(B362="", "", "human-skin")</f>
        <v>0</v>
      </c>
      <c r="E362" s="1">
        <f>IF(B362="", "", "human skin metagenome")</f>
        <v>0</v>
      </c>
      <c r="F362" s="1">
        <f>IF(B362="", "", "539655")</f>
        <v>0</v>
      </c>
    </row>
    <row r="363" spans="1:6">
      <c r="A363">
        <f>IF(COUNTBLANK(B363:F363)&lt;&gt;COLUMNS(B363:F363),362,"")</f>
        <v>0</v>
      </c>
      <c r="C363" s="1">
        <f>IF(B363="", "", "human-skin")</f>
        <v>0</v>
      </c>
      <c r="E363" s="1">
        <f>IF(B363="", "", "human skin metagenome")</f>
        <v>0</v>
      </c>
      <c r="F363" s="1">
        <f>IF(B363="", "", "539655")</f>
        <v>0</v>
      </c>
    </row>
    <row r="364" spans="1:6">
      <c r="A364">
        <f>IF(COUNTBLANK(B364:F364)&lt;&gt;COLUMNS(B364:F364),363,"")</f>
        <v>0</v>
      </c>
      <c r="C364" s="1">
        <f>IF(B364="", "", "human-skin")</f>
        <v>0</v>
      </c>
      <c r="E364" s="1">
        <f>IF(B364="", "", "human skin metagenome")</f>
        <v>0</v>
      </c>
      <c r="F364" s="1">
        <f>IF(B364="", "", "539655")</f>
        <v>0</v>
      </c>
    </row>
    <row r="365" spans="1:6">
      <c r="A365">
        <f>IF(COUNTBLANK(B365:F365)&lt;&gt;COLUMNS(B365:F365),364,"")</f>
        <v>0</v>
      </c>
      <c r="C365" s="1">
        <f>IF(B365="", "", "human-skin")</f>
        <v>0</v>
      </c>
      <c r="E365" s="1">
        <f>IF(B365="", "", "human skin metagenome")</f>
        <v>0</v>
      </c>
      <c r="F365" s="1">
        <f>IF(B365="", "", "539655")</f>
        <v>0</v>
      </c>
    </row>
    <row r="366" spans="1:6">
      <c r="A366">
        <f>IF(COUNTBLANK(B366:F366)&lt;&gt;COLUMNS(B366:F366),365,"")</f>
        <v>0</v>
      </c>
      <c r="C366" s="1">
        <f>IF(B366="", "", "human-skin")</f>
        <v>0</v>
      </c>
      <c r="E366" s="1">
        <f>IF(B366="", "", "human skin metagenome")</f>
        <v>0</v>
      </c>
      <c r="F366" s="1">
        <f>IF(B366="", "", "539655")</f>
        <v>0</v>
      </c>
    </row>
    <row r="367" spans="1:6">
      <c r="A367">
        <f>IF(COUNTBLANK(B367:F367)&lt;&gt;COLUMNS(B367:F367),366,"")</f>
        <v>0</v>
      </c>
      <c r="C367" s="1">
        <f>IF(B367="", "", "human-skin")</f>
        <v>0</v>
      </c>
      <c r="E367" s="1">
        <f>IF(B367="", "", "human skin metagenome")</f>
        <v>0</v>
      </c>
      <c r="F367" s="1">
        <f>IF(B367="", "", "539655")</f>
        <v>0</v>
      </c>
    </row>
    <row r="368" spans="1:6">
      <c r="A368">
        <f>IF(COUNTBLANK(B368:F368)&lt;&gt;COLUMNS(B368:F368),367,"")</f>
        <v>0</v>
      </c>
      <c r="C368" s="1">
        <f>IF(B368="", "", "human-skin")</f>
        <v>0</v>
      </c>
      <c r="E368" s="1">
        <f>IF(B368="", "", "human skin metagenome")</f>
        <v>0</v>
      </c>
      <c r="F368" s="1">
        <f>IF(B368="", "", "539655")</f>
        <v>0</v>
      </c>
    </row>
    <row r="369" spans="1:6">
      <c r="A369">
        <f>IF(COUNTBLANK(B369:F369)&lt;&gt;COLUMNS(B369:F369),368,"")</f>
        <v>0</v>
      </c>
      <c r="C369" s="1">
        <f>IF(B369="", "", "human-skin")</f>
        <v>0</v>
      </c>
      <c r="E369" s="1">
        <f>IF(B369="", "", "human skin metagenome")</f>
        <v>0</v>
      </c>
      <c r="F369" s="1">
        <f>IF(B369="", "", "539655")</f>
        <v>0</v>
      </c>
    </row>
    <row r="370" spans="1:6">
      <c r="A370">
        <f>IF(COUNTBLANK(B370:F370)&lt;&gt;COLUMNS(B370:F370),369,"")</f>
        <v>0</v>
      </c>
      <c r="C370" s="1">
        <f>IF(B370="", "", "human-skin")</f>
        <v>0</v>
      </c>
      <c r="E370" s="1">
        <f>IF(B370="", "", "human skin metagenome")</f>
        <v>0</v>
      </c>
      <c r="F370" s="1">
        <f>IF(B370="", "", "539655")</f>
        <v>0</v>
      </c>
    </row>
    <row r="371" spans="1:6">
      <c r="A371">
        <f>IF(COUNTBLANK(B371:F371)&lt;&gt;COLUMNS(B371:F371),370,"")</f>
        <v>0</v>
      </c>
      <c r="C371" s="1">
        <f>IF(B371="", "", "human-skin")</f>
        <v>0</v>
      </c>
      <c r="E371" s="1">
        <f>IF(B371="", "", "human skin metagenome")</f>
        <v>0</v>
      </c>
      <c r="F371" s="1">
        <f>IF(B371="", "", "539655")</f>
        <v>0</v>
      </c>
    </row>
    <row r="372" spans="1:6">
      <c r="A372">
        <f>IF(COUNTBLANK(B372:F372)&lt;&gt;COLUMNS(B372:F372),371,"")</f>
        <v>0</v>
      </c>
      <c r="C372" s="1">
        <f>IF(B372="", "", "human-skin")</f>
        <v>0</v>
      </c>
      <c r="E372" s="1">
        <f>IF(B372="", "", "human skin metagenome")</f>
        <v>0</v>
      </c>
      <c r="F372" s="1">
        <f>IF(B372="", "", "539655")</f>
        <v>0</v>
      </c>
    </row>
    <row r="373" spans="1:6">
      <c r="A373">
        <f>IF(COUNTBLANK(B373:F373)&lt;&gt;COLUMNS(B373:F373),372,"")</f>
        <v>0</v>
      </c>
      <c r="C373" s="1">
        <f>IF(B373="", "", "human-skin")</f>
        <v>0</v>
      </c>
      <c r="E373" s="1">
        <f>IF(B373="", "", "human skin metagenome")</f>
        <v>0</v>
      </c>
      <c r="F373" s="1">
        <f>IF(B373="", "", "539655")</f>
        <v>0</v>
      </c>
    </row>
    <row r="374" spans="1:6">
      <c r="A374">
        <f>IF(COUNTBLANK(B374:F374)&lt;&gt;COLUMNS(B374:F374),373,"")</f>
        <v>0</v>
      </c>
      <c r="C374" s="1">
        <f>IF(B374="", "", "human-skin")</f>
        <v>0</v>
      </c>
      <c r="E374" s="1">
        <f>IF(B374="", "", "human skin metagenome")</f>
        <v>0</v>
      </c>
      <c r="F374" s="1">
        <f>IF(B374="", "", "539655")</f>
        <v>0</v>
      </c>
    </row>
    <row r="375" spans="1:6">
      <c r="A375">
        <f>IF(COUNTBLANK(B375:F375)&lt;&gt;COLUMNS(B375:F375),374,"")</f>
        <v>0</v>
      </c>
      <c r="C375" s="1">
        <f>IF(B375="", "", "human-skin")</f>
        <v>0</v>
      </c>
      <c r="E375" s="1">
        <f>IF(B375="", "", "human skin metagenome")</f>
        <v>0</v>
      </c>
      <c r="F375" s="1">
        <f>IF(B375="", "", "539655")</f>
        <v>0</v>
      </c>
    </row>
    <row r="376" spans="1:6">
      <c r="A376">
        <f>IF(COUNTBLANK(B376:F376)&lt;&gt;COLUMNS(B376:F376),375,"")</f>
        <v>0</v>
      </c>
      <c r="C376" s="1">
        <f>IF(B376="", "", "human-skin")</f>
        <v>0</v>
      </c>
      <c r="E376" s="1">
        <f>IF(B376="", "", "human skin metagenome")</f>
        <v>0</v>
      </c>
      <c r="F376" s="1">
        <f>IF(B376="", "", "539655")</f>
        <v>0</v>
      </c>
    </row>
    <row r="377" spans="1:6">
      <c r="A377">
        <f>IF(COUNTBLANK(B377:F377)&lt;&gt;COLUMNS(B377:F377),376,"")</f>
        <v>0</v>
      </c>
      <c r="C377" s="1">
        <f>IF(B377="", "", "human-skin")</f>
        <v>0</v>
      </c>
      <c r="E377" s="1">
        <f>IF(B377="", "", "human skin metagenome")</f>
        <v>0</v>
      </c>
      <c r="F377" s="1">
        <f>IF(B377="", "", "539655")</f>
        <v>0</v>
      </c>
    </row>
    <row r="378" spans="1:6">
      <c r="A378">
        <f>IF(COUNTBLANK(B378:F378)&lt;&gt;COLUMNS(B378:F378),377,"")</f>
        <v>0</v>
      </c>
      <c r="C378" s="1">
        <f>IF(B378="", "", "human-skin")</f>
        <v>0</v>
      </c>
      <c r="E378" s="1">
        <f>IF(B378="", "", "human skin metagenome")</f>
        <v>0</v>
      </c>
      <c r="F378" s="1">
        <f>IF(B378="", "", "539655")</f>
        <v>0</v>
      </c>
    </row>
    <row r="379" spans="1:6">
      <c r="A379">
        <f>IF(COUNTBLANK(B379:F379)&lt;&gt;COLUMNS(B379:F379),378,"")</f>
        <v>0</v>
      </c>
      <c r="C379" s="1">
        <f>IF(B379="", "", "human-skin")</f>
        <v>0</v>
      </c>
      <c r="E379" s="1">
        <f>IF(B379="", "", "human skin metagenome")</f>
        <v>0</v>
      </c>
      <c r="F379" s="1">
        <f>IF(B379="", "", "539655")</f>
        <v>0</v>
      </c>
    </row>
    <row r="380" spans="1:6">
      <c r="A380">
        <f>IF(COUNTBLANK(B380:F380)&lt;&gt;COLUMNS(B380:F380),379,"")</f>
        <v>0</v>
      </c>
      <c r="C380" s="1">
        <f>IF(B380="", "", "human-skin")</f>
        <v>0</v>
      </c>
      <c r="E380" s="1">
        <f>IF(B380="", "", "human skin metagenome")</f>
        <v>0</v>
      </c>
      <c r="F380" s="1">
        <f>IF(B380="", "", "539655")</f>
        <v>0</v>
      </c>
    </row>
    <row r="381" spans="1:6">
      <c r="A381">
        <f>IF(COUNTBLANK(B381:F381)&lt;&gt;COLUMNS(B381:F381),380,"")</f>
        <v>0</v>
      </c>
      <c r="C381" s="1">
        <f>IF(B381="", "", "human-skin")</f>
        <v>0</v>
      </c>
      <c r="E381" s="1">
        <f>IF(B381="", "", "human skin metagenome")</f>
        <v>0</v>
      </c>
      <c r="F381" s="1">
        <f>IF(B381="", "", "539655")</f>
        <v>0</v>
      </c>
    </row>
    <row r="382" spans="1:6">
      <c r="A382">
        <f>IF(COUNTBLANK(B382:F382)&lt;&gt;COLUMNS(B382:F382),381,"")</f>
        <v>0</v>
      </c>
      <c r="C382" s="1">
        <f>IF(B382="", "", "human-skin")</f>
        <v>0</v>
      </c>
      <c r="E382" s="1">
        <f>IF(B382="", "", "human skin metagenome")</f>
        <v>0</v>
      </c>
      <c r="F382" s="1">
        <f>IF(B382="", "", "539655")</f>
        <v>0</v>
      </c>
    </row>
    <row r="383" spans="1:6">
      <c r="A383">
        <f>IF(COUNTBLANK(B383:F383)&lt;&gt;COLUMNS(B383:F383),382,"")</f>
        <v>0</v>
      </c>
      <c r="C383" s="1">
        <f>IF(B383="", "", "human-skin")</f>
        <v>0</v>
      </c>
      <c r="E383" s="1">
        <f>IF(B383="", "", "human skin metagenome")</f>
        <v>0</v>
      </c>
      <c r="F383" s="1">
        <f>IF(B383="", "", "539655")</f>
        <v>0</v>
      </c>
    </row>
    <row r="384" spans="1:6">
      <c r="A384">
        <f>IF(COUNTBLANK(B384:F384)&lt;&gt;COLUMNS(B384:F384),383,"")</f>
        <v>0</v>
      </c>
      <c r="C384" s="1">
        <f>IF(B384="", "", "human-skin")</f>
        <v>0</v>
      </c>
      <c r="E384" s="1">
        <f>IF(B384="", "", "human skin metagenome")</f>
        <v>0</v>
      </c>
      <c r="F384" s="1">
        <f>IF(B384="", "", "539655")</f>
        <v>0</v>
      </c>
    </row>
    <row r="385" spans="1:6">
      <c r="A385">
        <f>IF(COUNTBLANK(B385:F385)&lt;&gt;COLUMNS(B385:F385),384,"")</f>
        <v>0</v>
      </c>
      <c r="C385" s="1">
        <f>IF(B385="", "", "human-skin")</f>
        <v>0</v>
      </c>
      <c r="E385" s="1">
        <f>IF(B385="", "", "human skin metagenome")</f>
        <v>0</v>
      </c>
      <c r="F385" s="1">
        <f>IF(B385="", "", "539655")</f>
        <v>0</v>
      </c>
    </row>
    <row r="386" spans="1:6">
      <c r="A386">
        <f>IF(COUNTBLANK(B386:F386)&lt;&gt;COLUMNS(B386:F386),385,"")</f>
        <v>0</v>
      </c>
      <c r="C386" s="1">
        <f>IF(B386="", "", "human-skin")</f>
        <v>0</v>
      </c>
      <c r="E386" s="1">
        <f>IF(B386="", "", "human skin metagenome")</f>
        <v>0</v>
      </c>
      <c r="F386" s="1">
        <f>IF(B386="", "", "539655")</f>
        <v>0</v>
      </c>
    </row>
    <row r="387" spans="1:6">
      <c r="A387">
        <f>IF(COUNTBLANK(B387:F387)&lt;&gt;COLUMNS(B387:F387),386,"")</f>
        <v>0</v>
      </c>
      <c r="C387" s="1">
        <f>IF(B387="", "", "human-skin")</f>
        <v>0</v>
      </c>
      <c r="E387" s="1">
        <f>IF(B387="", "", "human skin metagenome")</f>
        <v>0</v>
      </c>
      <c r="F387" s="1">
        <f>IF(B387="", "", "539655")</f>
        <v>0</v>
      </c>
    </row>
    <row r="388" spans="1:6">
      <c r="A388">
        <f>IF(COUNTBLANK(B388:F388)&lt;&gt;COLUMNS(B388:F388),387,"")</f>
        <v>0</v>
      </c>
      <c r="C388" s="1">
        <f>IF(B388="", "", "human-skin")</f>
        <v>0</v>
      </c>
      <c r="E388" s="1">
        <f>IF(B388="", "", "human skin metagenome")</f>
        <v>0</v>
      </c>
      <c r="F388" s="1">
        <f>IF(B388="", "", "539655")</f>
        <v>0</v>
      </c>
    </row>
    <row r="389" spans="1:6">
      <c r="A389">
        <f>IF(COUNTBLANK(B389:F389)&lt;&gt;COLUMNS(B389:F389),388,"")</f>
        <v>0</v>
      </c>
      <c r="C389" s="1">
        <f>IF(B389="", "", "human-skin")</f>
        <v>0</v>
      </c>
      <c r="E389" s="1">
        <f>IF(B389="", "", "human skin metagenome")</f>
        <v>0</v>
      </c>
      <c r="F389" s="1">
        <f>IF(B389="", "", "539655")</f>
        <v>0</v>
      </c>
    </row>
    <row r="390" spans="1:6">
      <c r="A390">
        <f>IF(COUNTBLANK(B390:F390)&lt;&gt;COLUMNS(B390:F390),389,"")</f>
        <v>0</v>
      </c>
      <c r="C390" s="1">
        <f>IF(B390="", "", "human-skin")</f>
        <v>0</v>
      </c>
      <c r="E390" s="1">
        <f>IF(B390="", "", "human skin metagenome")</f>
        <v>0</v>
      </c>
      <c r="F390" s="1">
        <f>IF(B390="", "", "539655")</f>
        <v>0</v>
      </c>
    </row>
    <row r="391" spans="1:6">
      <c r="A391">
        <f>IF(COUNTBLANK(B391:F391)&lt;&gt;COLUMNS(B391:F391),390,"")</f>
        <v>0</v>
      </c>
      <c r="C391" s="1">
        <f>IF(B391="", "", "human-skin")</f>
        <v>0</v>
      </c>
      <c r="E391" s="1">
        <f>IF(B391="", "", "human skin metagenome")</f>
        <v>0</v>
      </c>
      <c r="F391" s="1">
        <f>IF(B391="", "", "539655")</f>
        <v>0</v>
      </c>
    </row>
    <row r="392" spans="1:6">
      <c r="A392">
        <f>IF(COUNTBLANK(B392:F392)&lt;&gt;COLUMNS(B392:F392),391,"")</f>
        <v>0</v>
      </c>
      <c r="C392" s="1">
        <f>IF(B392="", "", "human-skin")</f>
        <v>0</v>
      </c>
      <c r="E392" s="1">
        <f>IF(B392="", "", "human skin metagenome")</f>
        <v>0</v>
      </c>
      <c r="F392" s="1">
        <f>IF(B392="", "", "539655")</f>
        <v>0</v>
      </c>
    </row>
    <row r="393" spans="1:6">
      <c r="A393">
        <f>IF(COUNTBLANK(B393:F393)&lt;&gt;COLUMNS(B393:F393),392,"")</f>
        <v>0</v>
      </c>
      <c r="C393" s="1">
        <f>IF(B393="", "", "human-skin")</f>
        <v>0</v>
      </c>
      <c r="E393" s="1">
        <f>IF(B393="", "", "human skin metagenome")</f>
        <v>0</v>
      </c>
      <c r="F393" s="1">
        <f>IF(B393="", "", "539655")</f>
        <v>0</v>
      </c>
    </row>
    <row r="394" spans="1:6">
      <c r="A394">
        <f>IF(COUNTBLANK(B394:F394)&lt;&gt;COLUMNS(B394:F394),393,"")</f>
        <v>0</v>
      </c>
      <c r="C394" s="1">
        <f>IF(B394="", "", "human-skin")</f>
        <v>0</v>
      </c>
      <c r="E394" s="1">
        <f>IF(B394="", "", "human skin metagenome")</f>
        <v>0</v>
      </c>
      <c r="F394" s="1">
        <f>IF(B394="", "", "539655")</f>
        <v>0</v>
      </c>
    </row>
    <row r="395" spans="1:6">
      <c r="A395">
        <f>IF(COUNTBLANK(B395:F395)&lt;&gt;COLUMNS(B395:F395),394,"")</f>
        <v>0</v>
      </c>
      <c r="C395" s="1">
        <f>IF(B395="", "", "human-skin")</f>
        <v>0</v>
      </c>
      <c r="E395" s="1">
        <f>IF(B395="", "", "human skin metagenome")</f>
        <v>0</v>
      </c>
      <c r="F395" s="1">
        <f>IF(B395="", "", "539655")</f>
        <v>0</v>
      </c>
    </row>
    <row r="396" spans="1:6">
      <c r="A396">
        <f>IF(COUNTBLANK(B396:F396)&lt;&gt;COLUMNS(B396:F396),395,"")</f>
        <v>0</v>
      </c>
      <c r="C396" s="1">
        <f>IF(B396="", "", "human-skin")</f>
        <v>0</v>
      </c>
      <c r="E396" s="1">
        <f>IF(B396="", "", "human skin metagenome")</f>
        <v>0</v>
      </c>
      <c r="F396" s="1">
        <f>IF(B396="", "", "539655")</f>
        <v>0</v>
      </c>
    </row>
    <row r="397" spans="1:6">
      <c r="A397">
        <f>IF(COUNTBLANK(B397:F397)&lt;&gt;COLUMNS(B397:F397),396,"")</f>
        <v>0</v>
      </c>
      <c r="C397" s="1">
        <f>IF(B397="", "", "human-skin")</f>
        <v>0</v>
      </c>
      <c r="E397" s="1">
        <f>IF(B397="", "", "human skin metagenome")</f>
        <v>0</v>
      </c>
      <c r="F397" s="1">
        <f>IF(B397="", "", "539655")</f>
        <v>0</v>
      </c>
    </row>
    <row r="398" spans="1:6">
      <c r="A398">
        <f>IF(COUNTBLANK(B398:F398)&lt;&gt;COLUMNS(B398:F398),397,"")</f>
        <v>0</v>
      </c>
      <c r="C398" s="1">
        <f>IF(B398="", "", "human-skin")</f>
        <v>0</v>
      </c>
      <c r="E398" s="1">
        <f>IF(B398="", "", "human skin metagenome")</f>
        <v>0</v>
      </c>
      <c r="F398" s="1">
        <f>IF(B398="", "", "539655")</f>
        <v>0</v>
      </c>
    </row>
    <row r="399" spans="1:6">
      <c r="A399">
        <f>IF(COUNTBLANK(B399:F399)&lt;&gt;COLUMNS(B399:F399),398,"")</f>
        <v>0</v>
      </c>
      <c r="C399" s="1">
        <f>IF(B399="", "", "human-skin")</f>
        <v>0</v>
      </c>
      <c r="E399" s="1">
        <f>IF(B399="", "", "human skin metagenome")</f>
        <v>0</v>
      </c>
      <c r="F399" s="1">
        <f>IF(B399="", "", "539655")</f>
        <v>0</v>
      </c>
    </row>
    <row r="400" spans="1:6">
      <c r="A400">
        <f>IF(COUNTBLANK(B400:F400)&lt;&gt;COLUMNS(B400:F400),399,"")</f>
        <v>0</v>
      </c>
      <c r="C400" s="1">
        <f>IF(B400="", "", "human-skin")</f>
        <v>0</v>
      </c>
      <c r="E400" s="1">
        <f>IF(B400="", "", "human skin metagenome")</f>
        <v>0</v>
      </c>
      <c r="F400" s="1">
        <f>IF(B400="", "", "539655")</f>
        <v>0</v>
      </c>
    </row>
    <row r="401" spans="1:6">
      <c r="A401">
        <f>IF(COUNTBLANK(B401:F401)&lt;&gt;COLUMNS(B401:F401),400,"")</f>
        <v>0</v>
      </c>
      <c r="C401" s="1">
        <f>IF(B401="", "", "human-skin")</f>
        <v>0</v>
      </c>
      <c r="E401" s="1">
        <f>IF(B401="", "", "human skin metagenome")</f>
        <v>0</v>
      </c>
      <c r="F401" s="1">
        <f>IF(B401="", "", "539655")</f>
        <v>0</v>
      </c>
    </row>
    <row r="402" spans="1:6">
      <c r="A402">
        <f>IF(COUNTBLANK(B402:F402)&lt;&gt;COLUMNS(B402:F402),401,"")</f>
        <v>0</v>
      </c>
      <c r="C402" s="1">
        <f>IF(B402="", "", "human-skin")</f>
        <v>0</v>
      </c>
      <c r="E402" s="1">
        <f>IF(B402="", "", "human skin metagenome")</f>
        <v>0</v>
      </c>
      <c r="F402" s="1">
        <f>IF(B402="", "", "539655")</f>
        <v>0</v>
      </c>
    </row>
    <row r="403" spans="1:6">
      <c r="A403">
        <f>IF(COUNTBLANK(B403:F403)&lt;&gt;COLUMNS(B403:F403),402,"")</f>
        <v>0</v>
      </c>
      <c r="C403" s="1">
        <f>IF(B403="", "", "human-skin")</f>
        <v>0</v>
      </c>
      <c r="E403" s="1">
        <f>IF(B403="", "", "human skin metagenome")</f>
        <v>0</v>
      </c>
      <c r="F403" s="1">
        <f>IF(B403="", "", "539655")</f>
        <v>0</v>
      </c>
    </row>
    <row r="404" spans="1:6">
      <c r="A404">
        <f>IF(COUNTBLANK(B404:F404)&lt;&gt;COLUMNS(B404:F404),403,"")</f>
        <v>0</v>
      </c>
      <c r="C404" s="1">
        <f>IF(B404="", "", "human-skin")</f>
        <v>0</v>
      </c>
      <c r="E404" s="1">
        <f>IF(B404="", "", "human skin metagenome")</f>
        <v>0</v>
      </c>
      <c r="F404" s="1">
        <f>IF(B404="", "", "539655")</f>
        <v>0</v>
      </c>
    </row>
    <row r="405" spans="1:6">
      <c r="A405">
        <f>IF(COUNTBLANK(B405:F405)&lt;&gt;COLUMNS(B405:F405),404,"")</f>
        <v>0</v>
      </c>
      <c r="C405" s="1">
        <f>IF(B405="", "", "human-skin")</f>
        <v>0</v>
      </c>
      <c r="E405" s="1">
        <f>IF(B405="", "", "human skin metagenome")</f>
        <v>0</v>
      </c>
      <c r="F405" s="1">
        <f>IF(B405="", "", "539655")</f>
        <v>0</v>
      </c>
    </row>
    <row r="406" spans="1:6">
      <c r="A406">
        <f>IF(COUNTBLANK(B406:F406)&lt;&gt;COLUMNS(B406:F406),405,"")</f>
        <v>0</v>
      </c>
      <c r="C406" s="1">
        <f>IF(B406="", "", "human-skin")</f>
        <v>0</v>
      </c>
      <c r="E406" s="1">
        <f>IF(B406="", "", "human skin metagenome")</f>
        <v>0</v>
      </c>
      <c r="F406" s="1">
        <f>IF(B406="", "", "539655")</f>
        <v>0</v>
      </c>
    </row>
    <row r="407" spans="1:6">
      <c r="A407">
        <f>IF(COUNTBLANK(B407:F407)&lt;&gt;COLUMNS(B407:F407),406,"")</f>
        <v>0</v>
      </c>
      <c r="C407" s="1">
        <f>IF(B407="", "", "human-skin")</f>
        <v>0</v>
      </c>
      <c r="E407" s="1">
        <f>IF(B407="", "", "human skin metagenome")</f>
        <v>0</v>
      </c>
      <c r="F407" s="1">
        <f>IF(B407="", "", "539655")</f>
        <v>0</v>
      </c>
    </row>
    <row r="408" spans="1:6">
      <c r="A408">
        <f>IF(COUNTBLANK(B408:F408)&lt;&gt;COLUMNS(B408:F408),407,"")</f>
        <v>0</v>
      </c>
      <c r="C408" s="1">
        <f>IF(B408="", "", "human-skin")</f>
        <v>0</v>
      </c>
      <c r="E408" s="1">
        <f>IF(B408="", "", "human skin metagenome")</f>
        <v>0</v>
      </c>
      <c r="F408" s="1">
        <f>IF(B408="", "", "539655")</f>
        <v>0</v>
      </c>
    </row>
    <row r="409" spans="1:6">
      <c r="A409">
        <f>IF(COUNTBLANK(B409:F409)&lt;&gt;COLUMNS(B409:F409),408,"")</f>
        <v>0</v>
      </c>
      <c r="C409" s="1">
        <f>IF(B409="", "", "human-skin")</f>
        <v>0</v>
      </c>
      <c r="E409" s="1">
        <f>IF(B409="", "", "human skin metagenome")</f>
        <v>0</v>
      </c>
      <c r="F409" s="1">
        <f>IF(B409="", "", "539655")</f>
        <v>0</v>
      </c>
    </row>
    <row r="410" spans="1:6">
      <c r="A410">
        <f>IF(COUNTBLANK(B410:F410)&lt;&gt;COLUMNS(B410:F410),409,"")</f>
        <v>0</v>
      </c>
      <c r="C410" s="1">
        <f>IF(B410="", "", "human-skin")</f>
        <v>0</v>
      </c>
      <c r="E410" s="1">
        <f>IF(B410="", "", "human skin metagenome")</f>
        <v>0</v>
      </c>
      <c r="F410" s="1">
        <f>IF(B410="", "", "539655")</f>
        <v>0</v>
      </c>
    </row>
    <row r="411" spans="1:6">
      <c r="A411">
        <f>IF(COUNTBLANK(B411:F411)&lt;&gt;COLUMNS(B411:F411),410,"")</f>
        <v>0</v>
      </c>
      <c r="C411" s="1">
        <f>IF(B411="", "", "human-skin")</f>
        <v>0</v>
      </c>
      <c r="E411" s="1">
        <f>IF(B411="", "", "human skin metagenome")</f>
        <v>0</v>
      </c>
      <c r="F411" s="1">
        <f>IF(B411="", "", "539655")</f>
        <v>0</v>
      </c>
    </row>
    <row r="412" spans="1:6">
      <c r="A412">
        <f>IF(COUNTBLANK(B412:F412)&lt;&gt;COLUMNS(B412:F412),411,"")</f>
        <v>0</v>
      </c>
      <c r="C412" s="1">
        <f>IF(B412="", "", "human-skin")</f>
        <v>0</v>
      </c>
      <c r="E412" s="1">
        <f>IF(B412="", "", "human skin metagenome")</f>
        <v>0</v>
      </c>
      <c r="F412" s="1">
        <f>IF(B412="", "", "539655")</f>
        <v>0</v>
      </c>
    </row>
    <row r="413" spans="1:6">
      <c r="A413">
        <f>IF(COUNTBLANK(B413:F413)&lt;&gt;COLUMNS(B413:F413),412,"")</f>
        <v>0</v>
      </c>
      <c r="C413" s="1">
        <f>IF(B413="", "", "human-skin")</f>
        <v>0</v>
      </c>
      <c r="E413" s="1">
        <f>IF(B413="", "", "human skin metagenome")</f>
        <v>0</v>
      </c>
      <c r="F413" s="1">
        <f>IF(B413="", "", "539655")</f>
        <v>0</v>
      </c>
    </row>
    <row r="414" spans="1:6">
      <c r="A414">
        <f>IF(COUNTBLANK(B414:F414)&lt;&gt;COLUMNS(B414:F414),413,"")</f>
        <v>0</v>
      </c>
      <c r="C414" s="1">
        <f>IF(B414="", "", "human-skin")</f>
        <v>0</v>
      </c>
      <c r="E414" s="1">
        <f>IF(B414="", "", "human skin metagenome")</f>
        <v>0</v>
      </c>
      <c r="F414" s="1">
        <f>IF(B414="", "", "539655")</f>
        <v>0</v>
      </c>
    </row>
    <row r="415" spans="1:6">
      <c r="A415">
        <f>IF(COUNTBLANK(B415:F415)&lt;&gt;COLUMNS(B415:F415),414,"")</f>
        <v>0</v>
      </c>
      <c r="C415" s="1">
        <f>IF(B415="", "", "human-skin")</f>
        <v>0</v>
      </c>
      <c r="E415" s="1">
        <f>IF(B415="", "", "human skin metagenome")</f>
        <v>0</v>
      </c>
      <c r="F415" s="1">
        <f>IF(B415="", "", "539655")</f>
        <v>0</v>
      </c>
    </row>
    <row r="416" spans="1:6">
      <c r="A416">
        <f>IF(COUNTBLANK(B416:F416)&lt;&gt;COLUMNS(B416:F416),415,"")</f>
        <v>0</v>
      </c>
      <c r="C416" s="1">
        <f>IF(B416="", "", "human-skin")</f>
        <v>0</v>
      </c>
      <c r="E416" s="1">
        <f>IF(B416="", "", "human skin metagenome")</f>
        <v>0</v>
      </c>
      <c r="F416" s="1">
        <f>IF(B416="", "", "539655")</f>
        <v>0</v>
      </c>
    </row>
    <row r="417" spans="1:6">
      <c r="A417">
        <f>IF(COUNTBLANK(B417:F417)&lt;&gt;COLUMNS(B417:F417),416,"")</f>
        <v>0</v>
      </c>
      <c r="C417" s="1">
        <f>IF(B417="", "", "human-skin")</f>
        <v>0</v>
      </c>
      <c r="E417" s="1">
        <f>IF(B417="", "", "human skin metagenome")</f>
        <v>0</v>
      </c>
      <c r="F417" s="1">
        <f>IF(B417="", "", "539655")</f>
        <v>0</v>
      </c>
    </row>
    <row r="418" spans="1:6">
      <c r="A418">
        <f>IF(COUNTBLANK(B418:F418)&lt;&gt;COLUMNS(B418:F418),417,"")</f>
        <v>0</v>
      </c>
      <c r="C418" s="1">
        <f>IF(B418="", "", "human-skin")</f>
        <v>0</v>
      </c>
      <c r="E418" s="1">
        <f>IF(B418="", "", "human skin metagenome")</f>
        <v>0</v>
      </c>
      <c r="F418" s="1">
        <f>IF(B418="", "", "539655")</f>
        <v>0</v>
      </c>
    </row>
    <row r="419" spans="1:6">
      <c r="A419">
        <f>IF(COUNTBLANK(B419:F419)&lt;&gt;COLUMNS(B419:F419),418,"")</f>
        <v>0</v>
      </c>
      <c r="C419" s="1">
        <f>IF(B419="", "", "human-skin")</f>
        <v>0</v>
      </c>
      <c r="E419" s="1">
        <f>IF(B419="", "", "human skin metagenome")</f>
        <v>0</v>
      </c>
      <c r="F419" s="1">
        <f>IF(B419="", "", "539655")</f>
        <v>0</v>
      </c>
    </row>
    <row r="420" spans="1:6">
      <c r="A420">
        <f>IF(COUNTBLANK(B420:F420)&lt;&gt;COLUMNS(B420:F420),419,"")</f>
        <v>0</v>
      </c>
      <c r="C420" s="1">
        <f>IF(B420="", "", "human-skin")</f>
        <v>0</v>
      </c>
      <c r="E420" s="1">
        <f>IF(B420="", "", "human skin metagenome")</f>
        <v>0</v>
      </c>
      <c r="F420" s="1">
        <f>IF(B420="", "", "539655")</f>
        <v>0</v>
      </c>
    </row>
    <row r="421" spans="1:6">
      <c r="A421">
        <f>IF(COUNTBLANK(B421:F421)&lt;&gt;COLUMNS(B421:F421),420,"")</f>
        <v>0</v>
      </c>
      <c r="C421" s="1">
        <f>IF(B421="", "", "human-skin")</f>
        <v>0</v>
      </c>
      <c r="E421" s="1">
        <f>IF(B421="", "", "human skin metagenome")</f>
        <v>0</v>
      </c>
      <c r="F421" s="1">
        <f>IF(B421="", "", "539655")</f>
        <v>0</v>
      </c>
    </row>
    <row r="422" spans="1:6">
      <c r="A422">
        <f>IF(COUNTBLANK(B422:F422)&lt;&gt;COLUMNS(B422:F422),421,"")</f>
        <v>0</v>
      </c>
      <c r="C422" s="1">
        <f>IF(B422="", "", "human-skin")</f>
        <v>0</v>
      </c>
      <c r="E422" s="1">
        <f>IF(B422="", "", "human skin metagenome")</f>
        <v>0</v>
      </c>
      <c r="F422" s="1">
        <f>IF(B422="", "", "539655")</f>
        <v>0</v>
      </c>
    </row>
    <row r="423" spans="1:6">
      <c r="A423">
        <f>IF(COUNTBLANK(B423:F423)&lt;&gt;COLUMNS(B423:F423),422,"")</f>
        <v>0</v>
      </c>
      <c r="C423" s="1">
        <f>IF(B423="", "", "human-skin")</f>
        <v>0</v>
      </c>
      <c r="E423" s="1">
        <f>IF(B423="", "", "human skin metagenome")</f>
        <v>0</v>
      </c>
      <c r="F423" s="1">
        <f>IF(B423="", "", "539655")</f>
        <v>0</v>
      </c>
    </row>
    <row r="424" spans="1:6">
      <c r="A424">
        <f>IF(COUNTBLANK(B424:F424)&lt;&gt;COLUMNS(B424:F424),423,"")</f>
        <v>0</v>
      </c>
      <c r="C424" s="1">
        <f>IF(B424="", "", "human-skin")</f>
        <v>0</v>
      </c>
      <c r="E424" s="1">
        <f>IF(B424="", "", "human skin metagenome")</f>
        <v>0</v>
      </c>
      <c r="F424" s="1">
        <f>IF(B424="", "", "539655")</f>
        <v>0</v>
      </c>
    </row>
    <row r="425" spans="1:6">
      <c r="A425">
        <f>IF(COUNTBLANK(B425:F425)&lt;&gt;COLUMNS(B425:F425),424,"")</f>
        <v>0</v>
      </c>
      <c r="C425" s="1">
        <f>IF(B425="", "", "human-skin")</f>
        <v>0</v>
      </c>
      <c r="E425" s="1">
        <f>IF(B425="", "", "human skin metagenome")</f>
        <v>0</v>
      </c>
      <c r="F425" s="1">
        <f>IF(B425="", "", "539655")</f>
        <v>0</v>
      </c>
    </row>
    <row r="426" spans="1:6">
      <c r="A426">
        <f>IF(COUNTBLANK(B426:F426)&lt;&gt;COLUMNS(B426:F426),425,"")</f>
        <v>0</v>
      </c>
      <c r="C426" s="1">
        <f>IF(B426="", "", "human-skin")</f>
        <v>0</v>
      </c>
      <c r="E426" s="1">
        <f>IF(B426="", "", "human skin metagenome")</f>
        <v>0</v>
      </c>
      <c r="F426" s="1">
        <f>IF(B426="", "", "539655")</f>
        <v>0</v>
      </c>
    </row>
    <row r="427" spans="1:6">
      <c r="A427">
        <f>IF(COUNTBLANK(B427:F427)&lt;&gt;COLUMNS(B427:F427),426,"")</f>
        <v>0</v>
      </c>
      <c r="C427" s="1">
        <f>IF(B427="", "", "human-skin")</f>
        <v>0</v>
      </c>
      <c r="E427" s="1">
        <f>IF(B427="", "", "human skin metagenome")</f>
        <v>0</v>
      </c>
      <c r="F427" s="1">
        <f>IF(B427="", "", "539655")</f>
        <v>0</v>
      </c>
    </row>
    <row r="428" spans="1:6">
      <c r="A428">
        <f>IF(COUNTBLANK(B428:F428)&lt;&gt;COLUMNS(B428:F428),427,"")</f>
        <v>0</v>
      </c>
      <c r="C428" s="1">
        <f>IF(B428="", "", "human-skin")</f>
        <v>0</v>
      </c>
      <c r="E428" s="1">
        <f>IF(B428="", "", "human skin metagenome")</f>
        <v>0</v>
      </c>
      <c r="F428" s="1">
        <f>IF(B428="", "", "539655")</f>
        <v>0</v>
      </c>
    </row>
    <row r="429" spans="1:6">
      <c r="A429">
        <f>IF(COUNTBLANK(B429:F429)&lt;&gt;COLUMNS(B429:F429),428,"")</f>
        <v>0</v>
      </c>
      <c r="C429" s="1">
        <f>IF(B429="", "", "human-skin")</f>
        <v>0</v>
      </c>
      <c r="E429" s="1">
        <f>IF(B429="", "", "human skin metagenome")</f>
        <v>0</v>
      </c>
      <c r="F429" s="1">
        <f>IF(B429="", "", "539655")</f>
        <v>0</v>
      </c>
    </row>
    <row r="430" spans="1:6">
      <c r="A430">
        <f>IF(COUNTBLANK(B430:F430)&lt;&gt;COLUMNS(B430:F430),429,"")</f>
        <v>0</v>
      </c>
      <c r="C430" s="1">
        <f>IF(B430="", "", "human-skin")</f>
        <v>0</v>
      </c>
      <c r="E430" s="1">
        <f>IF(B430="", "", "human skin metagenome")</f>
        <v>0</v>
      </c>
      <c r="F430" s="1">
        <f>IF(B430="", "", "539655")</f>
        <v>0</v>
      </c>
    </row>
    <row r="431" spans="1:6">
      <c r="A431">
        <f>IF(COUNTBLANK(B431:F431)&lt;&gt;COLUMNS(B431:F431),430,"")</f>
        <v>0</v>
      </c>
      <c r="C431" s="1">
        <f>IF(B431="", "", "human-skin")</f>
        <v>0</v>
      </c>
      <c r="E431" s="1">
        <f>IF(B431="", "", "human skin metagenome")</f>
        <v>0</v>
      </c>
      <c r="F431" s="1">
        <f>IF(B431="", "", "539655")</f>
        <v>0</v>
      </c>
    </row>
    <row r="432" spans="1:6">
      <c r="A432">
        <f>IF(COUNTBLANK(B432:F432)&lt;&gt;COLUMNS(B432:F432),431,"")</f>
        <v>0</v>
      </c>
      <c r="C432" s="1">
        <f>IF(B432="", "", "human-skin")</f>
        <v>0</v>
      </c>
      <c r="E432" s="1">
        <f>IF(B432="", "", "human skin metagenome")</f>
        <v>0</v>
      </c>
      <c r="F432" s="1">
        <f>IF(B432="", "", "539655")</f>
        <v>0</v>
      </c>
    </row>
    <row r="433" spans="1:6">
      <c r="A433">
        <f>IF(COUNTBLANK(B433:F433)&lt;&gt;COLUMNS(B433:F433),432,"")</f>
        <v>0</v>
      </c>
      <c r="C433" s="1">
        <f>IF(B433="", "", "human-skin")</f>
        <v>0</v>
      </c>
      <c r="E433" s="1">
        <f>IF(B433="", "", "human skin metagenome")</f>
        <v>0</v>
      </c>
      <c r="F433" s="1">
        <f>IF(B433="", "", "539655")</f>
        <v>0</v>
      </c>
    </row>
    <row r="434" spans="1:6">
      <c r="A434">
        <f>IF(COUNTBLANK(B434:F434)&lt;&gt;COLUMNS(B434:F434),433,"")</f>
        <v>0</v>
      </c>
      <c r="C434" s="1">
        <f>IF(B434="", "", "human-skin")</f>
        <v>0</v>
      </c>
      <c r="E434" s="1">
        <f>IF(B434="", "", "human skin metagenome")</f>
        <v>0</v>
      </c>
      <c r="F434" s="1">
        <f>IF(B434="", "", "539655")</f>
        <v>0</v>
      </c>
    </row>
    <row r="435" spans="1:6">
      <c r="A435">
        <f>IF(COUNTBLANK(B435:F435)&lt;&gt;COLUMNS(B435:F435),434,"")</f>
        <v>0</v>
      </c>
      <c r="C435" s="1">
        <f>IF(B435="", "", "human-skin")</f>
        <v>0</v>
      </c>
      <c r="E435" s="1">
        <f>IF(B435="", "", "human skin metagenome")</f>
        <v>0</v>
      </c>
      <c r="F435" s="1">
        <f>IF(B435="", "", "539655")</f>
        <v>0</v>
      </c>
    </row>
    <row r="436" spans="1:6">
      <c r="A436">
        <f>IF(COUNTBLANK(B436:F436)&lt;&gt;COLUMNS(B436:F436),435,"")</f>
        <v>0</v>
      </c>
      <c r="C436" s="1">
        <f>IF(B436="", "", "human-skin")</f>
        <v>0</v>
      </c>
      <c r="E436" s="1">
        <f>IF(B436="", "", "human skin metagenome")</f>
        <v>0</v>
      </c>
      <c r="F436" s="1">
        <f>IF(B436="", "", "539655")</f>
        <v>0</v>
      </c>
    </row>
    <row r="437" spans="1:6">
      <c r="A437">
        <f>IF(COUNTBLANK(B437:F437)&lt;&gt;COLUMNS(B437:F437),436,"")</f>
        <v>0</v>
      </c>
      <c r="C437" s="1">
        <f>IF(B437="", "", "human-skin")</f>
        <v>0</v>
      </c>
      <c r="E437" s="1">
        <f>IF(B437="", "", "human skin metagenome")</f>
        <v>0</v>
      </c>
      <c r="F437" s="1">
        <f>IF(B437="", "", "539655")</f>
        <v>0</v>
      </c>
    </row>
    <row r="438" spans="1:6">
      <c r="A438">
        <f>IF(COUNTBLANK(B438:F438)&lt;&gt;COLUMNS(B438:F438),437,"")</f>
        <v>0</v>
      </c>
      <c r="C438" s="1">
        <f>IF(B438="", "", "human-skin")</f>
        <v>0</v>
      </c>
      <c r="E438" s="1">
        <f>IF(B438="", "", "human skin metagenome")</f>
        <v>0</v>
      </c>
      <c r="F438" s="1">
        <f>IF(B438="", "", "539655")</f>
        <v>0</v>
      </c>
    </row>
    <row r="439" spans="1:6">
      <c r="A439">
        <f>IF(COUNTBLANK(B439:F439)&lt;&gt;COLUMNS(B439:F439),438,"")</f>
        <v>0</v>
      </c>
      <c r="C439" s="1">
        <f>IF(B439="", "", "human-skin")</f>
        <v>0</v>
      </c>
      <c r="E439" s="1">
        <f>IF(B439="", "", "human skin metagenome")</f>
        <v>0</v>
      </c>
      <c r="F439" s="1">
        <f>IF(B439="", "", "539655")</f>
        <v>0</v>
      </c>
    </row>
    <row r="440" spans="1:6">
      <c r="A440">
        <f>IF(COUNTBLANK(B440:F440)&lt;&gt;COLUMNS(B440:F440),439,"")</f>
        <v>0</v>
      </c>
      <c r="C440" s="1">
        <f>IF(B440="", "", "human-skin")</f>
        <v>0</v>
      </c>
      <c r="E440" s="1">
        <f>IF(B440="", "", "human skin metagenome")</f>
        <v>0</v>
      </c>
      <c r="F440" s="1">
        <f>IF(B440="", "", "539655")</f>
        <v>0</v>
      </c>
    </row>
    <row r="441" spans="1:6">
      <c r="A441">
        <f>IF(COUNTBLANK(B441:F441)&lt;&gt;COLUMNS(B441:F441),440,"")</f>
        <v>0</v>
      </c>
      <c r="C441" s="1">
        <f>IF(B441="", "", "human-skin")</f>
        <v>0</v>
      </c>
      <c r="E441" s="1">
        <f>IF(B441="", "", "human skin metagenome")</f>
        <v>0</v>
      </c>
      <c r="F441" s="1">
        <f>IF(B441="", "", "539655")</f>
        <v>0</v>
      </c>
    </row>
    <row r="442" spans="1:6">
      <c r="A442">
        <f>IF(COUNTBLANK(B442:F442)&lt;&gt;COLUMNS(B442:F442),441,"")</f>
        <v>0</v>
      </c>
      <c r="C442" s="1">
        <f>IF(B442="", "", "human-skin")</f>
        <v>0</v>
      </c>
      <c r="E442" s="1">
        <f>IF(B442="", "", "human skin metagenome")</f>
        <v>0</v>
      </c>
      <c r="F442" s="1">
        <f>IF(B442="", "", "539655")</f>
        <v>0</v>
      </c>
    </row>
    <row r="443" spans="1:6">
      <c r="A443">
        <f>IF(COUNTBLANK(B443:F443)&lt;&gt;COLUMNS(B443:F443),442,"")</f>
        <v>0</v>
      </c>
      <c r="C443" s="1">
        <f>IF(B443="", "", "human-skin")</f>
        <v>0</v>
      </c>
      <c r="E443" s="1">
        <f>IF(B443="", "", "human skin metagenome")</f>
        <v>0</v>
      </c>
      <c r="F443" s="1">
        <f>IF(B443="", "", "539655")</f>
        <v>0</v>
      </c>
    </row>
    <row r="444" spans="1:6">
      <c r="A444">
        <f>IF(COUNTBLANK(B444:F444)&lt;&gt;COLUMNS(B444:F444),443,"")</f>
        <v>0</v>
      </c>
      <c r="C444" s="1">
        <f>IF(B444="", "", "human-skin")</f>
        <v>0</v>
      </c>
      <c r="E444" s="1">
        <f>IF(B444="", "", "human skin metagenome")</f>
        <v>0</v>
      </c>
      <c r="F444" s="1">
        <f>IF(B444="", "", "539655")</f>
        <v>0</v>
      </c>
    </row>
    <row r="445" spans="1:6">
      <c r="A445">
        <f>IF(COUNTBLANK(B445:F445)&lt;&gt;COLUMNS(B445:F445),444,"")</f>
        <v>0</v>
      </c>
      <c r="C445" s="1">
        <f>IF(B445="", "", "human-skin")</f>
        <v>0</v>
      </c>
      <c r="E445" s="1">
        <f>IF(B445="", "", "human skin metagenome")</f>
        <v>0</v>
      </c>
      <c r="F445" s="1">
        <f>IF(B445="", "", "539655")</f>
        <v>0</v>
      </c>
    </row>
    <row r="446" spans="1:6">
      <c r="A446">
        <f>IF(COUNTBLANK(B446:F446)&lt;&gt;COLUMNS(B446:F446),445,"")</f>
        <v>0</v>
      </c>
      <c r="C446" s="1">
        <f>IF(B446="", "", "human-skin")</f>
        <v>0</v>
      </c>
      <c r="E446" s="1">
        <f>IF(B446="", "", "human skin metagenome")</f>
        <v>0</v>
      </c>
      <c r="F446" s="1">
        <f>IF(B446="", "", "539655")</f>
        <v>0</v>
      </c>
    </row>
    <row r="447" spans="1:6">
      <c r="A447">
        <f>IF(COUNTBLANK(B447:F447)&lt;&gt;COLUMNS(B447:F447),446,"")</f>
        <v>0</v>
      </c>
      <c r="C447" s="1">
        <f>IF(B447="", "", "human-skin")</f>
        <v>0</v>
      </c>
      <c r="E447" s="1">
        <f>IF(B447="", "", "human skin metagenome")</f>
        <v>0</v>
      </c>
      <c r="F447" s="1">
        <f>IF(B447="", "", "539655")</f>
        <v>0</v>
      </c>
    </row>
    <row r="448" spans="1:6">
      <c r="A448">
        <f>IF(COUNTBLANK(B448:F448)&lt;&gt;COLUMNS(B448:F448),447,"")</f>
        <v>0</v>
      </c>
      <c r="C448" s="1">
        <f>IF(B448="", "", "human-skin")</f>
        <v>0</v>
      </c>
      <c r="E448" s="1">
        <f>IF(B448="", "", "human skin metagenome")</f>
        <v>0</v>
      </c>
      <c r="F448" s="1">
        <f>IF(B448="", "", "539655")</f>
        <v>0</v>
      </c>
    </row>
    <row r="449" spans="1:6">
      <c r="A449">
        <f>IF(COUNTBLANK(B449:F449)&lt;&gt;COLUMNS(B449:F449),448,"")</f>
        <v>0</v>
      </c>
      <c r="C449" s="1">
        <f>IF(B449="", "", "human-skin")</f>
        <v>0</v>
      </c>
      <c r="E449" s="1">
        <f>IF(B449="", "", "human skin metagenome")</f>
        <v>0</v>
      </c>
      <c r="F449" s="1">
        <f>IF(B449="", "", "539655")</f>
        <v>0</v>
      </c>
    </row>
    <row r="450" spans="1:6">
      <c r="A450">
        <f>IF(COUNTBLANK(B450:F450)&lt;&gt;COLUMNS(B450:F450),449,"")</f>
        <v>0</v>
      </c>
      <c r="C450" s="1">
        <f>IF(B450="", "", "human-skin")</f>
        <v>0</v>
      </c>
      <c r="E450" s="1">
        <f>IF(B450="", "", "human skin metagenome")</f>
        <v>0</v>
      </c>
      <c r="F450" s="1">
        <f>IF(B450="", "", "539655")</f>
        <v>0</v>
      </c>
    </row>
    <row r="451" spans="1:6">
      <c r="A451">
        <f>IF(COUNTBLANK(B451:F451)&lt;&gt;COLUMNS(B451:F451),450,"")</f>
        <v>0</v>
      </c>
      <c r="C451" s="1">
        <f>IF(B451="", "", "human-skin")</f>
        <v>0</v>
      </c>
      <c r="E451" s="1">
        <f>IF(B451="", "", "human skin metagenome")</f>
        <v>0</v>
      </c>
      <c r="F451" s="1">
        <f>IF(B451="", "", "539655")</f>
        <v>0</v>
      </c>
    </row>
    <row r="452" spans="1:6">
      <c r="A452">
        <f>IF(COUNTBLANK(B452:F452)&lt;&gt;COLUMNS(B452:F452),451,"")</f>
        <v>0</v>
      </c>
      <c r="C452" s="1">
        <f>IF(B452="", "", "human-skin")</f>
        <v>0</v>
      </c>
      <c r="E452" s="1">
        <f>IF(B452="", "", "human skin metagenome")</f>
        <v>0</v>
      </c>
      <c r="F452" s="1">
        <f>IF(B452="", "", "539655")</f>
        <v>0</v>
      </c>
    </row>
    <row r="453" spans="1:6">
      <c r="A453">
        <f>IF(COUNTBLANK(B453:F453)&lt;&gt;COLUMNS(B453:F453),452,"")</f>
        <v>0</v>
      </c>
      <c r="C453" s="1">
        <f>IF(B453="", "", "human-skin")</f>
        <v>0</v>
      </c>
      <c r="E453" s="1">
        <f>IF(B453="", "", "human skin metagenome")</f>
        <v>0</v>
      </c>
      <c r="F453" s="1">
        <f>IF(B453="", "", "539655")</f>
        <v>0</v>
      </c>
    </row>
    <row r="454" spans="1:6">
      <c r="A454">
        <f>IF(COUNTBLANK(B454:F454)&lt;&gt;COLUMNS(B454:F454),453,"")</f>
        <v>0</v>
      </c>
      <c r="C454" s="1">
        <f>IF(B454="", "", "human-skin")</f>
        <v>0</v>
      </c>
      <c r="E454" s="1">
        <f>IF(B454="", "", "human skin metagenome")</f>
        <v>0</v>
      </c>
      <c r="F454" s="1">
        <f>IF(B454="", "", "539655")</f>
        <v>0</v>
      </c>
    </row>
    <row r="455" spans="1:6">
      <c r="A455">
        <f>IF(COUNTBLANK(B455:F455)&lt;&gt;COLUMNS(B455:F455),454,"")</f>
        <v>0</v>
      </c>
      <c r="C455" s="1">
        <f>IF(B455="", "", "human-skin")</f>
        <v>0</v>
      </c>
      <c r="E455" s="1">
        <f>IF(B455="", "", "human skin metagenome")</f>
        <v>0</v>
      </c>
      <c r="F455" s="1">
        <f>IF(B455="", "", "539655")</f>
        <v>0</v>
      </c>
    </row>
    <row r="456" spans="1:6">
      <c r="A456">
        <f>IF(COUNTBLANK(B456:F456)&lt;&gt;COLUMNS(B456:F456),455,"")</f>
        <v>0</v>
      </c>
      <c r="C456" s="1">
        <f>IF(B456="", "", "human-skin")</f>
        <v>0</v>
      </c>
      <c r="E456" s="1">
        <f>IF(B456="", "", "human skin metagenome")</f>
        <v>0</v>
      </c>
      <c r="F456" s="1">
        <f>IF(B456="", "", "539655")</f>
        <v>0</v>
      </c>
    </row>
    <row r="457" spans="1:6">
      <c r="A457">
        <f>IF(COUNTBLANK(B457:F457)&lt;&gt;COLUMNS(B457:F457),456,"")</f>
        <v>0</v>
      </c>
      <c r="C457" s="1">
        <f>IF(B457="", "", "human-skin")</f>
        <v>0</v>
      </c>
      <c r="E457" s="1">
        <f>IF(B457="", "", "human skin metagenome")</f>
        <v>0</v>
      </c>
      <c r="F457" s="1">
        <f>IF(B457="", "", "539655")</f>
        <v>0</v>
      </c>
    </row>
    <row r="458" spans="1:6">
      <c r="A458">
        <f>IF(COUNTBLANK(B458:F458)&lt;&gt;COLUMNS(B458:F458),457,"")</f>
        <v>0</v>
      </c>
      <c r="C458" s="1">
        <f>IF(B458="", "", "human-skin")</f>
        <v>0</v>
      </c>
      <c r="E458" s="1">
        <f>IF(B458="", "", "human skin metagenome")</f>
        <v>0</v>
      </c>
      <c r="F458" s="1">
        <f>IF(B458="", "", "539655")</f>
        <v>0</v>
      </c>
    </row>
    <row r="459" spans="1:6">
      <c r="A459">
        <f>IF(COUNTBLANK(B459:F459)&lt;&gt;COLUMNS(B459:F459),458,"")</f>
        <v>0</v>
      </c>
      <c r="C459" s="1">
        <f>IF(B459="", "", "human-skin")</f>
        <v>0</v>
      </c>
      <c r="E459" s="1">
        <f>IF(B459="", "", "human skin metagenome")</f>
        <v>0</v>
      </c>
      <c r="F459" s="1">
        <f>IF(B459="", "", "539655")</f>
        <v>0</v>
      </c>
    </row>
    <row r="460" spans="1:6">
      <c r="A460">
        <f>IF(COUNTBLANK(B460:F460)&lt;&gt;COLUMNS(B460:F460),459,"")</f>
        <v>0</v>
      </c>
      <c r="C460" s="1">
        <f>IF(B460="", "", "human-skin")</f>
        <v>0</v>
      </c>
      <c r="E460" s="1">
        <f>IF(B460="", "", "human skin metagenome")</f>
        <v>0</v>
      </c>
      <c r="F460" s="1">
        <f>IF(B460="", "", "539655")</f>
        <v>0</v>
      </c>
    </row>
    <row r="461" spans="1:6">
      <c r="A461">
        <f>IF(COUNTBLANK(B461:F461)&lt;&gt;COLUMNS(B461:F461),460,"")</f>
        <v>0</v>
      </c>
      <c r="C461" s="1">
        <f>IF(B461="", "", "human-skin")</f>
        <v>0</v>
      </c>
      <c r="E461" s="1">
        <f>IF(B461="", "", "human skin metagenome")</f>
        <v>0</v>
      </c>
      <c r="F461" s="1">
        <f>IF(B461="", "", "539655")</f>
        <v>0</v>
      </c>
    </row>
    <row r="462" spans="1:6">
      <c r="A462">
        <f>IF(COUNTBLANK(B462:F462)&lt;&gt;COLUMNS(B462:F462),461,"")</f>
        <v>0</v>
      </c>
      <c r="C462" s="1">
        <f>IF(B462="", "", "human-skin")</f>
        <v>0</v>
      </c>
      <c r="E462" s="1">
        <f>IF(B462="", "", "human skin metagenome")</f>
        <v>0</v>
      </c>
      <c r="F462" s="1">
        <f>IF(B462="", "", "539655")</f>
        <v>0</v>
      </c>
    </row>
    <row r="463" spans="1:6">
      <c r="A463">
        <f>IF(COUNTBLANK(B463:F463)&lt;&gt;COLUMNS(B463:F463),462,"")</f>
        <v>0</v>
      </c>
      <c r="C463" s="1">
        <f>IF(B463="", "", "human-skin")</f>
        <v>0</v>
      </c>
      <c r="E463" s="1">
        <f>IF(B463="", "", "human skin metagenome")</f>
        <v>0</v>
      </c>
      <c r="F463" s="1">
        <f>IF(B463="", "", "539655")</f>
        <v>0</v>
      </c>
    </row>
    <row r="464" spans="1:6">
      <c r="A464">
        <f>IF(COUNTBLANK(B464:F464)&lt;&gt;COLUMNS(B464:F464),463,"")</f>
        <v>0</v>
      </c>
      <c r="C464" s="1">
        <f>IF(B464="", "", "human-skin")</f>
        <v>0</v>
      </c>
      <c r="E464" s="1">
        <f>IF(B464="", "", "human skin metagenome")</f>
        <v>0</v>
      </c>
      <c r="F464" s="1">
        <f>IF(B464="", "", "539655")</f>
        <v>0</v>
      </c>
    </row>
    <row r="465" spans="1:6">
      <c r="A465">
        <f>IF(COUNTBLANK(B465:F465)&lt;&gt;COLUMNS(B465:F465),464,"")</f>
        <v>0</v>
      </c>
      <c r="C465" s="1">
        <f>IF(B465="", "", "human-skin")</f>
        <v>0</v>
      </c>
      <c r="E465" s="1">
        <f>IF(B465="", "", "human skin metagenome")</f>
        <v>0</v>
      </c>
      <c r="F465" s="1">
        <f>IF(B465="", "", "539655")</f>
        <v>0</v>
      </c>
    </row>
    <row r="466" spans="1:6">
      <c r="A466">
        <f>IF(COUNTBLANK(B466:F466)&lt;&gt;COLUMNS(B466:F466),465,"")</f>
        <v>0</v>
      </c>
      <c r="C466" s="1">
        <f>IF(B466="", "", "human-skin")</f>
        <v>0</v>
      </c>
      <c r="E466" s="1">
        <f>IF(B466="", "", "human skin metagenome")</f>
        <v>0</v>
      </c>
      <c r="F466" s="1">
        <f>IF(B466="", "", "539655")</f>
        <v>0</v>
      </c>
    </row>
    <row r="467" spans="1:6">
      <c r="A467">
        <f>IF(COUNTBLANK(B467:F467)&lt;&gt;COLUMNS(B467:F467),466,"")</f>
        <v>0</v>
      </c>
      <c r="C467" s="1">
        <f>IF(B467="", "", "human-skin")</f>
        <v>0</v>
      </c>
      <c r="E467" s="1">
        <f>IF(B467="", "", "human skin metagenome")</f>
        <v>0</v>
      </c>
      <c r="F467" s="1">
        <f>IF(B467="", "", "539655")</f>
        <v>0</v>
      </c>
    </row>
    <row r="468" spans="1:6">
      <c r="A468">
        <f>IF(COUNTBLANK(B468:F468)&lt;&gt;COLUMNS(B468:F468),467,"")</f>
        <v>0</v>
      </c>
      <c r="C468" s="1">
        <f>IF(B468="", "", "human-skin")</f>
        <v>0</v>
      </c>
      <c r="E468" s="1">
        <f>IF(B468="", "", "human skin metagenome")</f>
        <v>0</v>
      </c>
      <c r="F468" s="1">
        <f>IF(B468="", "", "539655")</f>
        <v>0</v>
      </c>
    </row>
    <row r="469" spans="1:6">
      <c r="A469">
        <f>IF(COUNTBLANK(B469:F469)&lt;&gt;COLUMNS(B469:F469),468,"")</f>
        <v>0</v>
      </c>
      <c r="C469" s="1">
        <f>IF(B469="", "", "human-skin")</f>
        <v>0</v>
      </c>
      <c r="E469" s="1">
        <f>IF(B469="", "", "human skin metagenome")</f>
        <v>0</v>
      </c>
      <c r="F469" s="1">
        <f>IF(B469="", "", "539655")</f>
        <v>0</v>
      </c>
    </row>
    <row r="470" spans="1:6">
      <c r="A470">
        <f>IF(COUNTBLANK(B470:F470)&lt;&gt;COLUMNS(B470:F470),469,"")</f>
        <v>0</v>
      </c>
      <c r="C470" s="1">
        <f>IF(B470="", "", "human-skin")</f>
        <v>0</v>
      </c>
      <c r="E470" s="1">
        <f>IF(B470="", "", "human skin metagenome")</f>
        <v>0</v>
      </c>
      <c r="F470" s="1">
        <f>IF(B470="", "", "539655")</f>
        <v>0</v>
      </c>
    </row>
    <row r="471" spans="1:6">
      <c r="A471">
        <f>IF(COUNTBLANK(B471:F471)&lt;&gt;COLUMNS(B471:F471),470,"")</f>
        <v>0</v>
      </c>
      <c r="C471" s="1">
        <f>IF(B471="", "", "human-skin")</f>
        <v>0</v>
      </c>
      <c r="E471" s="1">
        <f>IF(B471="", "", "human skin metagenome")</f>
        <v>0</v>
      </c>
      <c r="F471" s="1">
        <f>IF(B471="", "", "539655")</f>
        <v>0</v>
      </c>
    </row>
    <row r="472" spans="1:6">
      <c r="A472">
        <f>IF(COUNTBLANK(B472:F472)&lt;&gt;COLUMNS(B472:F472),471,"")</f>
        <v>0</v>
      </c>
      <c r="C472" s="1">
        <f>IF(B472="", "", "human-skin")</f>
        <v>0</v>
      </c>
      <c r="E472" s="1">
        <f>IF(B472="", "", "human skin metagenome")</f>
        <v>0</v>
      </c>
      <c r="F472" s="1">
        <f>IF(B472="", "", "539655")</f>
        <v>0</v>
      </c>
    </row>
    <row r="473" spans="1:6">
      <c r="A473">
        <f>IF(COUNTBLANK(B473:F473)&lt;&gt;COLUMNS(B473:F473),472,"")</f>
        <v>0</v>
      </c>
      <c r="C473" s="1">
        <f>IF(B473="", "", "human-skin")</f>
        <v>0</v>
      </c>
      <c r="E473" s="1">
        <f>IF(B473="", "", "human skin metagenome")</f>
        <v>0</v>
      </c>
      <c r="F473" s="1">
        <f>IF(B473="", "", "539655")</f>
        <v>0</v>
      </c>
    </row>
    <row r="474" spans="1:6">
      <c r="A474">
        <f>IF(COUNTBLANK(B474:F474)&lt;&gt;COLUMNS(B474:F474),473,"")</f>
        <v>0</v>
      </c>
      <c r="C474" s="1">
        <f>IF(B474="", "", "human-skin")</f>
        <v>0</v>
      </c>
      <c r="E474" s="1">
        <f>IF(B474="", "", "human skin metagenome")</f>
        <v>0</v>
      </c>
      <c r="F474" s="1">
        <f>IF(B474="", "", "539655")</f>
        <v>0</v>
      </c>
    </row>
    <row r="475" spans="1:6">
      <c r="A475">
        <f>IF(COUNTBLANK(B475:F475)&lt;&gt;COLUMNS(B475:F475),474,"")</f>
        <v>0</v>
      </c>
      <c r="C475" s="1">
        <f>IF(B475="", "", "human-skin")</f>
        <v>0</v>
      </c>
      <c r="E475" s="1">
        <f>IF(B475="", "", "human skin metagenome")</f>
        <v>0</v>
      </c>
      <c r="F475" s="1">
        <f>IF(B475="", "", "539655")</f>
        <v>0</v>
      </c>
    </row>
    <row r="476" spans="1:6">
      <c r="A476">
        <f>IF(COUNTBLANK(B476:F476)&lt;&gt;COLUMNS(B476:F476),475,"")</f>
        <v>0</v>
      </c>
      <c r="C476" s="1">
        <f>IF(B476="", "", "human-skin")</f>
        <v>0</v>
      </c>
      <c r="E476" s="1">
        <f>IF(B476="", "", "human skin metagenome")</f>
        <v>0</v>
      </c>
      <c r="F476" s="1">
        <f>IF(B476="", "", "539655")</f>
        <v>0</v>
      </c>
    </row>
    <row r="477" spans="1:6">
      <c r="A477">
        <f>IF(COUNTBLANK(B477:F477)&lt;&gt;COLUMNS(B477:F477),476,"")</f>
        <v>0</v>
      </c>
      <c r="C477" s="1">
        <f>IF(B477="", "", "human-skin")</f>
        <v>0</v>
      </c>
      <c r="E477" s="1">
        <f>IF(B477="", "", "human skin metagenome")</f>
        <v>0</v>
      </c>
      <c r="F477" s="1">
        <f>IF(B477="", "", "539655")</f>
        <v>0</v>
      </c>
    </row>
    <row r="478" spans="1:6">
      <c r="A478">
        <f>IF(COUNTBLANK(B478:F478)&lt;&gt;COLUMNS(B478:F478),477,"")</f>
        <v>0</v>
      </c>
      <c r="C478" s="1">
        <f>IF(B478="", "", "human-skin")</f>
        <v>0</v>
      </c>
      <c r="E478" s="1">
        <f>IF(B478="", "", "human skin metagenome")</f>
        <v>0</v>
      </c>
      <c r="F478" s="1">
        <f>IF(B478="", "", "539655")</f>
        <v>0</v>
      </c>
    </row>
    <row r="479" spans="1:6">
      <c r="A479">
        <f>IF(COUNTBLANK(B479:F479)&lt;&gt;COLUMNS(B479:F479),478,"")</f>
        <v>0</v>
      </c>
      <c r="C479" s="1">
        <f>IF(B479="", "", "human-skin")</f>
        <v>0</v>
      </c>
      <c r="E479" s="1">
        <f>IF(B479="", "", "human skin metagenome")</f>
        <v>0</v>
      </c>
      <c r="F479" s="1">
        <f>IF(B479="", "", "539655")</f>
        <v>0</v>
      </c>
    </row>
    <row r="480" spans="1:6">
      <c r="A480">
        <f>IF(COUNTBLANK(B480:F480)&lt;&gt;COLUMNS(B480:F480),479,"")</f>
        <v>0</v>
      </c>
      <c r="C480" s="1">
        <f>IF(B480="", "", "human-skin")</f>
        <v>0</v>
      </c>
      <c r="E480" s="1">
        <f>IF(B480="", "", "human skin metagenome")</f>
        <v>0</v>
      </c>
      <c r="F480" s="1">
        <f>IF(B480="", "", "539655")</f>
        <v>0</v>
      </c>
    </row>
    <row r="481" spans="1:6">
      <c r="A481">
        <f>IF(COUNTBLANK(B481:F481)&lt;&gt;COLUMNS(B481:F481),480,"")</f>
        <v>0</v>
      </c>
      <c r="C481" s="1">
        <f>IF(B481="", "", "human-skin")</f>
        <v>0</v>
      </c>
      <c r="E481" s="1">
        <f>IF(B481="", "", "human skin metagenome")</f>
        <v>0</v>
      </c>
      <c r="F481" s="1">
        <f>IF(B481="", "", "539655")</f>
        <v>0</v>
      </c>
    </row>
    <row r="482" spans="1:6">
      <c r="A482">
        <f>IF(COUNTBLANK(B482:F482)&lt;&gt;COLUMNS(B482:F482),481,"")</f>
        <v>0</v>
      </c>
      <c r="C482" s="1">
        <f>IF(B482="", "", "human-skin")</f>
        <v>0</v>
      </c>
      <c r="E482" s="1">
        <f>IF(B482="", "", "human skin metagenome")</f>
        <v>0</v>
      </c>
      <c r="F482" s="1">
        <f>IF(B482="", "", "539655")</f>
        <v>0</v>
      </c>
    </row>
    <row r="483" spans="1:6">
      <c r="A483">
        <f>IF(COUNTBLANK(B483:F483)&lt;&gt;COLUMNS(B483:F483),482,"")</f>
        <v>0</v>
      </c>
      <c r="C483" s="1">
        <f>IF(B483="", "", "human-skin")</f>
        <v>0</v>
      </c>
      <c r="E483" s="1">
        <f>IF(B483="", "", "human skin metagenome")</f>
        <v>0</v>
      </c>
      <c r="F483" s="1">
        <f>IF(B483="", "", "539655")</f>
        <v>0</v>
      </c>
    </row>
    <row r="484" spans="1:6">
      <c r="A484">
        <f>IF(COUNTBLANK(B484:F484)&lt;&gt;COLUMNS(B484:F484),483,"")</f>
        <v>0</v>
      </c>
      <c r="C484" s="1">
        <f>IF(B484="", "", "human-skin")</f>
        <v>0</v>
      </c>
      <c r="E484" s="1">
        <f>IF(B484="", "", "human skin metagenome")</f>
        <v>0</v>
      </c>
      <c r="F484" s="1">
        <f>IF(B484="", "", "539655")</f>
        <v>0</v>
      </c>
    </row>
    <row r="485" spans="1:6">
      <c r="A485">
        <f>IF(COUNTBLANK(B485:F485)&lt;&gt;COLUMNS(B485:F485),484,"")</f>
        <v>0</v>
      </c>
      <c r="C485" s="1">
        <f>IF(B485="", "", "human-skin")</f>
        <v>0</v>
      </c>
      <c r="E485" s="1">
        <f>IF(B485="", "", "human skin metagenome")</f>
        <v>0</v>
      </c>
      <c r="F485" s="1">
        <f>IF(B485="", "", "539655")</f>
        <v>0</v>
      </c>
    </row>
    <row r="486" spans="1:6">
      <c r="A486">
        <f>IF(COUNTBLANK(B486:F486)&lt;&gt;COLUMNS(B486:F486),485,"")</f>
        <v>0</v>
      </c>
      <c r="C486" s="1">
        <f>IF(B486="", "", "human-skin")</f>
        <v>0</v>
      </c>
      <c r="E486" s="1">
        <f>IF(B486="", "", "human skin metagenome")</f>
        <v>0</v>
      </c>
      <c r="F486" s="1">
        <f>IF(B486="", "", "539655")</f>
        <v>0</v>
      </c>
    </row>
    <row r="487" spans="1:6">
      <c r="A487">
        <f>IF(COUNTBLANK(B487:F487)&lt;&gt;COLUMNS(B487:F487),486,"")</f>
        <v>0</v>
      </c>
      <c r="C487" s="1">
        <f>IF(B487="", "", "human-skin")</f>
        <v>0</v>
      </c>
      <c r="E487" s="1">
        <f>IF(B487="", "", "human skin metagenome")</f>
        <v>0</v>
      </c>
      <c r="F487" s="1">
        <f>IF(B487="", "", "539655")</f>
        <v>0</v>
      </c>
    </row>
    <row r="488" spans="1:6">
      <c r="A488">
        <f>IF(COUNTBLANK(B488:F488)&lt;&gt;COLUMNS(B488:F488),487,"")</f>
        <v>0</v>
      </c>
      <c r="C488" s="1">
        <f>IF(B488="", "", "human-skin")</f>
        <v>0</v>
      </c>
      <c r="E488" s="1">
        <f>IF(B488="", "", "human skin metagenome")</f>
        <v>0</v>
      </c>
      <c r="F488" s="1">
        <f>IF(B488="", "", "539655")</f>
        <v>0</v>
      </c>
    </row>
    <row r="489" spans="1:6">
      <c r="A489">
        <f>IF(COUNTBLANK(B489:F489)&lt;&gt;COLUMNS(B489:F489),488,"")</f>
        <v>0</v>
      </c>
      <c r="C489" s="1">
        <f>IF(B489="", "", "human-skin")</f>
        <v>0</v>
      </c>
      <c r="E489" s="1">
        <f>IF(B489="", "", "human skin metagenome")</f>
        <v>0</v>
      </c>
      <c r="F489" s="1">
        <f>IF(B489="", "", "539655")</f>
        <v>0</v>
      </c>
    </row>
    <row r="490" spans="1:6">
      <c r="A490">
        <f>IF(COUNTBLANK(B490:F490)&lt;&gt;COLUMNS(B490:F490),489,"")</f>
        <v>0</v>
      </c>
      <c r="C490" s="1">
        <f>IF(B490="", "", "human-skin")</f>
        <v>0</v>
      </c>
      <c r="E490" s="1">
        <f>IF(B490="", "", "human skin metagenome")</f>
        <v>0</v>
      </c>
      <c r="F490" s="1">
        <f>IF(B490="", "", "539655")</f>
        <v>0</v>
      </c>
    </row>
    <row r="491" spans="1:6">
      <c r="A491">
        <f>IF(COUNTBLANK(B491:F491)&lt;&gt;COLUMNS(B491:F491),490,"")</f>
        <v>0</v>
      </c>
      <c r="C491" s="1">
        <f>IF(B491="", "", "human-skin")</f>
        <v>0</v>
      </c>
      <c r="E491" s="1">
        <f>IF(B491="", "", "human skin metagenome")</f>
        <v>0</v>
      </c>
      <c r="F491" s="1">
        <f>IF(B491="", "", "539655")</f>
        <v>0</v>
      </c>
    </row>
    <row r="492" spans="1:6">
      <c r="A492">
        <f>IF(COUNTBLANK(B492:F492)&lt;&gt;COLUMNS(B492:F492),491,"")</f>
        <v>0</v>
      </c>
      <c r="C492" s="1">
        <f>IF(B492="", "", "human-skin")</f>
        <v>0</v>
      </c>
      <c r="E492" s="1">
        <f>IF(B492="", "", "human skin metagenome")</f>
        <v>0</v>
      </c>
      <c r="F492" s="1">
        <f>IF(B492="", "", "539655")</f>
        <v>0</v>
      </c>
    </row>
    <row r="493" spans="1:6">
      <c r="A493">
        <f>IF(COUNTBLANK(B493:F493)&lt;&gt;COLUMNS(B493:F493),492,"")</f>
        <v>0</v>
      </c>
      <c r="C493" s="1">
        <f>IF(B493="", "", "human-skin")</f>
        <v>0</v>
      </c>
      <c r="E493" s="1">
        <f>IF(B493="", "", "human skin metagenome")</f>
        <v>0</v>
      </c>
      <c r="F493" s="1">
        <f>IF(B493="", "", "539655")</f>
        <v>0</v>
      </c>
    </row>
    <row r="494" spans="1:6">
      <c r="A494">
        <f>IF(COUNTBLANK(B494:F494)&lt;&gt;COLUMNS(B494:F494),493,"")</f>
        <v>0</v>
      </c>
      <c r="C494" s="1">
        <f>IF(B494="", "", "human-skin")</f>
        <v>0</v>
      </c>
      <c r="E494" s="1">
        <f>IF(B494="", "", "human skin metagenome")</f>
        <v>0</v>
      </c>
      <c r="F494" s="1">
        <f>IF(B494="", "", "539655")</f>
        <v>0</v>
      </c>
    </row>
    <row r="495" spans="1:6">
      <c r="A495">
        <f>IF(COUNTBLANK(B495:F495)&lt;&gt;COLUMNS(B495:F495),494,"")</f>
        <v>0</v>
      </c>
      <c r="C495" s="1">
        <f>IF(B495="", "", "human-skin")</f>
        <v>0</v>
      </c>
      <c r="E495" s="1">
        <f>IF(B495="", "", "human skin metagenome")</f>
        <v>0</v>
      </c>
      <c r="F495" s="1">
        <f>IF(B495="", "", "539655")</f>
        <v>0</v>
      </c>
    </row>
    <row r="496" spans="1:6">
      <c r="A496">
        <f>IF(COUNTBLANK(B496:F496)&lt;&gt;COLUMNS(B496:F496),495,"")</f>
        <v>0</v>
      </c>
      <c r="C496" s="1">
        <f>IF(B496="", "", "human-skin")</f>
        <v>0</v>
      </c>
      <c r="E496" s="1">
        <f>IF(B496="", "", "human skin metagenome")</f>
        <v>0</v>
      </c>
      <c r="F496" s="1">
        <f>IF(B496="", "", "539655")</f>
        <v>0</v>
      </c>
    </row>
    <row r="497" spans="1:6">
      <c r="A497">
        <f>IF(COUNTBLANK(B497:F497)&lt;&gt;COLUMNS(B497:F497),496,"")</f>
        <v>0</v>
      </c>
      <c r="C497" s="1">
        <f>IF(B497="", "", "human-skin")</f>
        <v>0</v>
      </c>
      <c r="E497" s="1">
        <f>IF(B497="", "", "human skin metagenome")</f>
        <v>0</v>
      </c>
      <c r="F497" s="1">
        <f>IF(B497="", "", "539655")</f>
        <v>0</v>
      </c>
    </row>
    <row r="498" spans="1:6">
      <c r="A498">
        <f>IF(COUNTBLANK(B498:F498)&lt;&gt;COLUMNS(B498:F498),497,"")</f>
        <v>0</v>
      </c>
      <c r="C498" s="1">
        <f>IF(B498="", "", "human-skin")</f>
        <v>0</v>
      </c>
      <c r="E498" s="1">
        <f>IF(B498="", "", "human skin metagenome")</f>
        <v>0</v>
      </c>
      <c r="F498" s="1">
        <f>IF(B498="", "", "539655")</f>
        <v>0</v>
      </c>
    </row>
    <row r="499" spans="1:6">
      <c r="A499">
        <f>IF(COUNTBLANK(B499:F499)&lt;&gt;COLUMNS(B499:F499),498,"")</f>
        <v>0</v>
      </c>
      <c r="C499" s="1">
        <f>IF(B499="", "", "human-skin")</f>
        <v>0</v>
      </c>
      <c r="E499" s="1">
        <f>IF(B499="", "", "human skin metagenome")</f>
        <v>0</v>
      </c>
      <c r="F499" s="1">
        <f>IF(B499="", "", "539655")</f>
        <v>0</v>
      </c>
    </row>
    <row r="500" spans="1:6">
      <c r="A500">
        <f>IF(COUNTBLANK(B500:F500)&lt;&gt;COLUMNS(B500:F500),499,"")</f>
        <v>0</v>
      </c>
      <c r="C500" s="1">
        <f>IF(B500="", "", "human-skin")</f>
        <v>0</v>
      </c>
      <c r="E500" s="1">
        <f>IF(B500="", "", "human skin metagenome")</f>
        <v>0</v>
      </c>
      <c r="F500" s="1">
        <f>IF(B500="", "", "539655")</f>
        <v>0</v>
      </c>
    </row>
    <row r="501" spans="1:6">
      <c r="A501">
        <f>IF(COUNTBLANK(B501:F501)&lt;&gt;COLUMNS(B501:F501),500,"")</f>
        <v>0</v>
      </c>
      <c r="C501" s="1">
        <f>IF(B501="", "", "human-skin")</f>
        <v>0</v>
      </c>
      <c r="E501" s="1">
        <f>IF(B501="", "", "human skin metagenome")</f>
        <v>0</v>
      </c>
      <c r="F501" s="1">
        <f>IF(B501="", "", "539655")</f>
        <v>0</v>
      </c>
    </row>
    <row r="502" spans="1:6">
      <c r="A502">
        <f>IF(COUNTBLANK(B502:F502)&lt;&gt;COLUMNS(B502:F502),501,"")</f>
        <v>0</v>
      </c>
      <c r="C502" s="1">
        <f>IF(B502="", "", "human-skin")</f>
        <v>0</v>
      </c>
      <c r="E502" s="1">
        <f>IF(B502="", "", "human skin metagenome")</f>
        <v>0</v>
      </c>
      <c r="F502" s="1">
        <f>IF(B502="", "", "539655")</f>
        <v>0</v>
      </c>
    </row>
    <row r="503" spans="1:6">
      <c r="A503">
        <f>IF(COUNTBLANK(B503:F503)&lt;&gt;COLUMNS(B503:F503),502,"")</f>
        <v>0</v>
      </c>
      <c r="C503" s="1">
        <f>IF(B503="", "", "human-skin")</f>
        <v>0</v>
      </c>
      <c r="E503" s="1">
        <f>IF(B503="", "", "human skin metagenome")</f>
        <v>0</v>
      </c>
      <c r="F503" s="1">
        <f>IF(B503="", "", "539655")</f>
        <v>0</v>
      </c>
    </row>
    <row r="504" spans="1:6">
      <c r="A504">
        <f>IF(COUNTBLANK(B504:F504)&lt;&gt;COLUMNS(B504:F504),503,"")</f>
        <v>0</v>
      </c>
      <c r="C504" s="1">
        <f>IF(B504="", "", "human-skin")</f>
        <v>0</v>
      </c>
      <c r="E504" s="1">
        <f>IF(B504="", "", "human skin metagenome")</f>
        <v>0</v>
      </c>
      <c r="F504" s="1">
        <f>IF(B504="", "", "539655")</f>
        <v>0</v>
      </c>
    </row>
    <row r="505" spans="1:6">
      <c r="A505">
        <f>IF(COUNTBLANK(B505:F505)&lt;&gt;COLUMNS(B505:F505),504,"")</f>
        <v>0</v>
      </c>
      <c r="C505" s="1">
        <f>IF(B505="", "", "human-skin")</f>
        <v>0</v>
      </c>
      <c r="E505" s="1">
        <f>IF(B505="", "", "human skin metagenome")</f>
        <v>0</v>
      </c>
      <c r="F505" s="1">
        <f>IF(B505="", "", "539655")</f>
        <v>0</v>
      </c>
    </row>
    <row r="506" spans="1:6">
      <c r="A506">
        <f>IF(COUNTBLANK(B506:F506)&lt;&gt;COLUMNS(B506:F506),505,"")</f>
        <v>0</v>
      </c>
      <c r="C506" s="1">
        <f>IF(B506="", "", "human-skin")</f>
        <v>0</v>
      </c>
      <c r="E506" s="1">
        <f>IF(B506="", "", "human skin metagenome")</f>
        <v>0</v>
      </c>
      <c r="F506" s="1">
        <f>IF(B506="", "", "539655")</f>
        <v>0</v>
      </c>
    </row>
    <row r="507" spans="1:6">
      <c r="A507">
        <f>IF(COUNTBLANK(B507:F507)&lt;&gt;COLUMNS(B507:F507),506,"")</f>
        <v>0</v>
      </c>
      <c r="C507" s="1">
        <f>IF(B507="", "", "human-skin")</f>
        <v>0</v>
      </c>
      <c r="E507" s="1">
        <f>IF(B507="", "", "human skin metagenome")</f>
        <v>0</v>
      </c>
      <c r="F507" s="1">
        <f>IF(B507="", "", "539655")</f>
        <v>0</v>
      </c>
    </row>
    <row r="508" spans="1:6">
      <c r="A508">
        <f>IF(COUNTBLANK(B508:F508)&lt;&gt;COLUMNS(B508:F508),507,"")</f>
        <v>0</v>
      </c>
      <c r="C508" s="1">
        <f>IF(B508="", "", "human-skin")</f>
        <v>0</v>
      </c>
      <c r="E508" s="1">
        <f>IF(B508="", "", "human skin metagenome")</f>
        <v>0</v>
      </c>
      <c r="F508" s="1">
        <f>IF(B508="", "", "539655")</f>
        <v>0</v>
      </c>
    </row>
    <row r="509" spans="1:6">
      <c r="A509">
        <f>IF(COUNTBLANK(B509:F509)&lt;&gt;COLUMNS(B509:F509),508,"")</f>
        <v>0</v>
      </c>
      <c r="C509" s="1">
        <f>IF(B509="", "", "human-skin")</f>
        <v>0</v>
      </c>
      <c r="E509" s="1">
        <f>IF(B509="", "", "human skin metagenome")</f>
        <v>0</v>
      </c>
      <c r="F509" s="1">
        <f>IF(B509="", "", "539655")</f>
        <v>0</v>
      </c>
    </row>
    <row r="510" spans="1:6">
      <c r="A510">
        <f>IF(COUNTBLANK(B510:F510)&lt;&gt;COLUMNS(B510:F510),509,"")</f>
        <v>0</v>
      </c>
      <c r="C510" s="1">
        <f>IF(B510="", "", "human-skin")</f>
        <v>0</v>
      </c>
      <c r="E510" s="1">
        <f>IF(B510="", "", "human skin metagenome")</f>
        <v>0</v>
      </c>
      <c r="F510" s="1">
        <f>IF(B510="", "", "539655")</f>
        <v>0</v>
      </c>
    </row>
    <row r="511" spans="1:6">
      <c r="A511">
        <f>IF(COUNTBLANK(B511:F511)&lt;&gt;COLUMNS(B511:F511),510,"")</f>
        <v>0</v>
      </c>
      <c r="C511" s="1">
        <f>IF(B511="", "", "human-skin")</f>
        <v>0</v>
      </c>
      <c r="E511" s="1">
        <f>IF(B511="", "", "human skin metagenome")</f>
        <v>0</v>
      </c>
      <c r="F511" s="1">
        <f>IF(B511="", "", "539655")</f>
        <v>0</v>
      </c>
    </row>
    <row r="512" spans="1:6">
      <c r="A512">
        <f>IF(COUNTBLANK(B512:F512)&lt;&gt;COLUMNS(B512:F512),511,"")</f>
        <v>0</v>
      </c>
      <c r="C512" s="1">
        <f>IF(B512="", "", "human-skin")</f>
        <v>0</v>
      </c>
      <c r="E512" s="1">
        <f>IF(B512="", "", "human skin metagenome")</f>
        <v>0</v>
      </c>
      <c r="F512" s="1">
        <f>IF(B512="", "", "539655")</f>
        <v>0</v>
      </c>
    </row>
    <row r="513" spans="1:6">
      <c r="A513">
        <f>IF(COUNTBLANK(B513:F513)&lt;&gt;COLUMNS(B513:F513),512,"")</f>
        <v>0</v>
      </c>
      <c r="C513" s="1">
        <f>IF(B513="", "", "human-skin")</f>
        <v>0</v>
      </c>
      <c r="E513" s="1">
        <f>IF(B513="", "", "human skin metagenome")</f>
        <v>0</v>
      </c>
      <c r="F513" s="1">
        <f>IF(B513="", "", "539655")</f>
        <v>0</v>
      </c>
    </row>
    <row r="514" spans="1:6">
      <c r="A514">
        <f>IF(COUNTBLANK(B514:F514)&lt;&gt;COLUMNS(B514:F514),513,"")</f>
        <v>0</v>
      </c>
      <c r="C514" s="1">
        <f>IF(B514="", "", "human-skin")</f>
        <v>0</v>
      </c>
      <c r="E514" s="1">
        <f>IF(B514="", "", "human skin metagenome")</f>
        <v>0</v>
      </c>
      <c r="F514" s="1">
        <f>IF(B514="", "", "539655")</f>
        <v>0</v>
      </c>
    </row>
    <row r="515" spans="1:6">
      <c r="A515">
        <f>IF(COUNTBLANK(B515:F515)&lt;&gt;COLUMNS(B515:F515),514,"")</f>
        <v>0</v>
      </c>
      <c r="C515" s="1">
        <f>IF(B515="", "", "human-skin")</f>
        <v>0</v>
      </c>
      <c r="E515" s="1">
        <f>IF(B515="", "", "human skin metagenome")</f>
        <v>0</v>
      </c>
      <c r="F515" s="1">
        <f>IF(B515="", "", "539655")</f>
        <v>0</v>
      </c>
    </row>
    <row r="516" spans="1:6">
      <c r="A516">
        <f>IF(COUNTBLANK(B516:F516)&lt;&gt;COLUMNS(B516:F516),515,"")</f>
        <v>0</v>
      </c>
      <c r="C516" s="1">
        <f>IF(B516="", "", "human-skin")</f>
        <v>0</v>
      </c>
      <c r="E516" s="1">
        <f>IF(B516="", "", "human skin metagenome")</f>
        <v>0</v>
      </c>
      <c r="F516" s="1">
        <f>IF(B516="", "", "539655")</f>
        <v>0</v>
      </c>
    </row>
    <row r="517" spans="1:6">
      <c r="A517">
        <f>IF(COUNTBLANK(B517:F517)&lt;&gt;COLUMNS(B517:F517),516,"")</f>
        <v>0</v>
      </c>
      <c r="C517" s="1">
        <f>IF(B517="", "", "human-skin")</f>
        <v>0</v>
      </c>
      <c r="E517" s="1">
        <f>IF(B517="", "", "human skin metagenome")</f>
        <v>0</v>
      </c>
      <c r="F517" s="1">
        <f>IF(B517="", "", "539655")</f>
        <v>0</v>
      </c>
    </row>
    <row r="518" spans="1:6">
      <c r="A518">
        <f>IF(COUNTBLANK(B518:F518)&lt;&gt;COLUMNS(B518:F518),517,"")</f>
        <v>0</v>
      </c>
      <c r="C518" s="1">
        <f>IF(B518="", "", "human-skin")</f>
        <v>0</v>
      </c>
      <c r="E518" s="1">
        <f>IF(B518="", "", "human skin metagenome")</f>
        <v>0</v>
      </c>
      <c r="F518" s="1">
        <f>IF(B518="", "", "539655")</f>
        <v>0</v>
      </c>
    </row>
    <row r="519" spans="1:6">
      <c r="A519">
        <f>IF(COUNTBLANK(B519:F519)&lt;&gt;COLUMNS(B519:F519),518,"")</f>
        <v>0</v>
      </c>
      <c r="C519" s="1">
        <f>IF(B519="", "", "human-skin")</f>
        <v>0</v>
      </c>
      <c r="E519" s="1">
        <f>IF(B519="", "", "human skin metagenome")</f>
        <v>0</v>
      </c>
      <c r="F519" s="1">
        <f>IF(B519="", "", "539655")</f>
        <v>0</v>
      </c>
    </row>
    <row r="520" spans="1:6">
      <c r="A520">
        <f>IF(COUNTBLANK(B520:F520)&lt;&gt;COLUMNS(B520:F520),519,"")</f>
        <v>0</v>
      </c>
      <c r="C520" s="1">
        <f>IF(B520="", "", "human-skin")</f>
        <v>0</v>
      </c>
      <c r="E520" s="1">
        <f>IF(B520="", "", "human skin metagenome")</f>
        <v>0</v>
      </c>
      <c r="F520" s="1">
        <f>IF(B520="", "", "539655")</f>
        <v>0</v>
      </c>
    </row>
    <row r="521" spans="1:6">
      <c r="A521">
        <f>IF(COUNTBLANK(B521:F521)&lt;&gt;COLUMNS(B521:F521),520,"")</f>
        <v>0</v>
      </c>
      <c r="C521" s="1">
        <f>IF(B521="", "", "human-skin")</f>
        <v>0</v>
      </c>
      <c r="E521" s="1">
        <f>IF(B521="", "", "human skin metagenome")</f>
        <v>0</v>
      </c>
      <c r="F521" s="1">
        <f>IF(B521="", "", "539655")</f>
        <v>0</v>
      </c>
    </row>
    <row r="522" spans="1:6">
      <c r="A522">
        <f>IF(COUNTBLANK(B522:F522)&lt;&gt;COLUMNS(B522:F522),521,"")</f>
        <v>0</v>
      </c>
      <c r="C522" s="1">
        <f>IF(B522="", "", "human-skin")</f>
        <v>0</v>
      </c>
      <c r="E522" s="1">
        <f>IF(B522="", "", "human skin metagenome")</f>
        <v>0</v>
      </c>
      <c r="F522" s="1">
        <f>IF(B522="", "", "539655")</f>
        <v>0</v>
      </c>
    </row>
    <row r="523" spans="1:6">
      <c r="A523">
        <f>IF(COUNTBLANK(B523:F523)&lt;&gt;COLUMNS(B523:F523),522,"")</f>
        <v>0</v>
      </c>
      <c r="C523" s="1">
        <f>IF(B523="", "", "human-skin")</f>
        <v>0</v>
      </c>
      <c r="E523" s="1">
        <f>IF(B523="", "", "human skin metagenome")</f>
        <v>0</v>
      </c>
      <c r="F523" s="1">
        <f>IF(B523="", "", "539655")</f>
        <v>0</v>
      </c>
    </row>
    <row r="524" spans="1:6">
      <c r="A524">
        <f>IF(COUNTBLANK(B524:F524)&lt;&gt;COLUMNS(B524:F524),523,"")</f>
        <v>0</v>
      </c>
      <c r="C524" s="1">
        <f>IF(B524="", "", "human-skin")</f>
        <v>0</v>
      </c>
      <c r="E524" s="1">
        <f>IF(B524="", "", "human skin metagenome")</f>
        <v>0</v>
      </c>
      <c r="F524" s="1">
        <f>IF(B524="", "", "539655")</f>
        <v>0</v>
      </c>
    </row>
    <row r="525" spans="1:6">
      <c r="A525">
        <f>IF(COUNTBLANK(B525:F525)&lt;&gt;COLUMNS(B525:F525),524,"")</f>
        <v>0</v>
      </c>
      <c r="C525" s="1">
        <f>IF(B525="", "", "human-skin")</f>
        <v>0</v>
      </c>
      <c r="E525" s="1">
        <f>IF(B525="", "", "human skin metagenome")</f>
        <v>0</v>
      </c>
      <c r="F525" s="1">
        <f>IF(B525="", "", "539655")</f>
        <v>0</v>
      </c>
    </row>
    <row r="526" spans="1:6">
      <c r="A526">
        <f>IF(COUNTBLANK(B526:F526)&lt;&gt;COLUMNS(B526:F526),525,"")</f>
        <v>0</v>
      </c>
      <c r="C526" s="1">
        <f>IF(B526="", "", "human-skin")</f>
        <v>0</v>
      </c>
      <c r="E526" s="1">
        <f>IF(B526="", "", "human skin metagenome")</f>
        <v>0</v>
      </c>
      <c r="F526" s="1">
        <f>IF(B526="", "", "539655")</f>
        <v>0</v>
      </c>
    </row>
    <row r="527" spans="1:6">
      <c r="A527">
        <f>IF(COUNTBLANK(B527:F527)&lt;&gt;COLUMNS(B527:F527),526,"")</f>
        <v>0</v>
      </c>
      <c r="C527" s="1">
        <f>IF(B527="", "", "human-skin")</f>
        <v>0</v>
      </c>
      <c r="E527" s="1">
        <f>IF(B527="", "", "human skin metagenome")</f>
        <v>0</v>
      </c>
      <c r="F527" s="1">
        <f>IF(B527="", "", "539655")</f>
        <v>0</v>
      </c>
    </row>
    <row r="528" spans="1:6">
      <c r="A528">
        <f>IF(COUNTBLANK(B528:F528)&lt;&gt;COLUMNS(B528:F528),527,"")</f>
        <v>0</v>
      </c>
      <c r="C528" s="1">
        <f>IF(B528="", "", "human-skin")</f>
        <v>0</v>
      </c>
      <c r="E528" s="1">
        <f>IF(B528="", "", "human skin metagenome")</f>
        <v>0</v>
      </c>
      <c r="F528" s="1">
        <f>IF(B528="", "", "539655")</f>
        <v>0</v>
      </c>
    </row>
    <row r="529" spans="1:6">
      <c r="A529">
        <f>IF(COUNTBLANK(B529:F529)&lt;&gt;COLUMNS(B529:F529),528,"")</f>
        <v>0</v>
      </c>
      <c r="C529" s="1">
        <f>IF(B529="", "", "human-skin")</f>
        <v>0</v>
      </c>
      <c r="E529" s="1">
        <f>IF(B529="", "", "human skin metagenome")</f>
        <v>0</v>
      </c>
      <c r="F529" s="1">
        <f>IF(B529="", "", "539655")</f>
        <v>0</v>
      </c>
    </row>
    <row r="530" spans="1:6">
      <c r="A530">
        <f>IF(COUNTBLANK(B530:F530)&lt;&gt;COLUMNS(B530:F530),529,"")</f>
        <v>0</v>
      </c>
      <c r="C530" s="1">
        <f>IF(B530="", "", "human-skin")</f>
        <v>0</v>
      </c>
      <c r="E530" s="1">
        <f>IF(B530="", "", "human skin metagenome")</f>
        <v>0</v>
      </c>
      <c r="F530" s="1">
        <f>IF(B530="", "", "539655")</f>
        <v>0</v>
      </c>
    </row>
    <row r="531" spans="1:6">
      <c r="A531">
        <f>IF(COUNTBLANK(B531:F531)&lt;&gt;COLUMNS(B531:F531),530,"")</f>
        <v>0</v>
      </c>
      <c r="C531" s="1">
        <f>IF(B531="", "", "human-skin")</f>
        <v>0</v>
      </c>
      <c r="E531" s="1">
        <f>IF(B531="", "", "human skin metagenome")</f>
        <v>0</v>
      </c>
      <c r="F531" s="1">
        <f>IF(B531="", "", "539655")</f>
        <v>0</v>
      </c>
    </row>
    <row r="532" spans="1:6">
      <c r="A532">
        <f>IF(COUNTBLANK(B532:F532)&lt;&gt;COLUMNS(B532:F532),531,"")</f>
        <v>0</v>
      </c>
      <c r="C532" s="1">
        <f>IF(B532="", "", "human-skin")</f>
        <v>0</v>
      </c>
      <c r="E532" s="1">
        <f>IF(B532="", "", "human skin metagenome")</f>
        <v>0</v>
      </c>
      <c r="F532" s="1">
        <f>IF(B532="", "", "539655")</f>
        <v>0</v>
      </c>
    </row>
    <row r="533" spans="1:6">
      <c r="A533">
        <f>IF(COUNTBLANK(B533:F533)&lt;&gt;COLUMNS(B533:F533),532,"")</f>
        <v>0</v>
      </c>
      <c r="C533" s="1">
        <f>IF(B533="", "", "human-skin")</f>
        <v>0</v>
      </c>
      <c r="E533" s="1">
        <f>IF(B533="", "", "human skin metagenome")</f>
        <v>0</v>
      </c>
      <c r="F533" s="1">
        <f>IF(B533="", "", "539655")</f>
        <v>0</v>
      </c>
    </row>
    <row r="534" spans="1:6">
      <c r="A534">
        <f>IF(COUNTBLANK(B534:F534)&lt;&gt;COLUMNS(B534:F534),533,"")</f>
        <v>0</v>
      </c>
      <c r="C534" s="1">
        <f>IF(B534="", "", "human-skin")</f>
        <v>0</v>
      </c>
      <c r="E534" s="1">
        <f>IF(B534="", "", "human skin metagenome")</f>
        <v>0</v>
      </c>
      <c r="F534" s="1">
        <f>IF(B534="", "", "539655")</f>
        <v>0</v>
      </c>
    </row>
    <row r="535" spans="1:6">
      <c r="A535">
        <f>IF(COUNTBLANK(B535:F535)&lt;&gt;COLUMNS(B535:F535),534,"")</f>
        <v>0</v>
      </c>
      <c r="C535" s="1">
        <f>IF(B535="", "", "human-skin")</f>
        <v>0</v>
      </c>
      <c r="E535" s="1">
        <f>IF(B535="", "", "human skin metagenome")</f>
        <v>0</v>
      </c>
      <c r="F535" s="1">
        <f>IF(B535="", "", "539655")</f>
        <v>0</v>
      </c>
    </row>
    <row r="536" spans="1:6">
      <c r="A536">
        <f>IF(COUNTBLANK(B536:F536)&lt;&gt;COLUMNS(B536:F536),535,"")</f>
        <v>0</v>
      </c>
      <c r="C536" s="1">
        <f>IF(B536="", "", "human-skin")</f>
        <v>0</v>
      </c>
      <c r="E536" s="1">
        <f>IF(B536="", "", "human skin metagenome")</f>
        <v>0</v>
      </c>
      <c r="F536" s="1">
        <f>IF(B536="", "", "539655")</f>
        <v>0</v>
      </c>
    </row>
    <row r="537" spans="1:6">
      <c r="A537">
        <f>IF(COUNTBLANK(B537:F537)&lt;&gt;COLUMNS(B537:F537),536,"")</f>
        <v>0</v>
      </c>
      <c r="C537" s="1">
        <f>IF(B537="", "", "human-skin")</f>
        <v>0</v>
      </c>
      <c r="E537" s="1">
        <f>IF(B537="", "", "human skin metagenome")</f>
        <v>0</v>
      </c>
      <c r="F537" s="1">
        <f>IF(B537="", "", "539655")</f>
        <v>0</v>
      </c>
    </row>
    <row r="538" spans="1:6">
      <c r="A538">
        <f>IF(COUNTBLANK(B538:F538)&lt;&gt;COLUMNS(B538:F538),537,"")</f>
        <v>0</v>
      </c>
      <c r="C538" s="1">
        <f>IF(B538="", "", "human-skin")</f>
        <v>0</v>
      </c>
      <c r="E538" s="1">
        <f>IF(B538="", "", "human skin metagenome")</f>
        <v>0</v>
      </c>
      <c r="F538" s="1">
        <f>IF(B538="", "", "539655")</f>
        <v>0</v>
      </c>
    </row>
    <row r="539" spans="1:6">
      <c r="A539">
        <f>IF(COUNTBLANK(B539:F539)&lt;&gt;COLUMNS(B539:F539),538,"")</f>
        <v>0</v>
      </c>
      <c r="C539" s="1">
        <f>IF(B539="", "", "human-skin")</f>
        <v>0</v>
      </c>
      <c r="E539" s="1">
        <f>IF(B539="", "", "human skin metagenome")</f>
        <v>0</v>
      </c>
      <c r="F539" s="1">
        <f>IF(B539="", "", "539655")</f>
        <v>0</v>
      </c>
    </row>
    <row r="540" spans="1:6">
      <c r="A540">
        <f>IF(COUNTBLANK(B540:F540)&lt;&gt;COLUMNS(B540:F540),539,"")</f>
        <v>0</v>
      </c>
      <c r="C540" s="1">
        <f>IF(B540="", "", "human-skin")</f>
        <v>0</v>
      </c>
      <c r="E540" s="1">
        <f>IF(B540="", "", "human skin metagenome")</f>
        <v>0</v>
      </c>
      <c r="F540" s="1">
        <f>IF(B540="", "", "539655")</f>
        <v>0</v>
      </c>
    </row>
    <row r="541" spans="1:6">
      <c r="A541">
        <f>IF(COUNTBLANK(B541:F541)&lt;&gt;COLUMNS(B541:F541),540,"")</f>
        <v>0</v>
      </c>
      <c r="C541" s="1">
        <f>IF(B541="", "", "human-skin")</f>
        <v>0</v>
      </c>
      <c r="E541" s="1">
        <f>IF(B541="", "", "human skin metagenome")</f>
        <v>0</v>
      </c>
      <c r="F541" s="1">
        <f>IF(B541="", "", "539655")</f>
        <v>0</v>
      </c>
    </row>
    <row r="542" spans="1:6">
      <c r="A542">
        <f>IF(COUNTBLANK(B542:F542)&lt;&gt;COLUMNS(B542:F542),541,"")</f>
        <v>0</v>
      </c>
      <c r="C542" s="1">
        <f>IF(B542="", "", "human-skin")</f>
        <v>0</v>
      </c>
      <c r="E542" s="1">
        <f>IF(B542="", "", "human skin metagenome")</f>
        <v>0</v>
      </c>
      <c r="F542" s="1">
        <f>IF(B542="", "", "539655")</f>
        <v>0</v>
      </c>
    </row>
    <row r="543" spans="1:6">
      <c r="A543">
        <f>IF(COUNTBLANK(B543:F543)&lt;&gt;COLUMNS(B543:F543),542,"")</f>
        <v>0</v>
      </c>
      <c r="C543" s="1">
        <f>IF(B543="", "", "human-skin")</f>
        <v>0</v>
      </c>
      <c r="E543" s="1">
        <f>IF(B543="", "", "human skin metagenome")</f>
        <v>0</v>
      </c>
      <c r="F543" s="1">
        <f>IF(B543="", "", "539655")</f>
        <v>0</v>
      </c>
    </row>
    <row r="544" spans="1:6">
      <c r="A544">
        <f>IF(COUNTBLANK(B544:F544)&lt;&gt;COLUMNS(B544:F544),543,"")</f>
        <v>0</v>
      </c>
      <c r="C544" s="1">
        <f>IF(B544="", "", "human-skin")</f>
        <v>0</v>
      </c>
      <c r="E544" s="1">
        <f>IF(B544="", "", "human skin metagenome")</f>
        <v>0</v>
      </c>
      <c r="F544" s="1">
        <f>IF(B544="", "", "539655")</f>
        <v>0</v>
      </c>
    </row>
    <row r="545" spans="1:6">
      <c r="A545">
        <f>IF(COUNTBLANK(B545:F545)&lt;&gt;COLUMNS(B545:F545),544,"")</f>
        <v>0</v>
      </c>
      <c r="C545" s="1">
        <f>IF(B545="", "", "human-skin")</f>
        <v>0</v>
      </c>
      <c r="E545" s="1">
        <f>IF(B545="", "", "human skin metagenome")</f>
        <v>0</v>
      </c>
      <c r="F545" s="1">
        <f>IF(B545="", "", "539655")</f>
        <v>0</v>
      </c>
    </row>
    <row r="546" spans="1:6">
      <c r="A546">
        <f>IF(COUNTBLANK(B546:F546)&lt;&gt;COLUMNS(B546:F546),545,"")</f>
        <v>0</v>
      </c>
      <c r="C546" s="1">
        <f>IF(B546="", "", "human-skin")</f>
        <v>0</v>
      </c>
      <c r="E546" s="1">
        <f>IF(B546="", "", "human skin metagenome")</f>
        <v>0</v>
      </c>
      <c r="F546" s="1">
        <f>IF(B546="", "", "539655")</f>
        <v>0</v>
      </c>
    </row>
    <row r="547" spans="1:6">
      <c r="A547">
        <f>IF(COUNTBLANK(B547:F547)&lt;&gt;COLUMNS(B547:F547),546,"")</f>
        <v>0</v>
      </c>
      <c r="C547" s="1">
        <f>IF(B547="", "", "human-skin")</f>
        <v>0</v>
      </c>
      <c r="E547" s="1">
        <f>IF(B547="", "", "human skin metagenome")</f>
        <v>0</v>
      </c>
      <c r="F547" s="1">
        <f>IF(B547="", "", "539655")</f>
        <v>0</v>
      </c>
    </row>
    <row r="548" spans="1:6">
      <c r="A548">
        <f>IF(COUNTBLANK(B548:F548)&lt;&gt;COLUMNS(B548:F548),547,"")</f>
        <v>0</v>
      </c>
      <c r="C548" s="1">
        <f>IF(B548="", "", "human-skin")</f>
        <v>0</v>
      </c>
      <c r="E548" s="1">
        <f>IF(B548="", "", "human skin metagenome")</f>
        <v>0</v>
      </c>
      <c r="F548" s="1">
        <f>IF(B548="", "", "539655")</f>
        <v>0</v>
      </c>
    </row>
    <row r="549" spans="1:6">
      <c r="A549">
        <f>IF(COUNTBLANK(B549:F549)&lt;&gt;COLUMNS(B549:F549),548,"")</f>
        <v>0</v>
      </c>
      <c r="C549" s="1">
        <f>IF(B549="", "", "human-skin")</f>
        <v>0</v>
      </c>
      <c r="E549" s="1">
        <f>IF(B549="", "", "human skin metagenome")</f>
        <v>0</v>
      </c>
      <c r="F549" s="1">
        <f>IF(B549="", "", "539655")</f>
        <v>0</v>
      </c>
    </row>
    <row r="550" spans="1:6">
      <c r="A550">
        <f>IF(COUNTBLANK(B550:F550)&lt;&gt;COLUMNS(B550:F550),549,"")</f>
        <v>0</v>
      </c>
      <c r="C550" s="1">
        <f>IF(B550="", "", "human-skin")</f>
        <v>0</v>
      </c>
      <c r="E550" s="1">
        <f>IF(B550="", "", "human skin metagenome")</f>
        <v>0</v>
      </c>
      <c r="F550" s="1">
        <f>IF(B550="", "", "539655")</f>
        <v>0</v>
      </c>
    </row>
    <row r="551" spans="1:6">
      <c r="A551">
        <f>IF(COUNTBLANK(B551:F551)&lt;&gt;COLUMNS(B551:F551),550,"")</f>
        <v>0</v>
      </c>
      <c r="C551" s="1">
        <f>IF(B551="", "", "human-skin")</f>
        <v>0</v>
      </c>
      <c r="E551" s="1">
        <f>IF(B551="", "", "human skin metagenome")</f>
        <v>0</v>
      </c>
      <c r="F551" s="1">
        <f>IF(B551="", "", "539655")</f>
        <v>0</v>
      </c>
    </row>
    <row r="552" spans="1:6">
      <c r="A552">
        <f>IF(COUNTBLANK(B552:F552)&lt;&gt;COLUMNS(B552:F552),551,"")</f>
        <v>0</v>
      </c>
      <c r="C552" s="1">
        <f>IF(B552="", "", "human-skin")</f>
        <v>0</v>
      </c>
      <c r="E552" s="1">
        <f>IF(B552="", "", "human skin metagenome")</f>
        <v>0</v>
      </c>
      <c r="F552" s="1">
        <f>IF(B552="", "", "539655")</f>
        <v>0</v>
      </c>
    </row>
    <row r="553" spans="1:6">
      <c r="A553">
        <f>IF(COUNTBLANK(B553:F553)&lt;&gt;COLUMNS(B553:F553),552,"")</f>
        <v>0</v>
      </c>
      <c r="C553" s="1">
        <f>IF(B553="", "", "human-skin")</f>
        <v>0</v>
      </c>
      <c r="E553" s="1">
        <f>IF(B553="", "", "human skin metagenome")</f>
        <v>0</v>
      </c>
      <c r="F553" s="1">
        <f>IF(B553="", "", "539655")</f>
        <v>0</v>
      </c>
    </row>
    <row r="554" spans="1:6">
      <c r="A554">
        <f>IF(COUNTBLANK(B554:F554)&lt;&gt;COLUMNS(B554:F554),553,"")</f>
        <v>0</v>
      </c>
      <c r="C554" s="1">
        <f>IF(B554="", "", "human-skin")</f>
        <v>0</v>
      </c>
      <c r="E554" s="1">
        <f>IF(B554="", "", "human skin metagenome")</f>
        <v>0</v>
      </c>
      <c r="F554" s="1">
        <f>IF(B554="", "", "539655")</f>
        <v>0</v>
      </c>
    </row>
    <row r="555" spans="1:6">
      <c r="A555">
        <f>IF(COUNTBLANK(B555:F555)&lt;&gt;COLUMNS(B555:F555),554,"")</f>
        <v>0</v>
      </c>
      <c r="C555" s="1">
        <f>IF(B555="", "", "human-skin")</f>
        <v>0</v>
      </c>
      <c r="E555" s="1">
        <f>IF(B555="", "", "human skin metagenome")</f>
        <v>0</v>
      </c>
      <c r="F555" s="1">
        <f>IF(B555="", "", "539655")</f>
        <v>0</v>
      </c>
    </row>
    <row r="556" spans="1:6">
      <c r="A556">
        <f>IF(COUNTBLANK(B556:F556)&lt;&gt;COLUMNS(B556:F556),555,"")</f>
        <v>0</v>
      </c>
      <c r="C556" s="1">
        <f>IF(B556="", "", "human-skin")</f>
        <v>0</v>
      </c>
      <c r="E556" s="1">
        <f>IF(B556="", "", "human skin metagenome")</f>
        <v>0</v>
      </c>
      <c r="F556" s="1">
        <f>IF(B556="", "", "539655")</f>
        <v>0</v>
      </c>
    </row>
    <row r="557" spans="1:6">
      <c r="A557">
        <f>IF(COUNTBLANK(B557:F557)&lt;&gt;COLUMNS(B557:F557),556,"")</f>
        <v>0</v>
      </c>
      <c r="C557" s="1">
        <f>IF(B557="", "", "human-skin")</f>
        <v>0</v>
      </c>
      <c r="E557" s="1">
        <f>IF(B557="", "", "human skin metagenome")</f>
        <v>0</v>
      </c>
      <c r="F557" s="1">
        <f>IF(B557="", "", "539655")</f>
        <v>0</v>
      </c>
    </row>
    <row r="558" spans="1:6">
      <c r="A558">
        <f>IF(COUNTBLANK(B558:F558)&lt;&gt;COLUMNS(B558:F558),557,"")</f>
        <v>0</v>
      </c>
      <c r="C558" s="1">
        <f>IF(B558="", "", "human-skin")</f>
        <v>0</v>
      </c>
      <c r="E558" s="1">
        <f>IF(B558="", "", "human skin metagenome")</f>
        <v>0</v>
      </c>
      <c r="F558" s="1">
        <f>IF(B558="", "", "539655")</f>
        <v>0</v>
      </c>
    </row>
    <row r="559" spans="1:6">
      <c r="A559">
        <f>IF(COUNTBLANK(B559:F559)&lt;&gt;COLUMNS(B559:F559),558,"")</f>
        <v>0</v>
      </c>
      <c r="C559" s="1">
        <f>IF(B559="", "", "human-skin")</f>
        <v>0</v>
      </c>
      <c r="E559" s="1">
        <f>IF(B559="", "", "human skin metagenome")</f>
        <v>0</v>
      </c>
      <c r="F559" s="1">
        <f>IF(B559="", "", "539655")</f>
        <v>0</v>
      </c>
    </row>
    <row r="560" spans="1:6">
      <c r="A560">
        <f>IF(COUNTBLANK(B560:F560)&lt;&gt;COLUMNS(B560:F560),559,"")</f>
        <v>0</v>
      </c>
      <c r="C560" s="1">
        <f>IF(B560="", "", "human-skin")</f>
        <v>0</v>
      </c>
      <c r="E560" s="1">
        <f>IF(B560="", "", "human skin metagenome")</f>
        <v>0</v>
      </c>
      <c r="F560" s="1">
        <f>IF(B560="", "", "539655")</f>
        <v>0</v>
      </c>
    </row>
    <row r="561" spans="1:6">
      <c r="A561">
        <f>IF(COUNTBLANK(B561:F561)&lt;&gt;COLUMNS(B561:F561),560,"")</f>
        <v>0</v>
      </c>
      <c r="C561" s="1">
        <f>IF(B561="", "", "human-skin")</f>
        <v>0</v>
      </c>
      <c r="E561" s="1">
        <f>IF(B561="", "", "human skin metagenome")</f>
        <v>0</v>
      </c>
      <c r="F561" s="1">
        <f>IF(B561="", "", "539655")</f>
        <v>0</v>
      </c>
    </row>
    <row r="562" spans="1:6">
      <c r="A562">
        <f>IF(COUNTBLANK(B562:F562)&lt;&gt;COLUMNS(B562:F562),561,"")</f>
        <v>0</v>
      </c>
      <c r="C562" s="1">
        <f>IF(B562="", "", "human-skin")</f>
        <v>0</v>
      </c>
      <c r="E562" s="1">
        <f>IF(B562="", "", "human skin metagenome")</f>
        <v>0</v>
      </c>
      <c r="F562" s="1">
        <f>IF(B562="", "", "539655")</f>
        <v>0</v>
      </c>
    </row>
    <row r="563" spans="1:6">
      <c r="A563">
        <f>IF(COUNTBLANK(B563:F563)&lt;&gt;COLUMNS(B563:F563),562,"")</f>
        <v>0</v>
      </c>
      <c r="C563" s="1">
        <f>IF(B563="", "", "human-skin")</f>
        <v>0</v>
      </c>
      <c r="E563" s="1">
        <f>IF(B563="", "", "human skin metagenome")</f>
        <v>0</v>
      </c>
      <c r="F563" s="1">
        <f>IF(B563="", "", "539655")</f>
        <v>0</v>
      </c>
    </row>
    <row r="564" spans="1:6">
      <c r="A564">
        <f>IF(COUNTBLANK(B564:F564)&lt;&gt;COLUMNS(B564:F564),563,"")</f>
        <v>0</v>
      </c>
      <c r="C564" s="1">
        <f>IF(B564="", "", "human-skin")</f>
        <v>0</v>
      </c>
      <c r="E564" s="1">
        <f>IF(B564="", "", "human skin metagenome")</f>
        <v>0</v>
      </c>
      <c r="F564" s="1">
        <f>IF(B564="", "", "539655")</f>
        <v>0</v>
      </c>
    </row>
    <row r="565" spans="1:6">
      <c r="A565">
        <f>IF(COUNTBLANK(B565:F565)&lt;&gt;COLUMNS(B565:F565),564,"")</f>
        <v>0</v>
      </c>
      <c r="C565" s="1">
        <f>IF(B565="", "", "human-skin")</f>
        <v>0</v>
      </c>
      <c r="E565" s="1">
        <f>IF(B565="", "", "human skin metagenome")</f>
        <v>0</v>
      </c>
      <c r="F565" s="1">
        <f>IF(B565="", "", "539655")</f>
        <v>0</v>
      </c>
    </row>
    <row r="566" spans="1:6">
      <c r="A566">
        <f>IF(COUNTBLANK(B566:F566)&lt;&gt;COLUMNS(B566:F566),565,"")</f>
        <v>0</v>
      </c>
      <c r="C566" s="1">
        <f>IF(B566="", "", "human-skin")</f>
        <v>0</v>
      </c>
      <c r="E566" s="1">
        <f>IF(B566="", "", "human skin metagenome")</f>
        <v>0</v>
      </c>
      <c r="F566" s="1">
        <f>IF(B566="", "", "539655")</f>
        <v>0</v>
      </c>
    </row>
    <row r="567" spans="1:6">
      <c r="A567">
        <f>IF(COUNTBLANK(B567:F567)&lt;&gt;COLUMNS(B567:F567),566,"")</f>
        <v>0</v>
      </c>
      <c r="C567" s="1">
        <f>IF(B567="", "", "human-skin")</f>
        <v>0</v>
      </c>
      <c r="E567" s="1">
        <f>IF(B567="", "", "human skin metagenome")</f>
        <v>0</v>
      </c>
      <c r="F567" s="1">
        <f>IF(B567="", "", "539655")</f>
        <v>0</v>
      </c>
    </row>
    <row r="568" spans="1:6">
      <c r="A568">
        <f>IF(COUNTBLANK(B568:F568)&lt;&gt;COLUMNS(B568:F568),567,"")</f>
        <v>0</v>
      </c>
      <c r="C568" s="1">
        <f>IF(B568="", "", "human-skin")</f>
        <v>0</v>
      </c>
      <c r="E568" s="1">
        <f>IF(B568="", "", "human skin metagenome")</f>
        <v>0</v>
      </c>
      <c r="F568" s="1">
        <f>IF(B568="", "", "539655")</f>
        <v>0</v>
      </c>
    </row>
    <row r="569" spans="1:6">
      <c r="A569">
        <f>IF(COUNTBLANK(B569:F569)&lt;&gt;COLUMNS(B569:F569),568,"")</f>
        <v>0</v>
      </c>
      <c r="C569" s="1">
        <f>IF(B569="", "", "human-skin")</f>
        <v>0</v>
      </c>
      <c r="E569" s="1">
        <f>IF(B569="", "", "human skin metagenome")</f>
        <v>0</v>
      </c>
      <c r="F569" s="1">
        <f>IF(B569="", "", "539655")</f>
        <v>0</v>
      </c>
    </row>
    <row r="570" spans="1:6">
      <c r="A570">
        <f>IF(COUNTBLANK(B570:F570)&lt;&gt;COLUMNS(B570:F570),569,"")</f>
        <v>0</v>
      </c>
      <c r="C570" s="1">
        <f>IF(B570="", "", "human-skin")</f>
        <v>0</v>
      </c>
      <c r="E570" s="1">
        <f>IF(B570="", "", "human skin metagenome")</f>
        <v>0</v>
      </c>
      <c r="F570" s="1">
        <f>IF(B570="", "", "539655")</f>
        <v>0</v>
      </c>
    </row>
    <row r="571" spans="1:6">
      <c r="A571">
        <f>IF(COUNTBLANK(B571:F571)&lt;&gt;COLUMNS(B571:F571),570,"")</f>
        <v>0</v>
      </c>
      <c r="C571" s="1">
        <f>IF(B571="", "", "human-skin")</f>
        <v>0</v>
      </c>
      <c r="E571" s="1">
        <f>IF(B571="", "", "human skin metagenome")</f>
        <v>0</v>
      </c>
      <c r="F571" s="1">
        <f>IF(B571="", "", "539655")</f>
        <v>0</v>
      </c>
    </row>
    <row r="572" spans="1:6">
      <c r="A572">
        <f>IF(COUNTBLANK(B572:F572)&lt;&gt;COLUMNS(B572:F572),571,"")</f>
        <v>0</v>
      </c>
      <c r="C572" s="1">
        <f>IF(B572="", "", "human-skin")</f>
        <v>0</v>
      </c>
      <c r="E572" s="1">
        <f>IF(B572="", "", "human skin metagenome")</f>
        <v>0</v>
      </c>
      <c r="F572" s="1">
        <f>IF(B572="", "", "539655")</f>
        <v>0</v>
      </c>
    </row>
    <row r="573" spans="1:6">
      <c r="A573">
        <f>IF(COUNTBLANK(B573:F573)&lt;&gt;COLUMNS(B573:F573),572,"")</f>
        <v>0</v>
      </c>
      <c r="C573" s="1">
        <f>IF(B573="", "", "human-skin")</f>
        <v>0</v>
      </c>
      <c r="E573" s="1">
        <f>IF(B573="", "", "human skin metagenome")</f>
        <v>0</v>
      </c>
      <c r="F573" s="1">
        <f>IF(B573="", "", "539655")</f>
        <v>0</v>
      </c>
    </row>
    <row r="574" spans="1:6">
      <c r="A574">
        <f>IF(COUNTBLANK(B574:F574)&lt;&gt;COLUMNS(B574:F574),573,"")</f>
        <v>0</v>
      </c>
      <c r="C574" s="1">
        <f>IF(B574="", "", "human-skin")</f>
        <v>0</v>
      </c>
      <c r="E574" s="1">
        <f>IF(B574="", "", "human skin metagenome")</f>
        <v>0</v>
      </c>
      <c r="F574" s="1">
        <f>IF(B574="", "", "539655")</f>
        <v>0</v>
      </c>
    </row>
    <row r="575" spans="1:6">
      <c r="A575">
        <f>IF(COUNTBLANK(B575:F575)&lt;&gt;COLUMNS(B575:F575),574,"")</f>
        <v>0</v>
      </c>
      <c r="C575" s="1">
        <f>IF(B575="", "", "human-skin")</f>
        <v>0</v>
      </c>
      <c r="E575" s="1">
        <f>IF(B575="", "", "human skin metagenome")</f>
        <v>0</v>
      </c>
      <c r="F575" s="1">
        <f>IF(B575="", "", "539655")</f>
        <v>0</v>
      </c>
    </row>
    <row r="576" spans="1:6">
      <c r="A576">
        <f>IF(COUNTBLANK(B576:F576)&lt;&gt;COLUMNS(B576:F576),575,"")</f>
        <v>0</v>
      </c>
      <c r="C576" s="1">
        <f>IF(B576="", "", "human-skin")</f>
        <v>0</v>
      </c>
      <c r="E576" s="1">
        <f>IF(B576="", "", "human skin metagenome")</f>
        <v>0</v>
      </c>
      <c r="F576" s="1">
        <f>IF(B576="", "", "539655")</f>
        <v>0</v>
      </c>
    </row>
    <row r="577" spans="1:6">
      <c r="A577">
        <f>IF(COUNTBLANK(B577:F577)&lt;&gt;COLUMNS(B577:F577),576,"")</f>
        <v>0</v>
      </c>
      <c r="C577" s="1">
        <f>IF(B577="", "", "human-skin")</f>
        <v>0</v>
      </c>
      <c r="E577" s="1">
        <f>IF(B577="", "", "human skin metagenome")</f>
        <v>0</v>
      </c>
      <c r="F577" s="1">
        <f>IF(B577="", "", "539655")</f>
        <v>0</v>
      </c>
    </row>
    <row r="578" spans="1:6">
      <c r="A578">
        <f>IF(COUNTBLANK(B578:F578)&lt;&gt;COLUMNS(B578:F578),577,"")</f>
        <v>0</v>
      </c>
      <c r="C578" s="1">
        <f>IF(B578="", "", "human-skin")</f>
        <v>0</v>
      </c>
      <c r="E578" s="1">
        <f>IF(B578="", "", "human skin metagenome")</f>
        <v>0</v>
      </c>
      <c r="F578" s="1">
        <f>IF(B578="", "", "539655")</f>
        <v>0</v>
      </c>
    </row>
    <row r="579" spans="1:6">
      <c r="A579">
        <f>IF(COUNTBLANK(B579:F579)&lt;&gt;COLUMNS(B579:F579),578,"")</f>
        <v>0</v>
      </c>
      <c r="C579" s="1">
        <f>IF(B579="", "", "human-skin")</f>
        <v>0</v>
      </c>
      <c r="E579" s="1">
        <f>IF(B579="", "", "human skin metagenome")</f>
        <v>0</v>
      </c>
      <c r="F579" s="1">
        <f>IF(B579="", "", "539655")</f>
        <v>0</v>
      </c>
    </row>
    <row r="580" spans="1:6">
      <c r="A580">
        <f>IF(COUNTBLANK(B580:F580)&lt;&gt;COLUMNS(B580:F580),579,"")</f>
        <v>0</v>
      </c>
      <c r="C580" s="1">
        <f>IF(B580="", "", "human-skin")</f>
        <v>0</v>
      </c>
      <c r="E580" s="1">
        <f>IF(B580="", "", "human skin metagenome")</f>
        <v>0</v>
      </c>
      <c r="F580" s="1">
        <f>IF(B580="", "", "539655")</f>
        <v>0</v>
      </c>
    </row>
    <row r="581" spans="1:6">
      <c r="A581">
        <f>IF(COUNTBLANK(B581:F581)&lt;&gt;COLUMNS(B581:F581),580,"")</f>
        <v>0</v>
      </c>
      <c r="C581" s="1">
        <f>IF(B581="", "", "human-skin")</f>
        <v>0</v>
      </c>
      <c r="E581" s="1">
        <f>IF(B581="", "", "human skin metagenome")</f>
        <v>0</v>
      </c>
      <c r="F581" s="1">
        <f>IF(B581="", "", "539655")</f>
        <v>0</v>
      </c>
    </row>
    <row r="582" spans="1:6">
      <c r="A582">
        <f>IF(COUNTBLANK(B582:F582)&lt;&gt;COLUMNS(B582:F582),581,"")</f>
        <v>0</v>
      </c>
      <c r="C582" s="1">
        <f>IF(B582="", "", "human-skin")</f>
        <v>0</v>
      </c>
      <c r="E582" s="1">
        <f>IF(B582="", "", "human skin metagenome")</f>
        <v>0</v>
      </c>
      <c r="F582" s="1">
        <f>IF(B582="", "", "539655")</f>
        <v>0</v>
      </c>
    </row>
    <row r="583" spans="1:6">
      <c r="A583">
        <f>IF(COUNTBLANK(B583:F583)&lt;&gt;COLUMNS(B583:F583),582,"")</f>
        <v>0</v>
      </c>
      <c r="C583" s="1">
        <f>IF(B583="", "", "human-skin")</f>
        <v>0</v>
      </c>
      <c r="E583" s="1">
        <f>IF(B583="", "", "human skin metagenome")</f>
        <v>0</v>
      </c>
      <c r="F583" s="1">
        <f>IF(B583="", "", "539655")</f>
        <v>0</v>
      </c>
    </row>
    <row r="584" spans="1:6">
      <c r="A584">
        <f>IF(COUNTBLANK(B584:F584)&lt;&gt;COLUMNS(B584:F584),583,"")</f>
        <v>0</v>
      </c>
      <c r="C584" s="1">
        <f>IF(B584="", "", "human-skin")</f>
        <v>0</v>
      </c>
      <c r="E584" s="1">
        <f>IF(B584="", "", "human skin metagenome")</f>
        <v>0</v>
      </c>
      <c r="F584" s="1">
        <f>IF(B584="", "", "539655")</f>
        <v>0</v>
      </c>
    </row>
    <row r="585" spans="1:6">
      <c r="A585">
        <f>IF(COUNTBLANK(B585:F585)&lt;&gt;COLUMNS(B585:F585),584,"")</f>
        <v>0</v>
      </c>
      <c r="C585" s="1">
        <f>IF(B585="", "", "human-skin")</f>
        <v>0</v>
      </c>
      <c r="E585" s="1">
        <f>IF(B585="", "", "human skin metagenome")</f>
        <v>0</v>
      </c>
      <c r="F585" s="1">
        <f>IF(B585="", "", "539655")</f>
        <v>0</v>
      </c>
    </row>
    <row r="586" spans="1:6">
      <c r="A586">
        <f>IF(COUNTBLANK(B586:F586)&lt;&gt;COLUMNS(B586:F586),585,"")</f>
        <v>0</v>
      </c>
      <c r="C586" s="1">
        <f>IF(B586="", "", "human-skin")</f>
        <v>0</v>
      </c>
      <c r="E586" s="1">
        <f>IF(B586="", "", "human skin metagenome")</f>
        <v>0</v>
      </c>
      <c r="F586" s="1">
        <f>IF(B586="", "", "539655")</f>
        <v>0</v>
      </c>
    </row>
    <row r="587" spans="1:6">
      <c r="A587">
        <f>IF(COUNTBLANK(B587:F587)&lt;&gt;COLUMNS(B587:F587),586,"")</f>
        <v>0</v>
      </c>
      <c r="C587" s="1">
        <f>IF(B587="", "", "human-skin")</f>
        <v>0</v>
      </c>
      <c r="E587" s="1">
        <f>IF(B587="", "", "human skin metagenome")</f>
        <v>0</v>
      </c>
      <c r="F587" s="1">
        <f>IF(B587="", "", "539655")</f>
        <v>0</v>
      </c>
    </row>
    <row r="588" spans="1:6">
      <c r="A588">
        <f>IF(COUNTBLANK(B588:F588)&lt;&gt;COLUMNS(B588:F588),587,"")</f>
        <v>0</v>
      </c>
      <c r="C588" s="1">
        <f>IF(B588="", "", "human-skin")</f>
        <v>0</v>
      </c>
      <c r="E588" s="1">
        <f>IF(B588="", "", "human skin metagenome")</f>
        <v>0</v>
      </c>
      <c r="F588" s="1">
        <f>IF(B588="", "", "539655")</f>
        <v>0</v>
      </c>
    </row>
    <row r="589" spans="1:6">
      <c r="A589">
        <f>IF(COUNTBLANK(B589:F589)&lt;&gt;COLUMNS(B589:F589),588,"")</f>
        <v>0</v>
      </c>
      <c r="C589" s="1">
        <f>IF(B589="", "", "human-skin")</f>
        <v>0</v>
      </c>
      <c r="E589" s="1">
        <f>IF(B589="", "", "human skin metagenome")</f>
        <v>0</v>
      </c>
      <c r="F589" s="1">
        <f>IF(B589="", "", "539655")</f>
        <v>0</v>
      </c>
    </row>
    <row r="590" spans="1:6">
      <c r="A590">
        <f>IF(COUNTBLANK(B590:F590)&lt;&gt;COLUMNS(B590:F590),589,"")</f>
        <v>0</v>
      </c>
      <c r="C590" s="1">
        <f>IF(B590="", "", "human-skin")</f>
        <v>0</v>
      </c>
      <c r="E590" s="1">
        <f>IF(B590="", "", "human skin metagenome")</f>
        <v>0</v>
      </c>
      <c r="F590" s="1">
        <f>IF(B590="", "", "539655")</f>
        <v>0</v>
      </c>
    </row>
    <row r="591" spans="1:6">
      <c r="A591">
        <f>IF(COUNTBLANK(B591:F591)&lt;&gt;COLUMNS(B591:F591),590,"")</f>
        <v>0</v>
      </c>
      <c r="C591" s="1">
        <f>IF(B591="", "", "human-skin")</f>
        <v>0</v>
      </c>
      <c r="E591" s="1">
        <f>IF(B591="", "", "human skin metagenome")</f>
        <v>0</v>
      </c>
      <c r="F591" s="1">
        <f>IF(B591="", "", "539655")</f>
        <v>0</v>
      </c>
    </row>
    <row r="592" spans="1:6">
      <c r="A592">
        <f>IF(COUNTBLANK(B592:F592)&lt;&gt;COLUMNS(B592:F592),591,"")</f>
        <v>0</v>
      </c>
      <c r="C592" s="1">
        <f>IF(B592="", "", "human-skin")</f>
        <v>0</v>
      </c>
      <c r="E592" s="1">
        <f>IF(B592="", "", "human skin metagenome")</f>
        <v>0</v>
      </c>
      <c r="F592" s="1">
        <f>IF(B592="", "", "539655")</f>
        <v>0</v>
      </c>
    </row>
    <row r="593" spans="1:6">
      <c r="A593">
        <f>IF(COUNTBLANK(B593:F593)&lt;&gt;COLUMNS(B593:F593),592,"")</f>
        <v>0</v>
      </c>
      <c r="C593" s="1">
        <f>IF(B593="", "", "human-skin")</f>
        <v>0</v>
      </c>
      <c r="E593" s="1">
        <f>IF(B593="", "", "human skin metagenome")</f>
        <v>0</v>
      </c>
      <c r="F593" s="1">
        <f>IF(B593="", "", "539655")</f>
        <v>0</v>
      </c>
    </row>
    <row r="594" spans="1:6">
      <c r="A594">
        <f>IF(COUNTBLANK(B594:F594)&lt;&gt;COLUMNS(B594:F594),593,"")</f>
        <v>0</v>
      </c>
      <c r="C594" s="1">
        <f>IF(B594="", "", "human-skin")</f>
        <v>0</v>
      </c>
      <c r="E594" s="1">
        <f>IF(B594="", "", "human skin metagenome")</f>
        <v>0</v>
      </c>
      <c r="F594" s="1">
        <f>IF(B594="", "", "539655")</f>
        <v>0</v>
      </c>
    </row>
    <row r="595" spans="1:6">
      <c r="A595">
        <f>IF(COUNTBLANK(B595:F595)&lt;&gt;COLUMNS(B595:F595),594,"")</f>
        <v>0</v>
      </c>
      <c r="C595" s="1">
        <f>IF(B595="", "", "human-skin")</f>
        <v>0</v>
      </c>
      <c r="E595" s="1">
        <f>IF(B595="", "", "human skin metagenome")</f>
        <v>0</v>
      </c>
      <c r="F595" s="1">
        <f>IF(B595="", "", "539655")</f>
        <v>0</v>
      </c>
    </row>
    <row r="596" spans="1:6">
      <c r="A596">
        <f>IF(COUNTBLANK(B596:F596)&lt;&gt;COLUMNS(B596:F596),595,"")</f>
        <v>0</v>
      </c>
      <c r="C596" s="1">
        <f>IF(B596="", "", "human-skin")</f>
        <v>0</v>
      </c>
      <c r="E596" s="1">
        <f>IF(B596="", "", "human skin metagenome")</f>
        <v>0</v>
      </c>
      <c r="F596" s="1">
        <f>IF(B596="", "", "539655")</f>
        <v>0</v>
      </c>
    </row>
    <row r="597" spans="1:6">
      <c r="A597">
        <f>IF(COUNTBLANK(B597:F597)&lt;&gt;COLUMNS(B597:F597),596,"")</f>
        <v>0</v>
      </c>
      <c r="C597" s="1">
        <f>IF(B597="", "", "human-skin")</f>
        <v>0</v>
      </c>
      <c r="E597" s="1">
        <f>IF(B597="", "", "human skin metagenome")</f>
        <v>0</v>
      </c>
      <c r="F597" s="1">
        <f>IF(B597="", "", "539655")</f>
        <v>0</v>
      </c>
    </row>
    <row r="598" spans="1:6">
      <c r="A598">
        <f>IF(COUNTBLANK(B598:F598)&lt;&gt;COLUMNS(B598:F598),597,"")</f>
        <v>0</v>
      </c>
      <c r="C598" s="1">
        <f>IF(B598="", "", "human-skin")</f>
        <v>0</v>
      </c>
      <c r="E598" s="1">
        <f>IF(B598="", "", "human skin metagenome")</f>
        <v>0</v>
      </c>
      <c r="F598" s="1">
        <f>IF(B598="", "", "539655")</f>
        <v>0</v>
      </c>
    </row>
    <row r="599" spans="1:6">
      <c r="A599">
        <f>IF(COUNTBLANK(B599:F599)&lt;&gt;COLUMNS(B599:F599),598,"")</f>
        <v>0</v>
      </c>
      <c r="C599" s="1">
        <f>IF(B599="", "", "human-skin")</f>
        <v>0</v>
      </c>
      <c r="E599" s="1">
        <f>IF(B599="", "", "human skin metagenome")</f>
        <v>0</v>
      </c>
      <c r="F599" s="1">
        <f>IF(B599="", "", "539655")</f>
        <v>0</v>
      </c>
    </row>
    <row r="600" spans="1:6">
      <c r="A600">
        <f>IF(COUNTBLANK(B600:F600)&lt;&gt;COLUMNS(B600:F600),599,"")</f>
        <v>0</v>
      </c>
      <c r="C600" s="1">
        <f>IF(B600="", "", "human-skin")</f>
        <v>0</v>
      </c>
      <c r="E600" s="1">
        <f>IF(B600="", "", "human skin metagenome")</f>
        <v>0</v>
      </c>
      <c r="F600" s="1">
        <f>IF(B600="", "", "539655")</f>
        <v>0</v>
      </c>
    </row>
    <row r="601" spans="1:6">
      <c r="A601">
        <f>IF(COUNTBLANK(B601:F601)&lt;&gt;COLUMNS(B601:F601),600,"")</f>
        <v>0</v>
      </c>
      <c r="C601" s="1">
        <f>IF(B601="", "", "human-skin")</f>
        <v>0</v>
      </c>
      <c r="E601" s="1">
        <f>IF(B601="", "", "human skin metagenome")</f>
        <v>0</v>
      </c>
      <c r="F601" s="1">
        <f>IF(B601="", "", "539655")</f>
        <v>0</v>
      </c>
    </row>
    <row r="602" spans="1:6">
      <c r="A602">
        <f>IF(COUNTBLANK(B602:F602)&lt;&gt;COLUMNS(B602:F602),601,"")</f>
        <v>0</v>
      </c>
      <c r="C602" s="1">
        <f>IF(B602="", "", "human-skin")</f>
        <v>0</v>
      </c>
      <c r="E602" s="1">
        <f>IF(B602="", "", "human skin metagenome")</f>
        <v>0</v>
      </c>
      <c r="F602" s="1">
        <f>IF(B602="", "", "539655")</f>
        <v>0</v>
      </c>
    </row>
    <row r="603" spans="1:6">
      <c r="A603">
        <f>IF(COUNTBLANK(B603:F603)&lt;&gt;COLUMNS(B603:F603),602,"")</f>
        <v>0</v>
      </c>
      <c r="C603" s="1">
        <f>IF(B603="", "", "human-skin")</f>
        <v>0</v>
      </c>
      <c r="E603" s="1">
        <f>IF(B603="", "", "human skin metagenome")</f>
        <v>0</v>
      </c>
      <c r="F603" s="1">
        <f>IF(B603="", "", "539655")</f>
        <v>0</v>
      </c>
    </row>
    <row r="604" spans="1:6">
      <c r="A604">
        <f>IF(COUNTBLANK(B604:F604)&lt;&gt;COLUMNS(B604:F604),603,"")</f>
        <v>0</v>
      </c>
      <c r="C604" s="1">
        <f>IF(B604="", "", "human-skin")</f>
        <v>0</v>
      </c>
      <c r="E604" s="1">
        <f>IF(B604="", "", "human skin metagenome")</f>
        <v>0</v>
      </c>
      <c r="F604" s="1">
        <f>IF(B604="", "", "539655")</f>
        <v>0</v>
      </c>
    </row>
    <row r="605" spans="1:6">
      <c r="A605">
        <f>IF(COUNTBLANK(B605:F605)&lt;&gt;COLUMNS(B605:F605),604,"")</f>
        <v>0</v>
      </c>
      <c r="C605" s="1">
        <f>IF(B605="", "", "human-skin")</f>
        <v>0</v>
      </c>
      <c r="E605" s="1">
        <f>IF(B605="", "", "human skin metagenome")</f>
        <v>0</v>
      </c>
      <c r="F605" s="1">
        <f>IF(B605="", "", "539655")</f>
        <v>0</v>
      </c>
    </row>
    <row r="606" spans="1:6">
      <c r="A606">
        <f>IF(COUNTBLANK(B606:F606)&lt;&gt;COLUMNS(B606:F606),605,"")</f>
        <v>0</v>
      </c>
      <c r="C606" s="1">
        <f>IF(B606="", "", "human-skin")</f>
        <v>0</v>
      </c>
      <c r="E606" s="1">
        <f>IF(B606="", "", "human skin metagenome")</f>
        <v>0</v>
      </c>
      <c r="F606" s="1">
        <f>IF(B606="", "", "539655")</f>
        <v>0</v>
      </c>
    </row>
    <row r="607" spans="1:6">
      <c r="A607">
        <f>IF(COUNTBLANK(B607:F607)&lt;&gt;COLUMNS(B607:F607),606,"")</f>
        <v>0</v>
      </c>
      <c r="C607" s="1">
        <f>IF(B607="", "", "human-skin")</f>
        <v>0</v>
      </c>
      <c r="E607" s="1">
        <f>IF(B607="", "", "human skin metagenome")</f>
        <v>0</v>
      </c>
      <c r="F607" s="1">
        <f>IF(B607="", "", "539655")</f>
        <v>0</v>
      </c>
    </row>
    <row r="608" spans="1:6">
      <c r="A608">
        <f>IF(COUNTBLANK(B608:F608)&lt;&gt;COLUMNS(B608:F608),607,"")</f>
        <v>0</v>
      </c>
      <c r="C608" s="1">
        <f>IF(B608="", "", "human-skin")</f>
        <v>0</v>
      </c>
      <c r="E608" s="1">
        <f>IF(B608="", "", "human skin metagenome")</f>
        <v>0</v>
      </c>
      <c r="F608" s="1">
        <f>IF(B608="", "", "539655")</f>
        <v>0</v>
      </c>
    </row>
    <row r="609" spans="1:6">
      <c r="A609">
        <f>IF(COUNTBLANK(B609:F609)&lt;&gt;COLUMNS(B609:F609),608,"")</f>
        <v>0</v>
      </c>
      <c r="C609" s="1">
        <f>IF(B609="", "", "human-skin")</f>
        <v>0</v>
      </c>
      <c r="E609" s="1">
        <f>IF(B609="", "", "human skin metagenome")</f>
        <v>0</v>
      </c>
      <c r="F609" s="1">
        <f>IF(B609="", "", "539655")</f>
        <v>0</v>
      </c>
    </row>
    <row r="610" spans="1:6">
      <c r="A610">
        <f>IF(COUNTBLANK(B610:F610)&lt;&gt;COLUMNS(B610:F610),609,"")</f>
        <v>0</v>
      </c>
      <c r="C610" s="1">
        <f>IF(B610="", "", "human-skin")</f>
        <v>0</v>
      </c>
      <c r="E610" s="1">
        <f>IF(B610="", "", "human skin metagenome")</f>
        <v>0</v>
      </c>
      <c r="F610" s="1">
        <f>IF(B610="", "", "539655")</f>
        <v>0</v>
      </c>
    </row>
    <row r="611" spans="1:6">
      <c r="A611">
        <f>IF(COUNTBLANK(B611:F611)&lt;&gt;COLUMNS(B611:F611),610,"")</f>
        <v>0</v>
      </c>
      <c r="C611" s="1">
        <f>IF(B611="", "", "human-skin")</f>
        <v>0</v>
      </c>
      <c r="E611" s="1">
        <f>IF(B611="", "", "human skin metagenome")</f>
        <v>0</v>
      </c>
      <c r="F611" s="1">
        <f>IF(B611="", "", "539655")</f>
        <v>0</v>
      </c>
    </row>
    <row r="612" spans="1:6">
      <c r="A612">
        <f>IF(COUNTBLANK(B612:F612)&lt;&gt;COLUMNS(B612:F612),611,"")</f>
        <v>0</v>
      </c>
      <c r="C612" s="1">
        <f>IF(B612="", "", "human-skin")</f>
        <v>0</v>
      </c>
      <c r="E612" s="1">
        <f>IF(B612="", "", "human skin metagenome")</f>
        <v>0</v>
      </c>
      <c r="F612" s="1">
        <f>IF(B612="", "", "539655")</f>
        <v>0</v>
      </c>
    </row>
    <row r="613" spans="1:6">
      <c r="A613">
        <f>IF(COUNTBLANK(B613:F613)&lt;&gt;COLUMNS(B613:F613),612,"")</f>
        <v>0</v>
      </c>
      <c r="C613" s="1">
        <f>IF(B613="", "", "human-skin")</f>
        <v>0</v>
      </c>
      <c r="E613" s="1">
        <f>IF(B613="", "", "human skin metagenome")</f>
        <v>0</v>
      </c>
      <c r="F613" s="1">
        <f>IF(B613="", "", "539655")</f>
        <v>0</v>
      </c>
    </row>
    <row r="614" spans="1:6">
      <c r="A614">
        <f>IF(COUNTBLANK(B614:F614)&lt;&gt;COLUMNS(B614:F614),613,"")</f>
        <v>0</v>
      </c>
      <c r="C614" s="1">
        <f>IF(B614="", "", "human-skin")</f>
        <v>0</v>
      </c>
      <c r="E614" s="1">
        <f>IF(B614="", "", "human skin metagenome")</f>
        <v>0</v>
      </c>
      <c r="F614" s="1">
        <f>IF(B614="", "", "539655")</f>
        <v>0</v>
      </c>
    </row>
    <row r="615" spans="1:6">
      <c r="A615">
        <f>IF(COUNTBLANK(B615:F615)&lt;&gt;COLUMNS(B615:F615),614,"")</f>
        <v>0</v>
      </c>
      <c r="C615" s="1">
        <f>IF(B615="", "", "human-skin")</f>
        <v>0</v>
      </c>
      <c r="E615" s="1">
        <f>IF(B615="", "", "human skin metagenome")</f>
        <v>0</v>
      </c>
      <c r="F615" s="1">
        <f>IF(B615="", "", "539655")</f>
        <v>0</v>
      </c>
    </row>
    <row r="616" spans="1:6">
      <c r="A616">
        <f>IF(COUNTBLANK(B616:F616)&lt;&gt;COLUMNS(B616:F616),615,"")</f>
        <v>0</v>
      </c>
      <c r="C616" s="1">
        <f>IF(B616="", "", "human-skin")</f>
        <v>0</v>
      </c>
      <c r="E616" s="1">
        <f>IF(B616="", "", "human skin metagenome")</f>
        <v>0</v>
      </c>
      <c r="F616" s="1">
        <f>IF(B616="", "", "539655")</f>
        <v>0</v>
      </c>
    </row>
    <row r="617" spans="1:6">
      <c r="A617">
        <f>IF(COUNTBLANK(B617:F617)&lt;&gt;COLUMNS(B617:F617),616,"")</f>
        <v>0</v>
      </c>
      <c r="C617" s="1">
        <f>IF(B617="", "", "human-skin")</f>
        <v>0</v>
      </c>
      <c r="E617" s="1">
        <f>IF(B617="", "", "human skin metagenome")</f>
        <v>0</v>
      </c>
      <c r="F617" s="1">
        <f>IF(B617="", "", "539655")</f>
        <v>0</v>
      </c>
    </row>
    <row r="618" spans="1:6">
      <c r="A618">
        <f>IF(COUNTBLANK(B618:F618)&lt;&gt;COLUMNS(B618:F618),617,"")</f>
        <v>0</v>
      </c>
      <c r="C618" s="1">
        <f>IF(B618="", "", "human-skin")</f>
        <v>0</v>
      </c>
      <c r="E618" s="1">
        <f>IF(B618="", "", "human skin metagenome")</f>
        <v>0</v>
      </c>
      <c r="F618" s="1">
        <f>IF(B618="", "", "539655")</f>
        <v>0</v>
      </c>
    </row>
    <row r="619" spans="1:6">
      <c r="A619">
        <f>IF(COUNTBLANK(B619:F619)&lt;&gt;COLUMNS(B619:F619),618,"")</f>
        <v>0</v>
      </c>
      <c r="C619" s="1">
        <f>IF(B619="", "", "human-skin")</f>
        <v>0</v>
      </c>
      <c r="E619" s="1">
        <f>IF(B619="", "", "human skin metagenome")</f>
        <v>0</v>
      </c>
      <c r="F619" s="1">
        <f>IF(B619="", "", "539655")</f>
        <v>0</v>
      </c>
    </row>
    <row r="620" spans="1:6">
      <c r="A620">
        <f>IF(COUNTBLANK(B620:F620)&lt;&gt;COLUMNS(B620:F620),619,"")</f>
        <v>0</v>
      </c>
      <c r="C620" s="1">
        <f>IF(B620="", "", "human-skin")</f>
        <v>0</v>
      </c>
      <c r="E620" s="1">
        <f>IF(B620="", "", "human skin metagenome")</f>
        <v>0</v>
      </c>
      <c r="F620" s="1">
        <f>IF(B620="", "", "539655")</f>
        <v>0</v>
      </c>
    </row>
    <row r="621" spans="1:6">
      <c r="A621">
        <f>IF(COUNTBLANK(B621:F621)&lt;&gt;COLUMNS(B621:F621),620,"")</f>
        <v>0</v>
      </c>
      <c r="C621" s="1">
        <f>IF(B621="", "", "human-skin")</f>
        <v>0</v>
      </c>
      <c r="E621" s="1">
        <f>IF(B621="", "", "human skin metagenome")</f>
        <v>0</v>
      </c>
      <c r="F621" s="1">
        <f>IF(B621="", "", "539655")</f>
        <v>0</v>
      </c>
    </row>
    <row r="622" spans="1:6">
      <c r="A622">
        <f>IF(COUNTBLANK(B622:F622)&lt;&gt;COLUMNS(B622:F622),621,"")</f>
        <v>0</v>
      </c>
      <c r="C622" s="1">
        <f>IF(B622="", "", "human-skin")</f>
        <v>0</v>
      </c>
      <c r="E622" s="1">
        <f>IF(B622="", "", "human skin metagenome")</f>
        <v>0</v>
      </c>
      <c r="F622" s="1">
        <f>IF(B622="", "", "539655")</f>
        <v>0</v>
      </c>
    </row>
    <row r="623" spans="1:6">
      <c r="A623">
        <f>IF(COUNTBLANK(B623:F623)&lt;&gt;COLUMNS(B623:F623),622,"")</f>
        <v>0</v>
      </c>
      <c r="C623" s="1">
        <f>IF(B623="", "", "human-skin")</f>
        <v>0</v>
      </c>
      <c r="E623" s="1">
        <f>IF(B623="", "", "human skin metagenome")</f>
        <v>0</v>
      </c>
      <c r="F623" s="1">
        <f>IF(B623="", "", "539655")</f>
        <v>0</v>
      </c>
    </row>
    <row r="624" spans="1:6">
      <c r="A624">
        <f>IF(COUNTBLANK(B624:F624)&lt;&gt;COLUMNS(B624:F624),623,"")</f>
        <v>0</v>
      </c>
      <c r="C624" s="1">
        <f>IF(B624="", "", "human-skin")</f>
        <v>0</v>
      </c>
      <c r="E624" s="1">
        <f>IF(B624="", "", "human skin metagenome")</f>
        <v>0</v>
      </c>
      <c r="F624" s="1">
        <f>IF(B624="", "", "539655")</f>
        <v>0</v>
      </c>
    </row>
    <row r="625" spans="1:6">
      <c r="A625">
        <f>IF(COUNTBLANK(B625:F625)&lt;&gt;COLUMNS(B625:F625),624,"")</f>
        <v>0</v>
      </c>
      <c r="C625" s="1">
        <f>IF(B625="", "", "human-skin")</f>
        <v>0</v>
      </c>
      <c r="E625" s="1">
        <f>IF(B625="", "", "human skin metagenome")</f>
        <v>0</v>
      </c>
      <c r="F625" s="1">
        <f>IF(B625="", "", "539655")</f>
        <v>0</v>
      </c>
    </row>
    <row r="626" spans="1:6">
      <c r="A626">
        <f>IF(COUNTBLANK(B626:F626)&lt;&gt;COLUMNS(B626:F626),625,"")</f>
        <v>0</v>
      </c>
      <c r="C626" s="1">
        <f>IF(B626="", "", "human-skin")</f>
        <v>0</v>
      </c>
      <c r="E626" s="1">
        <f>IF(B626="", "", "human skin metagenome")</f>
        <v>0</v>
      </c>
      <c r="F626" s="1">
        <f>IF(B626="", "", "539655")</f>
        <v>0</v>
      </c>
    </row>
    <row r="627" spans="1:6">
      <c r="A627">
        <f>IF(COUNTBLANK(B627:F627)&lt;&gt;COLUMNS(B627:F627),626,"")</f>
        <v>0</v>
      </c>
      <c r="C627" s="1">
        <f>IF(B627="", "", "human-skin")</f>
        <v>0</v>
      </c>
      <c r="E627" s="1">
        <f>IF(B627="", "", "human skin metagenome")</f>
        <v>0</v>
      </c>
      <c r="F627" s="1">
        <f>IF(B627="", "", "539655")</f>
        <v>0</v>
      </c>
    </row>
    <row r="628" spans="1:6">
      <c r="A628">
        <f>IF(COUNTBLANK(B628:F628)&lt;&gt;COLUMNS(B628:F628),627,"")</f>
        <v>0</v>
      </c>
      <c r="C628" s="1">
        <f>IF(B628="", "", "human-skin")</f>
        <v>0</v>
      </c>
      <c r="E628" s="1">
        <f>IF(B628="", "", "human skin metagenome")</f>
        <v>0</v>
      </c>
      <c r="F628" s="1">
        <f>IF(B628="", "", "539655")</f>
        <v>0</v>
      </c>
    </row>
    <row r="629" spans="1:6">
      <c r="A629">
        <f>IF(COUNTBLANK(B629:F629)&lt;&gt;COLUMNS(B629:F629),628,"")</f>
        <v>0</v>
      </c>
      <c r="C629" s="1">
        <f>IF(B629="", "", "human-skin")</f>
        <v>0</v>
      </c>
      <c r="E629" s="1">
        <f>IF(B629="", "", "human skin metagenome")</f>
        <v>0</v>
      </c>
      <c r="F629" s="1">
        <f>IF(B629="", "", "539655")</f>
        <v>0</v>
      </c>
    </row>
    <row r="630" spans="1:6">
      <c r="A630">
        <f>IF(COUNTBLANK(B630:F630)&lt;&gt;COLUMNS(B630:F630),629,"")</f>
        <v>0</v>
      </c>
      <c r="C630" s="1">
        <f>IF(B630="", "", "human-skin")</f>
        <v>0</v>
      </c>
      <c r="E630" s="1">
        <f>IF(B630="", "", "human skin metagenome")</f>
        <v>0</v>
      </c>
      <c r="F630" s="1">
        <f>IF(B630="", "", "539655")</f>
        <v>0</v>
      </c>
    </row>
    <row r="631" spans="1:6">
      <c r="A631">
        <f>IF(COUNTBLANK(B631:F631)&lt;&gt;COLUMNS(B631:F631),630,"")</f>
        <v>0</v>
      </c>
      <c r="C631" s="1">
        <f>IF(B631="", "", "human-skin")</f>
        <v>0</v>
      </c>
      <c r="E631" s="1">
        <f>IF(B631="", "", "human skin metagenome")</f>
        <v>0</v>
      </c>
      <c r="F631" s="1">
        <f>IF(B631="", "", "539655")</f>
        <v>0</v>
      </c>
    </row>
    <row r="632" spans="1:6">
      <c r="A632">
        <f>IF(COUNTBLANK(B632:F632)&lt;&gt;COLUMNS(B632:F632),631,"")</f>
        <v>0</v>
      </c>
      <c r="C632" s="1">
        <f>IF(B632="", "", "human-skin")</f>
        <v>0</v>
      </c>
      <c r="E632" s="1">
        <f>IF(B632="", "", "human skin metagenome")</f>
        <v>0</v>
      </c>
      <c r="F632" s="1">
        <f>IF(B632="", "", "539655")</f>
        <v>0</v>
      </c>
    </row>
    <row r="633" spans="1:6">
      <c r="A633">
        <f>IF(COUNTBLANK(B633:F633)&lt;&gt;COLUMNS(B633:F633),632,"")</f>
        <v>0</v>
      </c>
      <c r="C633" s="1">
        <f>IF(B633="", "", "human-skin")</f>
        <v>0</v>
      </c>
      <c r="E633" s="1">
        <f>IF(B633="", "", "human skin metagenome")</f>
        <v>0</v>
      </c>
      <c r="F633" s="1">
        <f>IF(B633="", "", "539655")</f>
        <v>0</v>
      </c>
    </row>
    <row r="634" spans="1:6">
      <c r="A634">
        <f>IF(COUNTBLANK(B634:F634)&lt;&gt;COLUMNS(B634:F634),633,"")</f>
        <v>0</v>
      </c>
      <c r="C634" s="1">
        <f>IF(B634="", "", "human-skin")</f>
        <v>0</v>
      </c>
      <c r="E634" s="1">
        <f>IF(B634="", "", "human skin metagenome")</f>
        <v>0</v>
      </c>
      <c r="F634" s="1">
        <f>IF(B634="", "", "539655")</f>
        <v>0</v>
      </c>
    </row>
    <row r="635" spans="1:6">
      <c r="A635">
        <f>IF(COUNTBLANK(B635:F635)&lt;&gt;COLUMNS(B635:F635),634,"")</f>
        <v>0</v>
      </c>
      <c r="C635" s="1">
        <f>IF(B635="", "", "human-skin")</f>
        <v>0</v>
      </c>
      <c r="E635" s="1">
        <f>IF(B635="", "", "human skin metagenome")</f>
        <v>0</v>
      </c>
      <c r="F635" s="1">
        <f>IF(B635="", "", "539655")</f>
        <v>0</v>
      </c>
    </row>
    <row r="636" spans="1:6">
      <c r="A636">
        <f>IF(COUNTBLANK(B636:F636)&lt;&gt;COLUMNS(B636:F636),635,"")</f>
        <v>0</v>
      </c>
      <c r="C636" s="1">
        <f>IF(B636="", "", "human-skin")</f>
        <v>0</v>
      </c>
      <c r="E636" s="1">
        <f>IF(B636="", "", "human skin metagenome")</f>
        <v>0</v>
      </c>
      <c r="F636" s="1">
        <f>IF(B636="", "", "539655")</f>
        <v>0</v>
      </c>
    </row>
    <row r="637" spans="1:6">
      <c r="A637">
        <f>IF(COUNTBLANK(B637:F637)&lt;&gt;COLUMNS(B637:F637),636,"")</f>
        <v>0</v>
      </c>
      <c r="C637" s="1">
        <f>IF(B637="", "", "human-skin")</f>
        <v>0</v>
      </c>
      <c r="E637" s="1">
        <f>IF(B637="", "", "human skin metagenome")</f>
        <v>0</v>
      </c>
      <c r="F637" s="1">
        <f>IF(B637="", "", "539655")</f>
        <v>0</v>
      </c>
    </row>
    <row r="638" spans="1:6">
      <c r="A638">
        <f>IF(COUNTBLANK(B638:F638)&lt;&gt;COLUMNS(B638:F638),637,"")</f>
        <v>0</v>
      </c>
      <c r="C638" s="1">
        <f>IF(B638="", "", "human-skin")</f>
        <v>0</v>
      </c>
      <c r="E638" s="1">
        <f>IF(B638="", "", "human skin metagenome")</f>
        <v>0</v>
      </c>
      <c r="F638" s="1">
        <f>IF(B638="", "", "539655")</f>
        <v>0</v>
      </c>
    </row>
    <row r="639" spans="1:6">
      <c r="A639">
        <f>IF(COUNTBLANK(B639:F639)&lt;&gt;COLUMNS(B639:F639),638,"")</f>
        <v>0</v>
      </c>
      <c r="C639" s="1">
        <f>IF(B639="", "", "human-skin")</f>
        <v>0</v>
      </c>
      <c r="E639" s="1">
        <f>IF(B639="", "", "human skin metagenome")</f>
        <v>0</v>
      </c>
      <c r="F639" s="1">
        <f>IF(B639="", "", "539655")</f>
        <v>0</v>
      </c>
    </row>
    <row r="640" spans="1:6">
      <c r="A640">
        <f>IF(COUNTBLANK(B640:F640)&lt;&gt;COLUMNS(B640:F640),639,"")</f>
        <v>0</v>
      </c>
      <c r="C640" s="1">
        <f>IF(B640="", "", "human-skin")</f>
        <v>0</v>
      </c>
      <c r="E640" s="1">
        <f>IF(B640="", "", "human skin metagenome")</f>
        <v>0</v>
      </c>
      <c r="F640" s="1">
        <f>IF(B640="", "", "539655")</f>
        <v>0</v>
      </c>
    </row>
    <row r="641" spans="1:6">
      <c r="A641">
        <f>IF(COUNTBLANK(B641:F641)&lt;&gt;COLUMNS(B641:F641),640,"")</f>
        <v>0</v>
      </c>
      <c r="C641" s="1">
        <f>IF(B641="", "", "human-skin")</f>
        <v>0</v>
      </c>
      <c r="E641" s="1">
        <f>IF(B641="", "", "human skin metagenome")</f>
        <v>0</v>
      </c>
      <c r="F641" s="1">
        <f>IF(B641="", "", "539655")</f>
        <v>0</v>
      </c>
    </row>
    <row r="642" spans="1:6">
      <c r="A642">
        <f>IF(COUNTBLANK(B642:F642)&lt;&gt;COLUMNS(B642:F642),641,"")</f>
        <v>0</v>
      </c>
      <c r="C642" s="1">
        <f>IF(B642="", "", "human-skin")</f>
        <v>0</v>
      </c>
      <c r="E642" s="1">
        <f>IF(B642="", "", "human skin metagenome")</f>
        <v>0</v>
      </c>
      <c r="F642" s="1">
        <f>IF(B642="", "", "539655")</f>
        <v>0</v>
      </c>
    </row>
    <row r="643" spans="1:6">
      <c r="A643">
        <f>IF(COUNTBLANK(B643:F643)&lt;&gt;COLUMNS(B643:F643),642,"")</f>
        <v>0</v>
      </c>
      <c r="C643" s="1">
        <f>IF(B643="", "", "human-skin")</f>
        <v>0</v>
      </c>
      <c r="E643" s="1">
        <f>IF(B643="", "", "human skin metagenome")</f>
        <v>0</v>
      </c>
      <c r="F643" s="1">
        <f>IF(B643="", "", "539655")</f>
        <v>0</v>
      </c>
    </row>
    <row r="644" spans="1:6">
      <c r="A644">
        <f>IF(COUNTBLANK(B644:F644)&lt;&gt;COLUMNS(B644:F644),643,"")</f>
        <v>0</v>
      </c>
      <c r="C644" s="1">
        <f>IF(B644="", "", "human-skin")</f>
        <v>0</v>
      </c>
      <c r="E644" s="1">
        <f>IF(B644="", "", "human skin metagenome")</f>
        <v>0</v>
      </c>
      <c r="F644" s="1">
        <f>IF(B644="", "", "539655")</f>
        <v>0</v>
      </c>
    </row>
    <row r="645" spans="1:6">
      <c r="A645">
        <f>IF(COUNTBLANK(B645:F645)&lt;&gt;COLUMNS(B645:F645),644,"")</f>
        <v>0</v>
      </c>
      <c r="C645" s="1">
        <f>IF(B645="", "", "human-skin")</f>
        <v>0</v>
      </c>
      <c r="E645" s="1">
        <f>IF(B645="", "", "human skin metagenome")</f>
        <v>0</v>
      </c>
      <c r="F645" s="1">
        <f>IF(B645="", "", "539655")</f>
        <v>0</v>
      </c>
    </row>
    <row r="646" spans="1:6">
      <c r="A646">
        <f>IF(COUNTBLANK(B646:F646)&lt;&gt;COLUMNS(B646:F646),645,"")</f>
        <v>0</v>
      </c>
      <c r="C646" s="1">
        <f>IF(B646="", "", "human-skin")</f>
        <v>0</v>
      </c>
      <c r="E646" s="1">
        <f>IF(B646="", "", "human skin metagenome")</f>
        <v>0</v>
      </c>
      <c r="F646" s="1">
        <f>IF(B646="", "", "539655")</f>
        <v>0</v>
      </c>
    </row>
    <row r="647" spans="1:6">
      <c r="A647">
        <f>IF(COUNTBLANK(B647:F647)&lt;&gt;COLUMNS(B647:F647),646,"")</f>
        <v>0</v>
      </c>
      <c r="C647" s="1">
        <f>IF(B647="", "", "human-skin")</f>
        <v>0</v>
      </c>
      <c r="E647" s="1">
        <f>IF(B647="", "", "human skin metagenome")</f>
        <v>0</v>
      </c>
      <c r="F647" s="1">
        <f>IF(B647="", "", "539655")</f>
        <v>0</v>
      </c>
    </row>
    <row r="648" spans="1:6">
      <c r="A648">
        <f>IF(COUNTBLANK(B648:F648)&lt;&gt;COLUMNS(B648:F648),647,"")</f>
        <v>0</v>
      </c>
      <c r="C648" s="1">
        <f>IF(B648="", "", "human-skin")</f>
        <v>0</v>
      </c>
      <c r="E648" s="1">
        <f>IF(B648="", "", "human skin metagenome")</f>
        <v>0</v>
      </c>
      <c r="F648" s="1">
        <f>IF(B648="", "", "539655")</f>
        <v>0</v>
      </c>
    </row>
    <row r="649" spans="1:6">
      <c r="A649">
        <f>IF(COUNTBLANK(B649:F649)&lt;&gt;COLUMNS(B649:F649),648,"")</f>
        <v>0</v>
      </c>
      <c r="C649" s="1">
        <f>IF(B649="", "", "human-skin")</f>
        <v>0</v>
      </c>
      <c r="E649" s="1">
        <f>IF(B649="", "", "human skin metagenome")</f>
        <v>0</v>
      </c>
      <c r="F649" s="1">
        <f>IF(B649="", "", "539655")</f>
        <v>0</v>
      </c>
    </row>
    <row r="650" spans="1:6">
      <c r="A650">
        <f>IF(COUNTBLANK(B650:F650)&lt;&gt;COLUMNS(B650:F650),649,"")</f>
        <v>0</v>
      </c>
      <c r="C650" s="1">
        <f>IF(B650="", "", "human-skin")</f>
        <v>0</v>
      </c>
      <c r="E650" s="1">
        <f>IF(B650="", "", "human skin metagenome")</f>
        <v>0</v>
      </c>
      <c r="F650" s="1">
        <f>IF(B650="", "", "539655")</f>
        <v>0</v>
      </c>
    </row>
    <row r="651" spans="1:6">
      <c r="A651">
        <f>IF(COUNTBLANK(B651:F651)&lt;&gt;COLUMNS(B651:F651),650,"")</f>
        <v>0</v>
      </c>
      <c r="C651" s="1">
        <f>IF(B651="", "", "human-skin")</f>
        <v>0</v>
      </c>
      <c r="E651" s="1">
        <f>IF(B651="", "", "human skin metagenome")</f>
        <v>0</v>
      </c>
      <c r="F651" s="1">
        <f>IF(B651="", "", "539655")</f>
        <v>0</v>
      </c>
    </row>
    <row r="652" spans="1:6">
      <c r="A652">
        <f>IF(COUNTBLANK(B652:F652)&lt;&gt;COLUMNS(B652:F652),651,"")</f>
        <v>0</v>
      </c>
      <c r="C652" s="1">
        <f>IF(B652="", "", "human-skin")</f>
        <v>0</v>
      </c>
      <c r="E652" s="1">
        <f>IF(B652="", "", "human skin metagenome")</f>
        <v>0</v>
      </c>
      <c r="F652" s="1">
        <f>IF(B652="", "", "539655")</f>
        <v>0</v>
      </c>
    </row>
    <row r="653" spans="1:6">
      <c r="A653">
        <f>IF(COUNTBLANK(B653:F653)&lt;&gt;COLUMNS(B653:F653),652,"")</f>
        <v>0</v>
      </c>
      <c r="C653" s="1">
        <f>IF(B653="", "", "human-skin")</f>
        <v>0</v>
      </c>
      <c r="E653" s="1">
        <f>IF(B653="", "", "human skin metagenome")</f>
        <v>0</v>
      </c>
      <c r="F653" s="1">
        <f>IF(B653="", "", "539655")</f>
        <v>0</v>
      </c>
    </row>
    <row r="654" spans="1:6">
      <c r="A654">
        <f>IF(COUNTBLANK(B654:F654)&lt;&gt;COLUMNS(B654:F654),653,"")</f>
        <v>0</v>
      </c>
      <c r="C654" s="1">
        <f>IF(B654="", "", "human-skin")</f>
        <v>0</v>
      </c>
      <c r="E654" s="1">
        <f>IF(B654="", "", "human skin metagenome")</f>
        <v>0</v>
      </c>
      <c r="F654" s="1">
        <f>IF(B654="", "", "539655")</f>
        <v>0</v>
      </c>
    </row>
    <row r="655" spans="1:6">
      <c r="A655">
        <f>IF(COUNTBLANK(B655:F655)&lt;&gt;COLUMNS(B655:F655),654,"")</f>
        <v>0</v>
      </c>
      <c r="C655" s="1">
        <f>IF(B655="", "", "human-skin")</f>
        <v>0</v>
      </c>
      <c r="E655" s="1">
        <f>IF(B655="", "", "human skin metagenome")</f>
        <v>0</v>
      </c>
      <c r="F655" s="1">
        <f>IF(B655="", "", "539655")</f>
        <v>0</v>
      </c>
    </row>
    <row r="656" spans="1:6">
      <c r="A656">
        <f>IF(COUNTBLANK(B656:F656)&lt;&gt;COLUMNS(B656:F656),655,"")</f>
        <v>0</v>
      </c>
      <c r="C656" s="1">
        <f>IF(B656="", "", "human-skin")</f>
        <v>0</v>
      </c>
      <c r="E656" s="1">
        <f>IF(B656="", "", "human skin metagenome")</f>
        <v>0</v>
      </c>
      <c r="F656" s="1">
        <f>IF(B656="", "", "539655")</f>
        <v>0</v>
      </c>
    </row>
    <row r="657" spans="1:6">
      <c r="A657">
        <f>IF(COUNTBLANK(B657:F657)&lt;&gt;COLUMNS(B657:F657),656,"")</f>
        <v>0</v>
      </c>
      <c r="C657" s="1">
        <f>IF(B657="", "", "human-skin")</f>
        <v>0</v>
      </c>
      <c r="E657" s="1">
        <f>IF(B657="", "", "human skin metagenome")</f>
        <v>0</v>
      </c>
      <c r="F657" s="1">
        <f>IF(B657="", "", "539655")</f>
        <v>0</v>
      </c>
    </row>
    <row r="658" spans="1:6">
      <c r="A658">
        <f>IF(COUNTBLANK(B658:F658)&lt;&gt;COLUMNS(B658:F658),657,"")</f>
        <v>0</v>
      </c>
      <c r="C658" s="1">
        <f>IF(B658="", "", "human-skin")</f>
        <v>0</v>
      </c>
      <c r="E658" s="1">
        <f>IF(B658="", "", "human skin metagenome")</f>
        <v>0</v>
      </c>
      <c r="F658" s="1">
        <f>IF(B658="", "", "539655")</f>
        <v>0</v>
      </c>
    </row>
    <row r="659" spans="1:6">
      <c r="A659">
        <f>IF(COUNTBLANK(B659:F659)&lt;&gt;COLUMNS(B659:F659),658,"")</f>
        <v>0</v>
      </c>
      <c r="C659" s="1">
        <f>IF(B659="", "", "human-skin")</f>
        <v>0</v>
      </c>
      <c r="E659" s="1">
        <f>IF(B659="", "", "human skin metagenome")</f>
        <v>0</v>
      </c>
      <c r="F659" s="1">
        <f>IF(B659="", "", "539655")</f>
        <v>0</v>
      </c>
    </row>
    <row r="660" spans="1:6">
      <c r="A660">
        <f>IF(COUNTBLANK(B660:F660)&lt;&gt;COLUMNS(B660:F660),659,"")</f>
        <v>0</v>
      </c>
      <c r="C660" s="1">
        <f>IF(B660="", "", "human-skin")</f>
        <v>0</v>
      </c>
      <c r="E660" s="1">
        <f>IF(B660="", "", "human skin metagenome")</f>
        <v>0</v>
      </c>
      <c r="F660" s="1">
        <f>IF(B660="", "", "539655")</f>
        <v>0</v>
      </c>
    </row>
    <row r="661" spans="1:6">
      <c r="A661">
        <f>IF(COUNTBLANK(B661:F661)&lt;&gt;COLUMNS(B661:F661),660,"")</f>
        <v>0</v>
      </c>
      <c r="C661" s="1">
        <f>IF(B661="", "", "human-skin")</f>
        <v>0</v>
      </c>
      <c r="E661" s="1">
        <f>IF(B661="", "", "human skin metagenome")</f>
        <v>0</v>
      </c>
      <c r="F661" s="1">
        <f>IF(B661="", "", "539655")</f>
        <v>0</v>
      </c>
    </row>
    <row r="662" spans="1:6">
      <c r="A662">
        <f>IF(COUNTBLANK(B662:F662)&lt;&gt;COLUMNS(B662:F662),661,"")</f>
        <v>0</v>
      </c>
      <c r="C662" s="1">
        <f>IF(B662="", "", "human-skin")</f>
        <v>0</v>
      </c>
      <c r="E662" s="1">
        <f>IF(B662="", "", "human skin metagenome")</f>
        <v>0</v>
      </c>
      <c r="F662" s="1">
        <f>IF(B662="", "", "539655")</f>
        <v>0</v>
      </c>
    </row>
    <row r="663" spans="1:6">
      <c r="A663">
        <f>IF(COUNTBLANK(B663:F663)&lt;&gt;COLUMNS(B663:F663),662,"")</f>
        <v>0</v>
      </c>
      <c r="C663" s="1">
        <f>IF(B663="", "", "human-skin")</f>
        <v>0</v>
      </c>
      <c r="E663" s="1">
        <f>IF(B663="", "", "human skin metagenome")</f>
        <v>0</v>
      </c>
      <c r="F663" s="1">
        <f>IF(B663="", "", "539655")</f>
        <v>0</v>
      </c>
    </row>
    <row r="664" spans="1:6">
      <c r="A664">
        <f>IF(COUNTBLANK(B664:F664)&lt;&gt;COLUMNS(B664:F664),663,"")</f>
        <v>0</v>
      </c>
      <c r="C664" s="1">
        <f>IF(B664="", "", "human-skin")</f>
        <v>0</v>
      </c>
      <c r="E664" s="1">
        <f>IF(B664="", "", "human skin metagenome")</f>
        <v>0</v>
      </c>
      <c r="F664" s="1">
        <f>IF(B664="", "", "539655")</f>
        <v>0</v>
      </c>
    </row>
    <row r="665" spans="1:6">
      <c r="A665">
        <f>IF(COUNTBLANK(B665:F665)&lt;&gt;COLUMNS(B665:F665),664,"")</f>
        <v>0</v>
      </c>
      <c r="C665" s="1">
        <f>IF(B665="", "", "human-skin")</f>
        <v>0</v>
      </c>
      <c r="E665" s="1">
        <f>IF(B665="", "", "human skin metagenome")</f>
        <v>0</v>
      </c>
      <c r="F665" s="1">
        <f>IF(B665="", "", "539655")</f>
        <v>0</v>
      </c>
    </row>
    <row r="666" spans="1:6">
      <c r="A666">
        <f>IF(COUNTBLANK(B666:F666)&lt;&gt;COLUMNS(B666:F666),665,"")</f>
        <v>0</v>
      </c>
      <c r="C666" s="1">
        <f>IF(B666="", "", "human-skin")</f>
        <v>0</v>
      </c>
      <c r="E666" s="1">
        <f>IF(B666="", "", "human skin metagenome")</f>
        <v>0</v>
      </c>
      <c r="F666" s="1">
        <f>IF(B666="", "", "539655")</f>
        <v>0</v>
      </c>
    </row>
    <row r="667" spans="1:6">
      <c r="A667">
        <f>IF(COUNTBLANK(B667:F667)&lt;&gt;COLUMNS(B667:F667),666,"")</f>
        <v>0</v>
      </c>
      <c r="C667" s="1">
        <f>IF(B667="", "", "human-skin")</f>
        <v>0</v>
      </c>
      <c r="E667" s="1">
        <f>IF(B667="", "", "human skin metagenome")</f>
        <v>0</v>
      </c>
      <c r="F667" s="1">
        <f>IF(B667="", "", "539655")</f>
        <v>0</v>
      </c>
    </row>
    <row r="668" spans="1:6">
      <c r="A668">
        <f>IF(COUNTBLANK(B668:F668)&lt;&gt;COLUMNS(B668:F668),667,"")</f>
        <v>0</v>
      </c>
      <c r="C668" s="1">
        <f>IF(B668="", "", "human-skin")</f>
        <v>0</v>
      </c>
      <c r="E668" s="1">
        <f>IF(B668="", "", "human skin metagenome")</f>
        <v>0</v>
      </c>
      <c r="F668" s="1">
        <f>IF(B668="", "", "539655")</f>
        <v>0</v>
      </c>
    </row>
    <row r="669" spans="1:6">
      <c r="A669">
        <f>IF(COUNTBLANK(B669:F669)&lt;&gt;COLUMNS(B669:F669),668,"")</f>
        <v>0</v>
      </c>
      <c r="C669" s="1">
        <f>IF(B669="", "", "human-skin")</f>
        <v>0</v>
      </c>
      <c r="E669" s="1">
        <f>IF(B669="", "", "human skin metagenome")</f>
        <v>0</v>
      </c>
      <c r="F669" s="1">
        <f>IF(B669="", "", "539655")</f>
        <v>0</v>
      </c>
    </row>
    <row r="670" spans="1:6">
      <c r="A670">
        <f>IF(COUNTBLANK(B670:F670)&lt;&gt;COLUMNS(B670:F670),669,"")</f>
        <v>0</v>
      </c>
      <c r="C670" s="1">
        <f>IF(B670="", "", "human-skin")</f>
        <v>0</v>
      </c>
      <c r="E670" s="1">
        <f>IF(B670="", "", "human skin metagenome")</f>
        <v>0</v>
      </c>
      <c r="F670" s="1">
        <f>IF(B670="", "", "539655")</f>
        <v>0</v>
      </c>
    </row>
    <row r="671" spans="1:6">
      <c r="A671">
        <f>IF(COUNTBLANK(B671:F671)&lt;&gt;COLUMNS(B671:F671),670,"")</f>
        <v>0</v>
      </c>
      <c r="C671" s="1">
        <f>IF(B671="", "", "human-skin")</f>
        <v>0</v>
      </c>
      <c r="E671" s="1">
        <f>IF(B671="", "", "human skin metagenome")</f>
        <v>0</v>
      </c>
      <c r="F671" s="1">
        <f>IF(B671="", "", "539655")</f>
        <v>0</v>
      </c>
    </row>
    <row r="672" spans="1:6">
      <c r="A672">
        <f>IF(COUNTBLANK(B672:F672)&lt;&gt;COLUMNS(B672:F672),671,"")</f>
        <v>0</v>
      </c>
      <c r="C672" s="1">
        <f>IF(B672="", "", "human-skin")</f>
        <v>0</v>
      </c>
      <c r="E672" s="1">
        <f>IF(B672="", "", "human skin metagenome")</f>
        <v>0</v>
      </c>
      <c r="F672" s="1">
        <f>IF(B672="", "", "539655")</f>
        <v>0</v>
      </c>
    </row>
    <row r="673" spans="1:6">
      <c r="A673">
        <f>IF(COUNTBLANK(B673:F673)&lt;&gt;COLUMNS(B673:F673),672,"")</f>
        <v>0</v>
      </c>
      <c r="C673" s="1">
        <f>IF(B673="", "", "human-skin")</f>
        <v>0</v>
      </c>
      <c r="E673" s="1">
        <f>IF(B673="", "", "human skin metagenome")</f>
        <v>0</v>
      </c>
      <c r="F673" s="1">
        <f>IF(B673="", "", "539655")</f>
        <v>0</v>
      </c>
    </row>
    <row r="674" spans="1:6">
      <c r="A674">
        <f>IF(COUNTBLANK(B674:F674)&lt;&gt;COLUMNS(B674:F674),673,"")</f>
        <v>0</v>
      </c>
      <c r="C674" s="1">
        <f>IF(B674="", "", "human-skin")</f>
        <v>0</v>
      </c>
      <c r="E674" s="1">
        <f>IF(B674="", "", "human skin metagenome")</f>
        <v>0</v>
      </c>
      <c r="F674" s="1">
        <f>IF(B674="", "", "539655")</f>
        <v>0</v>
      </c>
    </row>
    <row r="675" spans="1:6">
      <c r="A675">
        <f>IF(COUNTBLANK(B675:F675)&lt;&gt;COLUMNS(B675:F675),674,"")</f>
        <v>0</v>
      </c>
      <c r="C675" s="1">
        <f>IF(B675="", "", "human-skin")</f>
        <v>0</v>
      </c>
      <c r="E675" s="1">
        <f>IF(B675="", "", "human skin metagenome")</f>
        <v>0</v>
      </c>
      <c r="F675" s="1">
        <f>IF(B675="", "", "539655")</f>
        <v>0</v>
      </c>
    </row>
    <row r="676" spans="1:6">
      <c r="A676">
        <f>IF(COUNTBLANK(B676:F676)&lt;&gt;COLUMNS(B676:F676),675,"")</f>
        <v>0</v>
      </c>
      <c r="C676" s="1">
        <f>IF(B676="", "", "human-skin")</f>
        <v>0</v>
      </c>
      <c r="E676" s="1">
        <f>IF(B676="", "", "human skin metagenome")</f>
        <v>0</v>
      </c>
      <c r="F676" s="1">
        <f>IF(B676="", "", "539655")</f>
        <v>0</v>
      </c>
    </row>
    <row r="677" spans="1:6">
      <c r="A677">
        <f>IF(COUNTBLANK(B677:F677)&lt;&gt;COLUMNS(B677:F677),676,"")</f>
        <v>0</v>
      </c>
      <c r="C677" s="1">
        <f>IF(B677="", "", "human-skin")</f>
        <v>0</v>
      </c>
      <c r="E677" s="1">
        <f>IF(B677="", "", "human skin metagenome")</f>
        <v>0</v>
      </c>
      <c r="F677" s="1">
        <f>IF(B677="", "", "539655")</f>
        <v>0</v>
      </c>
    </row>
    <row r="678" spans="1:6">
      <c r="A678">
        <f>IF(COUNTBLANK(B678:F678)&lt;&gt;COLUMNS(B678:F678),677,"")</f>
        <v>0</v>
      </c>
      <c r="C678" s="1">
        <f>IF(B678="", "", "human-skin")</f>
        <v>0</v>
      </c>
      <c r="E678" s="1">
        <f>IF(B678="", "", "human skin metagenome")</f>
        <v>0</v>
      </c>
      <c r="F678" s="1">
        <f>IF(B678="", "", "539655")</f>
        <v>0</v>
      </c>
    </row>
    <row r="679" spans="1:6">
      <c r="A679">
        <f>IF(COUNTBLANK(B679:F679)&lt;&gt;COLUMNS(B679:F679),678,"")</f>
        <v>0</v>
      </c>
      <c r="C679" s="1">
        <f>IF(B679="", "", "human-skin")</f>
        <v>0</v>
      </c>
      <c r="E679" s="1">
        <f>IF(B679="", "", "human skin metagenome")</f>
        <v>0</v>
      </c>
      <c r="F679" s="1">
        <f>IF(B679="", "", "539655")</f>
        <v>0</v>
      </c>
    </row>
    <row r="680" spans="1:6">
      <c r="A680">
        <f>IF(COUNTBLANK(B680:F680)&lt;&gt;COLUMNS(B680:F680),679,"")</f>
        <v>0</v>
      </c>
      <c r="C680" s="1">
        <f>IF(B680="", "", "human-skin")</f>
        <v>0</v>
      </c>
      <c r="E680" s="1">
        <f>IF(B680="", "", "human skin metagenome")</f>
        <v>0</v>
      </c>
      <c r="F680" s="1">
        <f>IF(B680="", "", "539655")</f>
        <v>0</v>
      </c>
    </row>
    <row r="681" spans="1:6">
      <c r="A681">
        <f>IF(COUNTBLANK(B681:F681)&lt;&gt;COLUMNS(B681:F681),680,"")</f>
        <v>0</v>
      </c>
      <c r="C681" s="1">
        <f>IF(B681="", "", "human-skin")</f>
        <v>0</v>
      </c>
      <c r="E681" s="1">
        <f>IF(B681="", "", "human skin metagenome")</f>
        <v>0</v>
      </c>
      <c r="F681" s="1">
        <f>IF(B681="", "", "539655")</f>
        <v>0</v>
      </c>
    </row>
    <row r="682" spans="1:6">
      <c r="A682">
        <f>IF(COUNTBLANK(B682:F682)&lt;&gt;COLUMNS(B682:F682),681,"")</f>
        <v>0</v>
      </c>
      <c r="C682" s="1">
        <f>IF(B682="", "", "human-skin")</f>
        <v>0</v>
      </c>
      <c r="E682" s="1">
        <f>IF(B682="", "", "human skin metagenome")</f>
        <v>0</v>
      </c>
      <c r="F682" s="1">
        <f>IF(B682="", "", "539655")</f>
        <v>0</v>
      </c>
    </row>
    <row r="683" spans="1:6">
      <c r="A683">
        <f>IF(COUNTBLANK(B683:F683)&lt;&gt;COLUMNS(B683:F683),682,"")</f>
        <v>0</v>
      </c>
      <c r="C683" s="1">
        <f>IF(B683="", "", "human-skin")</f>
        <v>0</v>
      </c>
      <c r="E683" s="1">
        <f>IF(B683="", "", "human skin metagenome")</f>
        <v>0</v>
      </c>
      <c r="F683" s="1">
        <f>IF(B683="", "", "539655")</f>
        <v>0</v>
      </c>
    </row>
    <row r="684" spans="1:6">
      <c r="A684">
        <f>IF(COUNTBLANK(B684:F684)&lt;&gt;COLUMNS(B684:F684),683,"")</f>
        <v>0</v>
      </c>
      <c r="C684" s="1">
        <f>IF(B684="", "", "human-skin")</f>
        <v>0</v>
      </c>
      <c r="E684" s="1">
        <f>IF(B684="", "", "human skin metagenome")</f>
        <v>0</v>
      </c>
      <c r="F684" s="1">
        <f>IF(B684="", "", "539655")</f>
        <v>0</v>
      </c>
    </row>
    <row r="685" spans="1:6">
      <c r="A685">
        <f>IF(COUNTBLANK(B685:F685)&lt;&gt;COLUMNS(B685:F685),684,"")</f>
        <v>0</v>
      </c>
      <c r="C685" s="1">
        <f>IF(B685="", "", "human-skin")</f>
        <v>0</v>
      </c>
      <c r="E685" s="1">
        <f>IF(B685="", "", "human skin metagenome")</f>
        <v>0</v>
      </c>
      <c r="F685" s="1">
        <f>IF(B685="", "", "539655")</f>
        <v>0</v>
      </c>
    </row>
    <row r="686" spans="1:6">
      <c r="A686">
        <f>IF(COUNTBLANK(B686:F686)&lt;&gt;COLUMNS(B686:F686),685,"")</f>
        <v>0</v>
      </c>
      <c r="C686" s="1">
        <f>IF(B686="", "", "human-skin")</f>
        <v>0</v>
      </c>
      <c r="E686" s="1">
        <f>IF(B686="", "", "human skin metagenome")</f>
        <v>0</v>
      </c>
      <c r="F686" s="1">
        <f>IF(B686="", "", "539655")</f>
        <v>0</v>
      </c>
    </row>
    <row r="687" spans="1:6">
      <c r="A687">
        <f>IF(COUNTBLANK(B687:F687)&lt;&gt;COLUMNS(B687:F687),686,"")</f>
        <v>0</v>
      </c>
      <c r="C687" s="1">
        <f>IF(B687="", "", "human-skin")</f>
        <v>0</v>
      </c>
      <c r="E687" s="1">
        <f>IF(B687="", "", "human skin metagenome")</f>
        <v>0</v>
      </c>
      <c r="F687" s="1">
        <f>IF(B687="", "", "539655")</f>
        <v>0</v>
      </c>
    </row>
    <row r="688" spans="1:6">
      <c r="A688">
        <f>IF(COUNTBLANK(B688:F688)&lt;&gt;COLUMNS(B688:F688),687,"")</f>
        <v>0</v>
      </c>
      <c r="C688" s="1">
        <f>IF(B688="", "", "human-skin")</f>
        <v>0</v>
      </c>
      <c r="E688" s="1">
        <f>IF(B688="", "", "human skin metagenome")</f>
        <v>0</v>
      </c>
      <c r="F688" s="1">
        <f>IF(B688="", "", "539655")</f>
        <v>0</v>
      </c>
    </row>
    <row r="689" spans="1:6">
      <c r="A689">
        <f>IF(COUNTBLANK(B689:F689)&lt;&gt;COLUMNS(B689:F689),688,"")</f>
        <v>0</v>
      </c>
      <c r="C689" s="1">
        <f>IF(B689="", "", "human-skin")</f>
        <v>0</v>
      </c>
      <c r="E689" s="1">
        <f>IF(B689="", "", "human skin metagenome")</f>
        <v>0</v>
      </c>
      <c r="F689" s="1">
        <f>IF(B689="", "", "539655")</f>
        <v>0</v>
      </c>
    </row>
    <row r="690" spans="1:6">
      <c r="A690">
        <f>IF(COUNTBLANK(B690:F690)&lt;&gt;COLUMNS(B690:F690),689,"")</f>
        <v>0</v>
      </c>
      <c r="C690" s="1">
        <f>IF(B690="", "", "human-skin")</f>
        <v>0</v>
      </c>
      <c r="E690" s="1">
        <f>IF(B690="", "", "human skin metagenome")</f>
        <v>0</v>
      </c>
      <c r="F690" s="1">
        <f>IF(B690="", "", "539655")</f>
        <v>0</v>
      </c>
    </row>
    <row r="691" spans="1:6">
      <c r="A691">
        <f>IF(COUNTBLANK(B691:F691)&lt;&gt;COLUMNS(B691:F691),690,"")</f>
        <v>0</v>
      </c>
      <c r="C691" s="1">
        <f>IF(B691="", "", "human-skin")</f>
        <v>0</v>
      </c>
      <c r="E691" s="1">
        <f>IF(B691="", "", "human skin metagenome")</f>
        <v>0</v>
      </c>
      <c r="F691" s="1">
        <f>IF(B691="", "", "539655")</f>
        <v>0</v>
      </c>
    </row>
    <row r="692" spans="1:6">
      <c r="A692">
        <f>IF(COUNTBLANK(B692:F692)&lt;&gt;COLUMNS(B692:F692),691,"")</f>
        <v>0</v>
      </c>
      <c r="C692" s="1">
        <f>IF(B692="", "", "human-skin")</f>
        <v>0</v>
      </c>
      <c r="E692" s="1">
        <f>IF(B692="", "", "human skin metagenome")</f>
        <v>0</v>
      </c>
      <c r="F692" s="1">
        <f>IF(B692="", "", "539655")</f>
        <v>0</v>
      </c>
    </row>
    <row r="693" spans="1:6">
      <c r="A693">
        <f>IF(COUNTBLANK(B693:F693)&lt;&gt;COLUMNS(B693:F693),692,"")</f>
        <v>0</v>
      </c>
      <c r="C693" s="1">
        <f>IF(B693="", "", "human-skin")</f>
        <v>0</v>
      </c>
      <c r="E693" s="1">
        <f>IF(B693="", "", "human skin metagenome")</f>
        <v>0</v>
      </c>
      <c r="F693" s="1">
        <f>IF(B693="", "", "539655")</f>
        <v>0</v>
      </c>
    </row>
    <row r="694" spans="1:6">
      <c r="A694">
        <f>IF(COUNTBLANK(B694:F694)&lt;&gt;COLUMNS(B694:F694),693,"")</f>
        <v>0</v>
      </c>
      <c r="C694" s="1">
        <f>IF(B694="", "", "human-skin")</f>
        <v>0</v>
      </c>
      <c r="E694" s="1">
        <f>IF(B694="", "", "human skin metagenome")</f>
        <v>0</v>
      </c>
      <c r="F694" s="1">
        <f>IF(B694="", "", "539655")</f>
        <v>0</v>
      </c>
    </row>
    <row r="695" spans="1:6">
      <c r="A695">
        <f>IF(COUNTBLANK(B695:F695)&lt;&gt;COLUMNS(B695:F695),694,"")</f>
        <v>0</v>
      </c>
      <c r="C695" s="1">
        <f>IF(B695="", "", "human-skin")</f>
        <v>0</v>
      </c>
      <c r="E695" s="1">
        <f>IF(B695="", "", "human skin metagenome")</f>
        <v>0</v>
      </c>
      <c r="F695" s="1">
        <f>IF(B695="", "", "539655")</f>
        <v>0</v>
      </c>
    </row>
    <row r="696" spans="1:6">
      <c r="A696">
        <f>IF(COUNTBLANK(B696:F696)&lt;&gt;COLUMNS(B696:F696),695,"")</f>
        <v>0</v>
      </c>
      <c r="C696" s="1">
        <f>IF(B696="", "", "human-skin")</f>
        <v>0</v>
      </c>
      <c r="E696" s="1">
        <f>IF(B696="", "", "human skin metagenome")</f>
        <v>0</v>
      </c>
      <c r="F696" s="1">
        <f>IF(B696="", "", "539655")</f>
        <v>0</v>
      </c>
    </row>
    <row r="697" spans="1:6">
      <c r="A697">
        <f>IF(COUNTBLANK(B697:F697)&lt;&gt;COLUMNS(B697:F697),696,"")</f>
        <v>0</v>
      </c>
      <c r="C697" s="1">
        <f>IF(B697="", "", "human-skin")</f>
        <v>0</v>
      </c>
      <c r="E697" s="1">
        <f>IF(B697="", "", "human skin metagenome")</f>
        <v>0</v>
      </c>
      <c r="F697" s="1">
        <f>IF(B697="", "", "539655")</f>
        <v>0</v>
      </c>
    </row>
    <row r="698" spans="1:6">
      <c r="A698">
        <f>IF(COUNTBLANK(B698:F698)&lt;&gt;COLUMNS(B698:F698),697,"")</f>
        <v>0</v>
      </c>
      <c r="C698" s="1">
        <f>IF(B698="", "", "human-skin")</f>
        <v>0</v>
      </c>
      <c r="E698" s="1">
        <f>IF(B698="", "", "human skin metagenome")</f>
        <v>0</v>
      </c>
      <c r="F698" s="1">
        <f>IF(B698="", "", "539655")</f>
        <v>0</v>
      </c>
    </row>
    <row r="699" spans="1:6">
      <c r="A699">
        <f>IF(COUNTBLANK(B699:F699)&lt;&gt;COLUMNS(B699:F699),698,"")</f>
        <v>0</v>
      </c>
      <c r="C699" s="1">
        <f>IF(B699="", "", "human-skin")</f>
        <v>0</v>
      </c>
      <c r="E699" s="1">
        <f>IF(B699="", "", "human skin metagenome")</f>
        <v>0</v>
      </c>
      <c r="F699" s="1">
        <f>IF(B699="", "", "539655")</f>
        <v>0</v>
      </c>
    </row>
    <row r="700" spans="1:6">
      <c r="A700">
        <f>IF(COUNTBLANK(B700:F700)&lt;&gt;COLUMNS(B700:F700),699,"")</f>
        <v>0</v>
      </c>
      <c r="C700" s="1">
        <f>IF(B700="", "", "human-skin")</f>
        <v>0</v>
      </c>
      <c r="E700" s="1">
        <f>IF(B700="", "", "human skin metagenome")</f>
        <v>0</v>
      </c>
      <c r="F700" s="1">
        <f>IF(B700="", "", "539655")</f>
        <v>0</v>
      </c>
    </row>
    <row r="701" spans="1:6">
      <c r="A701">
        <f>IF(COUNTBLANK(B701:F701)&lt;&gt;COLUMNS(B701:F701),700,"")</f>
        <v>0</v>
      </c>
      <c r="C701" s="1">
        <f>IF(B701="", "", "human-skin")</f>
        <v>0</v>
      </c>
      <c r="E701" s="1">
        <f>IF(B701="", "", "human skin metagenome")</f>
        <v>0</v>
      </c>
      <c r="F701" s="1">
        <f>IF(B701="", "", "539655")</f>
        <v>0</v>
      </c>
    </row>
    <row r="702" spans="1:6">
      <c r="A702">
        <f>IF(COUNTBLANK(B702:F702)&lt;&gt;COLUMNS(B702:F702),701,"")</f>
        <v>0</v>
      </c>
      <c r="C702" s="1">
        <f>IF(B702="", "", "human-skin")</f>
        <v>0</v>
      </c>
      <c r="E702" s="1">
        <f>IF(B702="", "", "human skin metagenome")</f>
        <v>0</v>
      </c>
      <c r="F702" s="1">
        <f>IF(B702="", "", "539655")</f>
        <v>0</v>
      </c>
    </row>
    <row r="703" spans="1:6">
      <c r="A703">
        <f>IF(COUNTBLANK(B703:F703)&lt;&gt;COLUMNS(B703:F703),702,"")</f>
        <v>0</v>
      </c>
      <c r="C703" s="1">
        <f>IF(B703="", "", "human-skin")</f>
        <v>0</v>
      </c>
      <c r="E703" s="1">
        <f>IF(B703="", "", "human skin metagenome")</f>
        <v>0</v>
      </c>
      <c r="F703" s="1">
        <f>IF(B703="", "", "539655")</f>
        <v>0</v>
      </c>
    </row>
    <row r="704" spans="1:6">
      <c r="A704">
        <f>IF(COUNTBLANK(B704:F704)&lt;&gt;COLUMNS(B704:F704),703,"")</f>
        <v>0</v>
      </c>
      <c r="C704" s="1">
        <f>IF(B704="", "", "human-skin")</f>
        <v>0</v>
      </c>
      <c r="E704" s="1">
        <f>IF(B704="", "", "human skin metagenome")</f>
        <v>0</v>
      </c>
      <c r="F704" s="1">
        <f>IF(B704="", "", "539655")</f>
        <v>0</v>
      </c>
    </row>
    <row r="705" spans="1:6">
      <c r="A705">
        <f>IF(COUNTBLANK(B705:F705)&lt;&gt;COLUMNS(B705:F705),704,"")</f>
        <v>0</v>
      </c>
      <c r="C705" s="1">
        <f>IF(B705="", "", "human-skin")</f>
        <v>0</v>
      </c>
      <c r="E705" s="1">
        <f>IF(B705="", "", "human skin metagenome")</f>
        <v>0</v>
      </c>
      <c r="F705" s="1">
        <f>IF(B705="", "", "539655")</f>
        <v>0</v>
      </c>
    </row>
    <row r="706" spans="1:6">
      <c r="A706">
        <f>IF(COUNTBLANK(B706:F706)&lt;&gt;COLUMNS(B706:F706),705,"")</f>
        <v>0</v>
      </c>
      <c r="C706" s="1">
        <f>IF(B706="", "", "human-skin")</f>
        <v>0</v>
      </c>
      <c r="E706" s="1">
        <f>IF(B706="", "", "human skin metagenome")</f>
        <v>0</v>
      </c>
      <c r="F706" s="1">
        <f>IF(B706="", "", "539655")</f>
        <v>0</v>
      </c>
    </row>
    <row r="707" spans="1:6">
      <c r="A707">
        <f>IF(COUNTBLANK(B707:F707)&lt;&gt;COLUMNS(B707:F707),706,"")</f>
        <v>0</v>
      </c>
      <c r="C707" s="1">
        <f>IF(B707="", "", "human-skin")</f>
        <v>0</v>
      </c>
      <c r="E707" s="1">
        <f>IF(B707="", "", "human skin metagenome")</f>
        <v>0</v>
      </c>
      <c r="F707" s="1">
        <f>IF(B707="", "", "539655")</f>
        <v>0</v>
      </c>
    </row>
    <row r="708" spans="1:6">
      <c r="A708">
        <f>IF(COUNTBLANK(B708:F708)&lt;&gt;COLUMNS(B708:F708),707,"")</f>
        <v>0</v>
      </c>
      <c r="C708" s="1">
        <f>IF(B708="", "", "human-skin")</f>
        <v>0</v>
      </c>
      <c r="E708" s="1">
        <f>IF(B708="", "", "human skin metagenome")</f>
        <v>0</v>
      </c>
      <c r="F708" s="1">
        <f>IF(B708="", "", "539655")</f>
        <v>0</v>
      </c>
    </row>
    <row r="709" spans="1:6">
      <c r="A709">
        <f>IF(COUNTBLANK(B709:F709)&lt;&gt;COLUMNS(B709:F709),708,"")</f>
        <v>0</v>
      </c>
      <c r="C709" s="1">
        <f>IF(B709="", "", "human-skin")</f>
        <v>0</v>
      </c>
      <c r="E709" s="1">
        <f>IF(B709="", "", "human skin metagenome")</f>
        <v>0</v>
      </c>
      <c r="F709" s="1">
        <f>IF(B709="", "", "539655")</f>
        <v>0</v>
      </c>
    </row>
    <row r="710" spans="1:6">
      <c r="A710">
        <f>IF(COUNTBLANK(B710:F710)&lt;&gt;COLUMNS(B710:F710),709,"")</f>
        <v>0</v>
      </c>
      <c r="C710" s="1">
        <f>IF(B710="", "", "human-skin")</f>
        <v>0</v>
      </c>
      <c r="E710" s="1">
        <f>IF(B710="", "", "human skin metagenome")</f>
        <v>0</v>
      </c>
      <c r="F710" s="1">
        <f>IF(B710="", "", "539655")</f>
        <v>0</v>
      </c>
    </row>
    <row r="711" spans="1:6">
      <c r="A711">
        <f>IF(COUNTBLANK(B711:F711)&lt;&gt;COLUMNS(B711:F711),710,"")</f>
        <v>0</v>
      </c>
      <c r="C711" s="1">
        <f>IF(B711="", "", "human-skin")</f>
        <v>0</v>
      </c>
      <c r="E711" s="1">
        <f>IF(B711="", "", "human skin metagenome")</f>
        <v>0</v>
      </c>
      <c r="F711" s="1">
        <f>IF(B711="", "", "539655")</f>
        <v>0</v>
      </c>
    </row>
    <row r="712" spans="1:6">
      <c r="A712">
        <f>IF(COUNTBLANK(B712:F712)&lt;&gt;COLUMNS(B712:F712),711,"")</f>
        <v>0</v>
      </c>
      <c r="C712" s="1">
        <f>IF(B712="", "", "human-skin")</f>
        <v>0</v>
      </c>
      <c r="E712" s="1">
        <f>IF(B712="", "", "human skin metagenome")</f>
        <v>0</v>
      </c>
      <c r="F712" s="1">
        <f>IF(B712="", "", "539655")</f>
        <v>0</v>
      </c>
    </row>
    <row r="713" spans="1:6">
      <c r="A713">
        <f>IF(COUNTBLANK(B713:F713)&lt;&gt;COLUMNS(B713:F713),712,"")</f>
        <v>0</v>
      </c>
      <c r="C713" s="1">
        <f>IF(B713="", "", "human-skin")</f>
        <v>0</v>
      </c>
      <c r="E713" s="1">
        <f>IF(B713="", "", "human skin metagenome")</f>
        <v>0</v>
      </c>
      <c r="F713" s="1">
        <f>IF(B713="", "", "539655")</f>
        <v>0</v>
      </c>
    </row>
    <row r="714" spans="1:6">
      <c r="A714">
        <f>IF(COUNTBLANK(B714:F714)&lt;&gt;COLUMNS(B714:F714),713,"")</f>
        <v>0</v>
      </c>
      <c r="C714" s="1">
        <f>IF(B714="", "", "human-skin")</f>
        <v>0</v>
      </c>
      <c r="E714" s="1">
        <f>IF(B714="", "", "human skin metagenome")</f>
        <v>0</v>
      </c>
      <c r="F714" s="1">
        <f>IF(B714="", "", "539655")</f>
        <v>0</v>
      </c>
    </row>
    <row r="715" spans="1:6">
      <c r="A715">
        <f>IF(COUNTBLANK(B715:F715)&lt;&gt;COLUMNS(B715:F715),714,"")</f>
        <v>0</v>
      </c>
      <c r="C715" s="1">
        <f>IF(B715="", "", "human-skin")</f>
        <v>0</v>
      </c>
      <c r="E715" s="1">
        <f>IF(B715="", "", "human skin metagenome")</f>
        <v>0</v>
      </c>
      <c r="F715" s="1">
        <f>IF(B715="", "", "539655")</f>
        <v>0</v>
      </c>
    </row>
    <row r="716" spans="1:6">
      <c r="A716">
        <f>IF(COUNTBLANK(B716:F716)&lt;&gt;COLUMNS(B716:F716),715,"")</f>
        <v>0</v>
      </c>
      <c r="C716" s="1">
        <f>IF(B716="", "", "human-skin")</f>
        <v>0</v>
      </c>
      <c r="E716" s="1">
        <f>IF(B716="", "", "human skin metagenome")</f>
        <v>0</v>
      </c>
      <c r="F716" s="1">
        <f>IF(B716="", "", "539655")</f>
        <v>0</v>
      </c>
    </row>
    <row r="717" spans="1:6">
      <c r="A717">
        <f>IF(COUNTBLANK(B717:F717)&lt;&gt;COLUMNS(B717:F717),716,"")</f>
        <v>0</v>
      </c>
      <c r="C717" s="1">
        <f>IF(B717="", "", "human-skin")</f>
        <v>0</v>
      </c>
      <c r="E717" s="1">
        <f>IF(B717="", "", "human skin metagenome")</f>
        <v>0</v>
      </c>
      <c r="F717" s="1">
        <f>IF(B717="", "", "539655")</f>
        <v>0</v>
      </c>
    </row>
    <row r="718" spans="1:6">
      <c r="A718">
        <f>IF(COUNTBLANK(B718:F718)&lt;&gt;COLUMNS(B718:F718),717,"")</f>
        <v>0</v>
      </c>
      <c r="C718" s="1">
        <f>IF(B718="", "", "human-skin")</f>
        <v>0</v>
      </c>
      <c r="E718" s="1">
        <f>IF(B718="", "", "human skin metagenome")</f>
        <v>0</v>
      </c>
      <c r="F718" s="1">
        <f>IF(B718="", "", "539655")</f>
        <v>0</v>
      </c>
    </row>
    <row r="719" spans="1:6">
      <c r="A719">
        <f>IF(COUNTBLANK(B719:F719)&lt;&gt;COLUMNS(B719:F719),718,"")</f>
        <v>0</v>
      </c>
      <c r="C719" s="1">
        <f>IF(B719="", "", "human-skin")</f>
        <v>0</v>
      </c>
      <c r="E719" s="1">
        <f>IF(B719="", "", "human skin metagenome")</f>
        <v>0</v>
      </c>
      <c r="F719" s="1">
        <f>IF(B719="", "", "539655")</f>
        <v>0</v>
      </c>
    </row>
    <row r="720" spans="1:6">
      <c r="A720">
        <f>IF(COUNTBLANK(B720:F720)&lt;&gt;COLUMNS(B720:F720),719,"")</f>
        <v>0</v>
      </c>
      <c r="C720" s="1">
        <f>IF(B720="", "", "human-skin")</f>
        <v>0</v>
      </c>
      <c r="E720" s="1">
        <f>IF(B720="", "", "human skin metagenome")</f>
        <v>0</v>
      </c>
      <c r="F720" s="1">
        <f>IF(B720="", "", "539655")</f>
        <v>0</v>
      </c>
    </row>
    <row r="721" spans="1:6">
      <c r="A721">
        <f>IF(COUNTBLANK(B721:F721)&lt;&gt;COLUMNS(B721:F721),720,"")</f>
        <v>0</v>
      </c>
      <c r="C721" s="1">
        <f>IF(B721="", "", "human-skin")</f>
        <v>0</v>
      </c>
      <c r="E721" s="1">
        <f>IF(B721="", "", "human skin metagenome")</f>
        <v>0</v>
      </c>
      <c r="F721" s="1">
        <f>IF(B721="", "", "539655")</f>
        <v>0</v>
      </c>
    </row>
    <row r="722" spans="1:6">
      <c r="A722">
        <f>IF(COUNTBLANK(B722:F722)&lt;&gt;COLUMNS(B722:F722),721,"")</f>
        <v>0</v>
      </c>
      <c r="C722" s="1">
        <f>IF(B722="", "", "human-skin")</f>
        <v>0</v>
      </c>
      <c r="E722" s="1">
        <f>IF(B722="", "", "human skin metagenome")</f>
        <v>0</v>
      </c>
      <c r="F722" s="1">
        <f>IF(B722="", "", "539655")</f>
        <v>0</v>
      </c>
    </row>
    <row r="723" spans="1:6">
      <c r="A723">
        <f>IF(COUNTBLANK(B723:F723)&lt;&gt;COLUMNS(B723:F723),722,"")</f>
        <v>0</v>
      </c>
      <c r="C723" s="1">
        <f>IF(B723="", "", "human-skin")</f>
        <v>0</v>
      </c>
      <c r="E723" s="1">
        <f>IF(B723="", "", "human skin metagenome")</f>
        <v>0</v>
      </c>
      <c r="F723" s="1">
        <f>IF(B723="", "", "539655")</f>
        <v>0</v>
      </c>
    </row>
    <row r="724" spans="1:6">
      <c r="A724">
        <f>IF(COUNTBLANK(B724:F724)&lt;&gt;COLUMNS(B724:F724),723,"")</f>
        <v>0</v>
      </c>
      <c r="C724" s="1">
        <f>IF(B724="", "", "human-skin")</f>
        <v>0</v>
      </c>
      <c r="E724" s="1">
        <f>IF(B724="", "", "human skin metagenome")</f>
        <v>0</v>
      </c>
      <c r="F724" s="1">
        <f>IF(B724="", "", "539655")</f>
        <v>0</v>
      </c>
    </row>
    <row r="725" spans="1:6">
      <c r="A725">
        <f>IF(COUNTBLANK(B725:F725)&lt;&gt;COLUMNS(B725:F725),724,"")</f>
        <v>0</v>
      </c>
      <c r="C725" s="1">
        <f>IF(B725="", "", "human-skin")</f>
        <v>0</v>
      </c>
      <c r="E725" s="1">
        <f>IF(B725="", "", "human skin metagenome")</f>
        <v>0</v>
      </c>
      <c r="F725" s="1">
        <f>IF(B725="", "", "539655")</f>
        <v>0</v>
      </c>
    </row>
    <row r="726" spans="1:6">
      <c r="A726">
        <f>IF(COUNTBLANK(B726:F726)&lt;&gt;COLUMNS(B726:F726),725,"")</f>
        <v>0</v>
      </c>
      <c r="C726" s="1">
        <f>IF(B726="", "", "human-skin")</f>
        <v>0</v>
      </c>
      <c r="E726" s="1">
        <f>IF(B726="", "", "human skin metagenome")</f>
        <v>0</v>
      </c>
      <c r="F726" s="1">
        <f>IF(B726="", "", "539655")</f>
        <v>0</v>
      </c>
    </row>
    <row r="727" spans="1:6">
      <c r="A727">
        <f>IF(COUNTBLANK(B727:F727)&lt;&gt;COLUMNS(B727:F727),726,"")</f>
        <v>0</v>
      </c>
      <c r="C727" s="1">
        <f>IF(B727="", "", "human-skin")</f>
        <v>0</v>
      </c>
      <c r="E727" s="1">
        <f>IF(B727="", "", "human skin metagenome")</f>
        <v>0</v>
      </c>
      <c r="F727" s="1">
        <f>IF(B727="", "", "539655")</f>
        <v>0</v>
      </c>
    </row>
    <row r="728" spans="1:6">
      <c r="A728">
        <f>IF(COUNTBLANK(B728:F728)&lt;&gt;COLUMNS(B728:F728),727,"")</f>
        <v>0</v>
      </c>
      <c r="C728" s="1">
        <f>IF(B728="", "", "human-skin")</f>
        <v>0</v>
      </c>
      <c r="E728" s="1">
        <f>IF(B728="", "", "human skin metagenome")</f>
        <v>0</v>
      </c>
      <c r="F728" s="1">
        <f>IF(B728="", "", "539655")</f>
        <v>0</v>
      </c>
    </row>
    <row r="729" spans="1:6">
      <c r="A729">
        <f>IF(COUNTBLANK(B729:F729)&lt;&gt;COLUMNS(B729:F729),728,"")</f>
        <v>0</v>
      </c>
      <c r="C729" s="1">
        <f>IF(B729="", "", "human-skin")</f>
        <v>0</v>
      </c>
      <c r="E729" s="1">
        <f>IF(B729="", "", "human skin metagenome")</f>
        <v>0</v>
      </c>
      <c r="F729" s="1">
        <f>IF(B729="", "", "539655")</f>
        <v>0</v>
      </c>
    </row>
    <row r="730" spans="1:6">
      <c r="A730">
        <f>IF(COUNTBLANK(B730:F730)&lt;&gt;COLUMNS(B730:F730),729,"")</f>
        <v>0</v>
      </c>
      <c r="C730" s="1">
        <f>IF(B730="", "", "human-skin")</f>
        <v>0</v>
      </c>
      <c r="E730" s="1">
        <f>IF(B730="", "", "human skin metagenome")</f>
        <v>0</v>
      </c>
      <c r="F730" s="1">
        <f>IF(B730="", "", "539655")</f>
        <v>0</v>
      </c>
    </row>
    <row r="731" spans="1:6">
      <c r="A731">
        <f>IF(COUNTBLANK(B731:F731)&lt;&gt;COLUMNS(B731:F731),730,"")</f>
        <v>0</v>
      </c>
      <c r="C731" s="1">
        <f>IF(B731="", "", "human-skin")</f>
        <v>0</v>
      </c>
      <c r="E731" s="1">
        <f>IF(B731="", "", "human skin metagenome")</f>
        <v>0</v>
      </c>
      <c r="F731" s="1">
        <f>IF(B731="", "", "539655")</f>
        <v>0</v>
      </c>
    </row>
    <row r="732" spans="1:6">
      <c r="A732">
        <f>IF(COUNTBLANK(B732:F732)&lt;&gt;COLUMNS(B732:F732),731,"")</f>
        <v>0</v>
      </c>
      <c r="C732" s="1">
        <f>IF(B732="", "", "human-skin")</f>
        <v>0</v>
      </c>
      <c r="E732" s="1">
        <f>IF(B732="", "", "human skin metagenome")</f>
        <v>0</v>
      </c>
      <c r="F732" s="1">
        <f>IF(B732="", "", "539655")</f>
        <v>0</v>
      </c>
    </row>
    <row r="733" spans="1:6">
      <c r="A733">
        <f>IF(COUNTBLANK(B733:F733)&lt;&gt;COLUMNS(B733:F733),732,"")</f>
        <v>0</v>
      </c>
      <c r="C733" s="1">
        <f>IF(B733="", "", "human-skin")</f>
        <v>0</v>
      </c>
      <c r="E733" s="1">
        <f>IF(B733="", "", "human skin metagenome")</f>
        <v>0</v>
      </c>
      <c r="F733" s="1">
        <f>IF(B733="", "", "539655")</f>
        <v>0</v>
      </c>
    </row>
    <row r="734" spans="1:6">
      <c r="A734">
        <f>IF(COUNTBLANK(B734:F734)&lt;&gt;COLUMNS(B734:F734),733,"")</f>
        <v>0</v>
      </c>
      <c r="C734" s="1">
        <f>IF(B734="", "", "human-skin")</f>
        <v>0</v>
      </c>
      <c r="E734" s="1">
        <f>IF(B734="", "", "human skin metagenome")</f>
        <v>0</v>
      </c>
      <c r="F734" s="1">
        <f>IF(B734="", "", "539655")</f>
        <v>0</v>
      </c>
    </row>
    <row r="735" spans="1:6">
      <c r="A735">
        <f>IF(COUNTBLANK(B735:F735)&lt;&gt;COLUMNS(B735:F735),734,"")</f>
        <v>0</v>
      </c>
      <c r="C735" s="1">
        <f>IF(B735="", "", "human-skin")</f>
        <v>0</v>
      </c>
      <c r="E735" s="1">
        <f>IF(B735="", "", "human skin metagenome")</f>
        <v>0</v>
      </c>
      <c r="F735" s="1">
        <f>IF(B735="", "", "539655")</f>
        <v>0</v>
      </c>
    </row>
    <row r="736" spans="1:6">
      <c r="A736">
        <f>IF(COUNTBLANK(B736:F736)&lt;&gt;COLUMNS(B736:F736),735,"")</f>
        <v>0</v>
      </c>
      <c r="C736" s="1">
        <f>IF(B736="", "", "human-skin")</f>
        <v>0</v>
      </c>
      <c r="E736" s="1">
        <f>IF(B736="", "", "human skin metagenome")</f>
        <v>0</v>
      </c>
      <c r="F736" s="1">
        <f>IF(B736="", "", "539655")</f>
        <v>0</v>
      </c>
    </row>
    <row r="737" spans="1:6">
      <c r="A737">
        <f>IF(COUNTBLANK(B737:F737)&lt;&gt;COLUMNS(B737:F737),736,"")</f>
        <v>0</v>
      </c>
      <c r="C737" s="1">
        <f>IF(B737="", "", "human-skin")</f>
        <v>0</v>
      </c>
      <c r="E737" s="1">
        <f>IF(B737="", "", "human skin metagenome")</f>
        <v>0</v>
      </c>
      <c r="F737" s="1">
        <f>IF(B737="", "", "539655")</f>
        <v>0</v>
      </c>
    </row>
    <row r="738" spans="1:6">
      <c r="A738">
        <f>IF(COUNTBLANK(B738:F738)&lt;&gt;COLUMNS(B738:F738),737,"")</f>
        <v>0</v>
      </c>
      <c r="C738" s="1">
        <f>IF(B738="", "", "human-skin")</f>
        <v>0</v>
      </c>
      <c r="E738" s="1">
        <f>IF(B738="", "", "human skin metagenome")</f>
        <v>0</v>
      </c>
      <c r="F738" s="1">
        <f>IF(B738="", "", "539655")</f>
        <v>0</v>
      </c>
    </row>
    <row r="739" spans="1:6">
      <c r="A739">
        <f>IF(COUNTBLANK(B739:F739)&lt;&gt;COLUMNS(B739:F739),738,"")</f>
        <v>0</v>
      </c>
      <c r="C739" s="1">
        <f>IF(B739="", "", "human-skin")</f>
        <v>0</v>
      </c>
      <c r="E739" s="1">
        <f>IF(B739="", "", "human skin metagenome")</f>
        <v>0</v>
      </c>
      <c r="F739" s="1">
        <f>IF(B739="", "", "539655")</f>
        <v>0</v>
      </c>
    </row>
    <row r="740" spans="1:6">
      <c r="A740">
        <f>IF(COUNTBLANK(B740:F740)&lt;&gt;COLUMNS(B740:F740),739,"")</f>
        <v>0</v>
      </c>
      <c r="C740" s="1">
        <f>IF(B740="", "", "human-skin")</f>
        <v>0</v>
      </c>
      <c r="E740" s="1">
        <f>IF(B740="", "", "human skin metagenome")</f>
        <v>0</v>
      </c>
      <c r="F740" s="1">
        <f>IF(B740="", "", "539655")</f>
        <v>0</v>
      </c>
    </row>
    <row r="741" spans="1:6">
      <c r="A741">
        <f>IF(COUNTBLANK(B741:F741)&lt;&gt;COLUMNS(B741:F741),740,"")</f>
        <v>0</v>
      </c>
      <c r="C741" s="1">
        <f>IF(B741="", "", "human-skin")</f>
        <v>0</v>
      </c>
      <c r="E741" s="1">
        <f>IF(B741="", "", "human skin metagenome")</f>
        <v>0</v>
      </c>
      <c r="F741" s="1">
        <f>IF(B741="", "", "539655")</f>
        <v>0</v>
      </c>
    </row>
    <row r="742" spans="1:6">
      <c r="A742">
        <f>IF(COUNTBLANK(B742:F742)&lt;&gt;COLUMNS(B742:F742),741,"")</f>
        <v>0</v>
      </c>
      <c r="C742" s="1">
        <f>IF(B742="", "", "human-skin")</f>
        <v>0</v>
      </c>
      <c r="E742" s="1">
        <f>IF(B742="", "", "human skin metagenome")</f>
        <v>0</v>
      </c>
      <c r="F742" s="1">
        <f>IF(B742="", "", "539655")</f>
        <v>0</v>
      </c>
    </row>
    <row r="743" spans="1:6">
      <c r="A743">
        <f>IF(COUNTBLANK(B743:F743)&lt;&gt;COLUMNS(B743:F743),742,"")</f>
        <v>0</v>
      </c>
      <c r="C743" s="1">
        <f>IF(B743="", "", "human-skin")</f>
        <v>0</v>
      </c>
      <c r="E743" s="1">
        <f>IF(B743="", "", "human skin metagenome")</f>
        <v>0</v>
      </c>
      <c r="F743" s="1">
        <f>IF(B743="", "", "539655")</f>
        <v>0</v>
      </c>
    </row>
    <row r="744" spans="1:6">
      <c r="A744">
        <f>IF(COUNTBLANK(B744:F744)&lt;&gt;COLUMNS(B744:F744),743,"")</f>
        <v>0</v>
      </c>
      <c r="C744" s="1">
        <f>IF(B744="", "", "human-skin")</f>
        <v>0</v>
      </c>
      <c r="E744" s="1">
        <f>IF(B744="", "", "human skin metagenome")</f>
        <v>0</v>
      </c>
      <c r="F744" s="1">
        <f>IF(B744="", "", "539655")</f>
        <v>0</v>
      </c>
    </row>
    <row r="745" spans="1:6">
      <c r="A745">
        <f>IF(COUNTBLANK(B745:F745)&lt;&gt;COLUMNS(B745:F745),744,"")</f>
        <v>0</v>
      </c>
      <c r="C745" s="1">
        <f>IF(B745="", "", "human-skin")</f>
        <v>0</v>
      </c>
      <c r="E745" s="1">
        <f>IF(B745="", "", "human skin metagenome")</f>
        <v>0</v>
      </c>
      <c r="F745" s="1">
        <f>IF(B745="", "", "539655")</f>
        <v>0</v>
      </c>
    </row>
    <row r="746" spans="1:6">
      <c r="A746">
        <f>IF(COUNTBLANK(B746:F746)&lt;&gt;COLUMNS(B746:F746),745,"")</f>
        <v>0</v>
      </c>
      <c r="C746" s="1">
        <f>IF(B746="", "", "human-skin")</f>
        <v>0</v>
      </c>
      <c r="E746" s="1">
        <f>IF(B746="", "", "human skin metagenome")</f>
        <v>0</v>
      </c>
      <c r="F746" s="1">
        <f>IF(B746="", "", "539655")</f>
        <v>0</v>
      </c>
    </row>
    <row r="747" spans="1:6">
      <c r="A747">
        <f>IF(COUNTBLANK(B747:F747)&lt;&gt;COLUMNS(B747:F747),746,"")</f>
        <v>0</v>
      </c>
      <c r="C747" s="1">
        <f>IF(B747="", "", "human-skin")</f>
        <v>0</v>
      </c>
      <c r="E747" s="1">
        <f>IF(B747="", "", "human skin metagenome")</f>
        <v>0</v>
      </c>
      <c r="F747" s="1">
        <f>IF(B747="", "", "539655")</f>
        <v>0</v>
      </c>
    </row>
    <row r="748" spans="1:6">
      <c r="A748">
        <f>IF(COUNTBLANK(B748:F748)&lt;&gt;COLUMNS(B748:F748),747,"")</f>
        <v>0</v>
      </c>
      <c r="C748" s="1">
        <f>IF(B748="", "", "human-skin")</f>
        <v>0</v>
      </c>
      <c r="E748" s="1">
        <f>IF(B748="", "", "human skin metagenome")</f>
        <v>0</v>
      </c>
      <c r="F748" s="1">
        <f>IF(B748="", "", "539655")</f>
        <v>0</v>
      </c>
    </row>
    <row r="749" spans="1:6">
      <c r="A749">
        <f>IF(COUNTBLANK(B749:F749)&lt;&gt;COLUMNS(B749:F749),748,"")</f>
        <v>0</v>
      </c>
      <c r="C749" s="1">
        <f>IF(B749="", "", "human-skin")</f>
        <v>0</v>
      </c>
      <c r="E749" s="1">
        <f>IF(B749="", "", "human skin metagenome")</f>
        <v>0</v>
      </c>
      <c r="F749" s="1">
        <f>IF(B749="", "", "539655")</f>
        <v>0</v>
      </c>
    </row>
    <row r="750" spans="1:6">
      <c r="A750">
        <f>IF(COUNTBLANK(B750:F750)&lt;&gt;COLUMNS(B750:F750),749,"")</f>
        <v>0</v>
      </c>
      <c r="C750" s="1">
        <f>IF(B750="", "", "human-skin")</f>
        <v>0</v>
      </c>
      <c r="E750" s="1">
        <f>IF(B750="", "", "human skin metagenome")</f>
        <v>0</v>
      </c>
      <c r="F750" s="1">
        <f>IF(B750="", "", "539655")</f>
        <v>0</v>
      </c>
    </row>
    <row r="751" spans="1:6">
      <c r="A751">
        <f>IF(COUNTBLANK(B751:F751)&lt;&gt;COLUMNS(B751:F751),750,"")</f>
        <v>0</v>
      </c>
      <c r="C751" s="1">
        <f>IF(B751="", "", "human-skin")</f>
        <v>0</v>
      </c>
      <c r="E751" s="1">
        <f>IF(B751="", "", "human skin metagenome")</f>
        <v>0</v>
      </c>
      <c r="F751" s="1">
        <f>IF(B751="", "", "539655")</f>
        <v>0</v>
      </c>
    </row>
    <row r="752" spans="1:6">
      <c r="A752">
        <f>IF(COUNTBLANK(B752:F752)&lt;&gt;COLUMNS(B752:F752),751,"")</f>
        <v>0</v>
      </c>
      <c r="C752" s="1">
        <f>IF(B752="", "", "human-skin")</f>
        <v>0</v>
      </c>
      <c r="E752" s="1">
        <f>IF(B752="", "", "human skin metagenome")</f>
        <v>0</v>
      </c>
      <c r="F752" s="1">
        <f>IF(B752="", "", "539655")</f>
        <v>0</v>
      </c>
    </row>
    <row r="753" spans="1:6">
      <c r="A753">
        <f>IF(COUNTBLANK(B753:F753)&lt;&gt;COLUMNS(B753:F753),752,"")</f>
        <v>0</v>
      </c>
      <c r="C753" s="1">
        <f>IF(B753="", "", "human-skin")</f>
        <v>0</v>
      </c>
      <c r="E753" s="1">
        <f>IF(B753="", "", "human skin metagenome")</f>
        <v>0</v>
      </c>
      <c r="F753" s="1">
        <f>IF(B753="", "", "539655")</f>
        <v>0</v>
      </c>
    </row>
    <row r="754" spans="1:6">
      <c r="A754">
        <f>IF(COUNTBLANK(B754:F754)&lt;&gt;COLUMNS(B754:F754),753,"")</f>
        <v>0</v>
      </c>
      <c r="C754" s="1">
        <f>IF(B754="", "", "human-skin")</f>
        <v>0</v>
      </c>
      <c r="E754" s="1">
        <f>IF(B754="", "", "human skin metagenome")</f>
        <v>0</v>
      </c>
      <c r="F754" s="1">
        <f>IF(B754="", "", "539655")</f>
        <v>0</v>
      </c>
    </row>
    <row r="755" spans="1:6">
      <c r="A755">
        <f>IF(COUNTBLANK(B755:F755)&lt;&gt;COLUMNS(B755:F755),754,"")</f>
        <v>0</v>
      </c>
      <c r="C755" s="1">
        <f>IF(B755="", "", "human-skin")</f>
        <v>0</v>
      </c>
      <c r="E755" s="1">
        <f>IF(B755="", "", "human skin metagenome")</f>
        <v>0</v>
      </c>
      <c r="F755" s="1">
        <f>IF(B755="", "", "539655")</f>
        <v>0</v>
      </c>
    </row>
    <row r="756" spans="1:6">
      <c r="A756">
        <f>IF(COUNTBLANK(B756:F756)&lt;&gt;COLUMNS(B756:F756),755,"")</f>
        <v>0</v>
      </c>
      <c r="C756" s="1">
        <f>IF(B756="", "", "human-skin")</f>
        <v>0</v>
      </c>
      <c r="E756" s="1">
        <f>IF(B756="", "", "human skin metagenome")</f>
        <v>0</v>
      </c>
      <c r="F756" s="1">
        <f>IF(B756="", "", "539655")</f>
        <v>0</v>
      </c>
    </row>
    <row r="757" spans="1:6">
      <c r="A757">
        <f>IF(COUNTBLANK(B757:F757)&lt;&gt;COLUMNS(B757:F757),756,"")</f>
        <v>0</v>
      </c>
      <c r="C757" s="1">
        <f>IF(B757="", "", "human-skin")</f>
        <v>0</v>
      </c>
      <c r="E757" s="1">
        <f>IF(B757="", "", "human skin metagenome")</f>
        <v>0</v>
      </c>
      <c r="F757" s="1">
        <f>IF(B757="", "", "539655")</f>
        <v>0</v>
      </c>
    </row>
    <row r="758" spans="1:6">
      <c r="A758">
        <f>IF(COUNTBLANK(B758:F758)&lt;&gt;COLUMNS(B758:F758),757,"")</f>
        <v>0</v>
      </c>
      <c r="C758" s="1">
        <f>IF(B758="", "", "human-skin")</f>
        <v>0</v>
      </c>
      <c r="E758" s="1">
        <f>IF(B758="", "", "human skin metagenome")</f>
        <v>0</v>
      </c>
      <c r="F758" s="1">
        <f>IF(B758="", "", "539655")</f>
        <v>0</v>
      </c>
    </row>
    <row r="759" spans="1:6">
      <c r="A759">
        <f>IF(COUNTBLANK(B759:F759)&lt;&gt;COLUMNS(B759:F759),758,"")</f>
        <v>0</v>
      </c>
      <c r="C759" s="1">
        <f>IF(B759="", "", "human-skin")</f>
        <v>0</v>
      </c>
      <c r="E759" s="1">
        <f>IF(B759="", "", "human skin metagenome")</f>
        <v>0</v>
      </c>
      <c r="F759" s="1">
        <f>IF(B759="", "", "539655")</f>
        <v>0</v>
      </c>
    </row>
    <row r="760" spans="1:6">
      <c r="A760">
        <f>IF(COUNTBLANK(B760:F760)&lt;&gt;COLUMNS(B760:F760),759,"")</f>
        <v>0</v>
      </c>
      <c r="C760" s="1">
        <f>IF(B760="", "", "human-skin")</f>
        <v>0</v>
      </c>
      <c r="E760" s="1">
        <f>IF(B760="", "", "human skin metagenome")</f>
        <v>0</v>
      </c>
      <c r="F760" s="1">
        <f>IF(B760="", "", "539655")</f>
        <v>0</v>
      </c>
    </row>
    <row r="761" spans="1:6">
      <c r="A761">
        <f>IF(COUNTBLANK(B761:F761)&lt;&gt;COLUMNS(B761:F761),760,"")</f>
        <v>0</v>
      </c>
      <c r="C761" s="1">
        <f>IF(B761="", "", "human-skin")</f>
        <v>0</v>
      </c>
      <c r="E761" s="1">
        <f>IF(B761="", "", "human skin metagenome")</f>
        <v>0</v>
      </c>
      <c r="F761" s="1">
        <f>IF(B761="", "", "539655")</f>
        <v>0</v>
      </c>
    </row>
    <row r="762" spans="1:6">
      <c r="A762">
        <f>IF(COUNTBLANK(B762:F762)&lt;&gt;COLUMNS(B762:F762),761,"")</f>
        <v>0</v>
      </c>
      <c r="C762" s="1">
        <f>IF(B762="", "", "human-skin")</f>
        <v>0</v>
      </c>
      <c r="E762" s="1">
        <f>IF(B762="", "", "human skin metagenome")</f>
        <v>0</v>
      </c>
      <c r="F762" s="1">
        <f>IF(B762="", "", "539655")</f>
        <v>0</v>
      </c>
    </row>
    <row r="763" spans="1:6">
      <c r="A763">
        <f>IF(COUNTBLANK(B763:F763)&lt;&gt;COLUMNS(B763:F763),762,"")</f>
        <v>0</v>
      </c>
      <c r="C763" s="1">
        <f>IF(B763="", "", "human-skin")</f>
        <v>0</v>
      </c>
      <c r="E763" s="1">
        <f>IF(B763="", "", "human skin metagenome")</f>
        <v>0</v>
      </c>
      <c r="F763" s="1">
        <f>IF(B763="", "", "539655")</f>
        <v>0</v>
      </c>
    </row>
    <row r="764" spans="1:6">
      <c r="A764">
        <f>IF(COUNTBLANK(B764:F764)&lt;&gt;COLUMNS(B764:F764),763,"")</f>
        <v>0</v>
      </c>
      <c r="C764" s="1">
        <f>IF(B764="", "", "human-skin")</f>
        <v>0</v>
      </c>
      <c r="E764" s="1">
        <f>IF(B764="", "", "human skin metagenome")</f>
        <v>0</v>
      </c>
      <c r="F764" s="1">
        <f>IF(B764="", "", "539655")</f>
        <v>0</v>
      </c>
    </row>
    <row r="765" spans="1:6">
      <c r="A765">
        <f>IF(COUNTBLANK(B765:F765)&lt;&gt;COLUMNS(B765:F765),764,"")</f>
        <v>0</v>
      </c>
      <c r="C765" s="1">
        <f>IF(B765="", "", "human-skin")</f>
        <v>0</v>
      </c>
      <c r="E765" s="1">
        <f>IF(B765="", "", "human skin metagenome")</f>
        <v>0</v>
      </c>
      <c r="F765" s="1">
        <f>IF(B765="", "", "539655")</f>
        <v>0</v>
      </c>
    </row>
    <row r="766" spans="1:6">
      <c r="A766">
        <f>IF(COUNTBLANK(B766:F766)&lt;&gt;COLUMNS(B766:F766),765,"")</f>
        <v>0</v>
      </c>
      <c r="C766" s="1">
        <f>IF(B766="", "", "human-skin")</f>
        <v>0</v>
      </c>
      <c r="E766" s="1">
        <f>IF(B766="", "", "human skin metagenome")</f>
        <v>0</v>
      </c>
      <c r="F766" s="1">
        <f>IF(B766="", "", "539655")</f>
        <v>0</v>
      </c>
    </row>
    <row r="767" spans="1:6">
      <c r="A767">
        <f>IF(COUNTBLANK(B767:F767)&lt;&gt;COLUMNS(B767:F767),766,"")</f>
        <v>0</v>
      </c>
      <c r="C767" s="1">
        <f>IF(B767="", "", "human-skin")</f>
        <v>0</v>
      </c>
      <c r="E767" s="1">
        <f>IF(B767="", "", "human skin metagenome")</f>
        <v>0</v>
      </c>
      <c r="F767" s="1">
        <f>IF(B767="", "", "539655")</f>
        <v>0</v>
      </c>
    </row>
    <row r="768" spans="1:6">
      <c r="A768">
        <f>IF(COUNTBLANK(B768:F768)&lt;&gt;COLUMNS(B768:F768),767,"")</f>
        <v>0</v>
      </c>
      <c r="C768" s="1">
        <f>IF(B768="", "", "human-skin")</f>
        <v>0</v>
      </c>
      <c r="E768" s="1">
        <f>IF(B768="", "", "human skin metagenome")</f>
        <v>0</v>
      </c>
      <c r="F768" s="1">
        <f>IF(B768="", "", "539655")</f>
        <v>0</v>
      </c>
    </row>
    <row r="769" spans="1:6">
      <c r="A769">
        <f>IF(COUNTBLANK(B769:F769)&lt;&gt;COLUMNS(B769:F769),768,"")</f>
        <v>0</v>
      </c>
      <c r="C769" s="1">
        <f>IF(B769="", "", "human-skin")</f>
        <v>0</v>
      </c>
      <c r="E769" s="1">
        <f>IF(B769="", "", "human skin metagenome")</f>
        <v>0</v>
      </c>
      <c r="F769" s="1">
        <f>IF(B769="", "", "539655")</f>
        <v>0</v>
      </c>
    </row>
    <row r="770" spans="1:6">
      <c r="A770">
        <f>IF(COUNTBLANK(B770:F770)&lt;&gt;COLUMNS(B770:F770),769,"")</f>
        <v>0</v>
      </c>
      <c r="C770" s="1">
        <f>IF(B770="", "", "human-skin")</f>
        <v>0</v>
      </c>
      <c r="E770" s="1">
        <f>IF(B770="", "", "human skin metagenome")</f>
        <v>0</v>
      </c>
      <c r="F770" s="1">
        <f>IF(B770="", "", "539655")</f>
        <v>0</v>
      </c>
    </row>
    <row r="771" spans="1:6">
      <c r="A771">
        <f>IF(COUNTBLANK(B771:F771)&lt;&gt;COLUMNS(B771:F771),770,"")</f>
        <v>0</v>
      </c>
      <c r="C771" s="1">
        <f>IF(B771="", "", "human-skin")</f>
        <v>0</v>
      </c>
      <c r="E771" s="1">
        <f>IF(B771="", "", "human skin metagenome")</f>
        <v>0</v>
      </c>
      <c r="F771" s="1">
        <f>IF(B771="", "", "539655")</f>
        <v>0</v>
      </c>
    </row>
    <row r="772" spans="1:6">
      <c r="A772">
        <f>IF(COUNTBLANK(B772:F772)&lt;&gt;COLUMNS(B772:F772),771,"")</f>
        <v>0</v>
      </c>
      <c r="C772" s="1">
        <f>IF(B772="", "", "human-skin")</f>
        <v>0</v>
      </c>
      <c r="E772" s="1">
        <f>IF(B772="", "", "human skin metagenome")</f>
        <v>0</v>
      </c>
      <c r="F772" s="1">
        <f>IF(B772="", "", "539655")</f>
        <v>0</v>
      </c>
    </row>
    <row r="773" spans="1:6">
      <c r="A773">
        <f>IF(COUNTBLANK(B773:F773)&lt;&gt;COLUMNS(B773:F773),772,"")</f>
        <v>0</v>
      </c>
      <c r="C773" s="1">
        <f>IF(B773="", "", "human-skin")</f>
        <v>0</v>
      </c>
      <c r="E773" s="1">
        <f>IF(B773="", "", "human skin metagenome")</f>
        <v>0</v>
      </c>
      <c r="F773" s="1">
        <f>IF(B773="", "", "539655")</f>
        <v>0</v>
      </c>
    </row>
    <row r="774" spans="1:6">
      <c r="A774">
        <f>IF(COUNTBLANK(B774:F774)&lt;&gt;COLUMNS(B774:F774),773,"")</f>
        <v>0</v>
      </c>
      <c r="C774" s="1">
        <f>IF(B774="", "", "human-skin")</f>
        <v>0</v>
      </c>
      <c r="E774" s="1">
        <f>IF(B774="", "", "human skin metagenome")</f>
        <v>0</v>
      </c>
      <c r="F774" s="1">
        <f>IF(B774="", "", "539655")</f>
        <v>0</v>
      </c>
    </row>
    <row r="775" spans="1:6">
      <c r="A775">
        <f>IF(COUNTBLANK(B775:F775)&lt;&gt;COLUMNS(B775:F775),774,"")</f>
        <v>0</v>
      </c>
      <c r="C775" s="1">
        <f>IF(B775="", "", "human-skin")</f>
        <v>0</v>
      </c>
      <c r="E775" s="1">
        <f>IF(B775="", "", "human skin metagenome")</f>
        <v>0</v>
      </c>
      <c r="F775" s="1">
        <f>IF(B775="", "", "539655")</f>
        <v>0</v>
      </c>
    </row>
    <row r="776" spans="1:6">
      <c r="A776">
        <f>IF(COUNTBLANK(B776:F776)&lt;&gt;COLUMNS(B776:F776),775,"")</f>
        <v>0</v>
      </c>
      <c r="C776" s="1">
        <f>IF(B776="", "", "human-skin")</f>
        <v>0</v>
      </c>
      <c r="E776" s="1">
        <f>IF(B776="", "", "human skin metagenome")</f>
        <v>0</v>
      </c>
      <c r="F776" s="1">
        <f>IF(B776="", "", "539655")</f>
        <v>0</v>
      </c>
    </row>
    <row r="777" spans="1:6">
      <c r="A777">
        <f>IF(COUNTBLANK(B777:F777)&lt;&gt;COLUMNS(B777:F777),776,"")</f>
        <v>0</v>
      </c>
      <c r="C777" s="1">
        <f>IF(B777="", "", "human-skin")</f>
        <v>0</v>
      </c>
      <c r="E777" s="1">
        <f>IF(B777="", "", "human skin metagenome")</f>
        <v>0</v>
      </c>
      <c r="F777" s="1">
        <f>IF(B777="", "", "539655")</f>
        <v>0</v>
      </c>
    </row>
    <row r="778" spans="1:6">
      <c r="A778">
        <f>IF(COUNTBLANK(B778:F778)&lt;&gt;COLUMNS(B778:F778),777,"")</f>
        <v>0</v>
      </c>
      <c r="C778" s="1">
        <f>IF(B778="", "", "human-skin")</f>
        <v>0</v>
      </c>
      <c r="E778" s="1">
        <f>IF(B778="", "", "human skin metagenome")</f>
        <v>0</v>
      </c>
      <c r="F778" s="1">
        <f>IF(B778="", "", "539655")</f>
        <v>0</v>
      </c>
    </row>
    <row r="779" spans="1:6">
      <c r="A779">
        <f>IF(COUNTBLANK(B779:F779)&lt;&gt;COLUMNS(B779:F779),778,"")</f>
        <v>0</v>
      </c>
      <c r="C779" s="1">
        <f>IF(B779="", "", "human-skin")</f>
        <v>0</v>
      </c>
      <c r="E779" s="1">
        <f>IF(B779="", "", "human skin metagenome")</f>
        <v>0</v>
      </c>
      <c r="F779" s="1">
        <f>IF(B779="", "", "539655")</f>
        <v>0</v>
      </c>
    </row>
    <row r="780" spans="1:6">
      <c r="A780">
        <f>IF(COUNTBLANK(B780:F780)&lt;&gt;COLUMNS(B780:F780),779,"")</f>
        <v>0</v>
      </c>
      <c r="C780" s="1">
        <f>IF(B780="", "", "human-skin")</f>
        <v>0</v>
      </c>
      <c r="E780" s="1">
        <f>IF(B780="", "", "human skin metagenome")</f>
        <v>0</v>
      </c>
      <c r="F780" s="1">
        <f>IF(B780="", "", "539655")</f>
        <v>0</v>
      </c>
    </row>
    <row r="781" spans="1:6">
      <c r="A781">
        <f>IF(COUNTBLANK(B781:F781)&lt;&gt;COLUMNS(B781:F781),780,"")</f>
        <v>0</v>
      </c>
      <c r="C781" s="1">
        <f>IF(B781="", "", "human-skin")</f>
        <v>0</v>
      </c>
      <c r="E781" s="1">
        <f>IF(B781="", "", "human skin metagenome")</f>
        <v>0</v>
      </c>
      <c r="F781" s="1">
        <f>IF(B781="", "", "539655")</f>
        <v>0</v>
      </c>
    </row>
    <row r="782" spans="1:6">
      <c r="A782">
        <f>IF(COUNTBLANK(B782:F782)&lt;&gt;COLUMNS(B782:F782),781,"")</f>
        <v>0</v>
      </c>
      <c r="C782" s="1">
        <f>IF(B782="", "", "human-skin")</f>
        <v>0</v>
      </c>
      <c r="E782" s="1">
        <f>IF(B782="", "", "human skin metagenome")</f>
        <v>0</v>
      </c>
      <c r="F782" s="1">
        <f>IF(B782="", "", "539655")</f>
        <v>0</v>
      </c>
    </row>
    <row r="783" spans="1:6">
      <c r="A783">
        <f>IF(COUNTBLANK(B783:F783)&lt;&gt;COLUMNS(B783:F783),782,"")</f>
        <v>0</v>
      </c>
      <c r="C783" s="1">
        <f>IF(B783="", "", "human-skin")</f>
        <v>0</v>
      </c>
      <c r="E783" s="1">
        <f>IF(B783="", "", "human skin metagenome")</f>
        <v>0</v>
      </c>
      <c r="F783" s="1">
        <f>IF(B783="", "", "539655")</f>
        <v>0</v>
      </c>
    </row>
    <row r="784" spans="1:6">
      <c r="A784">
        <f>IF(COUNTBLANK(B784:F784)&lt;&gt;COLUMNS(B784:F784),783,"")</f>
        <v>0</v>
      </c>
      <c r="C784" s="1">
        <f>IF(B784="", "", "human-skin")</f>
        <v>0</v>
      </c>
      <c r="E784" s="1">
        <f>IF(B784="", "", "human skin metagenome")</f>
        <v>0</v>
      </c>
      <c r="F784" s="1">
        <f>IF(B784="", "", "539655")</f>
        <v>0</v>
      </c>
    </row>
    <row r="785" spans="1:6">
      <c r="A785">
        <f>IF(COUNTBLANK(B785:F785)&lt;&gt;COLUMNS(B785:F785),784,"")</f>
        <v>0</v>
      </c>
      <c r="C785" s="1">
        <f>IF(B785="", "", "human-skin")</f>
        <v>0</v>
      </c>
      <c r="E785" s="1">
        <f>IF(B785="", "", "human skin metagenome")</f>
        <v>0</v>
      </c>
      <c r="F785" s="1">
        <f>IF(B785="", "", "539655")</f>
        <v>0</v>
      </c>
    </row>
    <row r="786" spans="1:6">
      <c r="A786">
        <f>IF(COUNTBLANK(B786:F786)&lt;&gt;COLUMNS(B786:F786),785,"")</f>
        <v>0</v>
      </c>
      <c r="C786" s="1">
        <f>IF(B786="", "", "human-skin")</f>
        <v>0</v>
      </c>
      <c r="E786" s="1">
        <f>IF(B786="", "", "human skin metagenome")</f>
        <v>0</v>
      </c>
      <c r="F786" s="1">
        <f>IF(B786="", "", "539655")</f>
        <v>0</v>
      </c>
    </row>
    <row r="787" spans="1:6">
      <c r="A787">
        <f>IF(COUNTBLANK(B787:F787)&lt;&gt;COLUMNS(B787:F787),786,"")</f>
        <v>0</v>
      </c>
      <c r="C787" s="1">
        <f>IF(B787="", "", "human-skin")</f>
        <v>0</v>
      </c>
      <c r="E787" s="1">
        <f>IF(B787="", "", "human skin metagenome")</f>
        <v>0</v>
      </c>
      <c r="F787" s="1">
        <f>IF(B787="", "", "539655")</f>
        <v>0</v>
      </c>
    </row>
    <row r="788" spans="1:6">
      <c r="A788">
        <f>IF(COUNTBLANK(B788:F788)&lt;&gt;COLUMNS(B788:F788),787,"")</f>
        <v>0</v>
      </c>
      <c r="C788" s="1">
        <f>IF(B788="", "", "human-skin")</f>
        <v>0</v>
      </c>
      <c r="E788" s="1">
        <f>IF(B788="", "", "human skin metagenome")</f>
        <v>0</v>
      </c>
      <c r="F788" s="1">
        <f>IF(B788="", "", "539655")</f>
        <v>0</v>
      </c>
    </row>
    <row r="789" spans="1:6">
      <c r="A789">
        <f>IF(COUNTBLANK(B789:F789)&lt;&gt;COLUMNS(B789:F789),788,"")</f>
        <v>0</v>
      </c>
      <c r="C789" s="1">
        <f>IF(B789="", "", "human-skin")</f>
        <v>0</v>
      </c>
      <c r="E789" s="1">
        <f>IF(B789="", "", "human skin metagenome")</f>
        <v>0</v>
      </c>
      <c r="F789" s="1">
        <f>IF(B789="", "", "539655")</f>
        <v>0</v>
      </c>
    </row>
    <row r="790" spans="1:6">
      <c r="A790">
        <f>IF(COUNTBLANK(B790:F790)&lt;&gt;COLUMNS(B790:F790),789,"")</f>
        <v>0</v>
      </c>
      <c r="C790" s="1">
        <f>IF(B790="", "", "human-skin")</f>
        <v>0</v>
      </c>
      <c r="E790" s="1">
        <f>IF(B790="", "", "human skin metagenome")</f>
        <v>0</v>
      </c>
      <c r="F790" s="1">
        <f>IF(B790="", "", "539655")</f>
        <v>0</v>
      </c>
    </row>
    <row r="791" spans="1:6">
      <c r="A791">
        <f>IF(COUNTBLANK(B791:F791)&lt;&gt;COLUMNS(B791:F791),790,"")</f>
        <v>0</v>
      </c>
      <c r="C791" s="1">
        <f>IF(B791="", "", "human-skin")</f>
        <v>0</v>
      </c>
      <c r="E791" s="1">
        <f>IF(B791="", "", "human skin metagenome")</f>
        <v>0</v>
      </c>
      <c r="F791" s="1">
        <f>IF(B791="", "", "539655")</f>
        <v>0</v>
      </c>
    </row>
    <row r="792" spans="1:6">
      <c r="A792">
        <f>IF(COUNTBLANK(B792:F792)&lt;&gt;COLUMNS(B792:F792),791,"")</f>
        <v>0</v>
      </c>
      <c r="C792" s="1">
        <f>IF(B792="", "", "human-skin")</f>
        <v>0</v>
      </c>
      <c r="E792" s="1">
        <f>IF(B792="", "", "human skin metagenome")</f>
        <v>0</v>
      </c>
      <c r="F792" s="1">
        <f>IF(B792="", "", "539655")</f>
        <v>0</v>
      </c>
    </row>
    <row r="793" spans="1:6">
      <c r="A793">
        <f>IF(COUNTBLANK(B793:F793)&lt;&gt;COLUMNS(B793:F793),792,"")</f>
        <v>0</v>
      </c>
      <c r="C793" s="1">
        <f>IF(B793="", "", "human-skin")</f>
        <v>0</v>
      </c>
      <c r="E793" s="1">
        <f>IF(B793="", "", "human skin metagenome")</f>
        <v>0</v>
      </c>
      <c r="F793" s="1">
        <f>IF(B793="", "", "539655")</f>
        <v>0</v>
      </c>
    </row>
    <row r="794" spans="1:6">
      <c r="A794">
        <f>IF(COUNTBLANK(B794:F794)&lt;&gt;COLUMNS(B794:F794),793,"")</f>
        <v>0</v>
      </c>
      <c r="C794" s="1">
        <f>IF(B794="", "", "human-skin")</f>
        <v>0</v>
      </c>
      <c r="E794" s="1">
        <f>IF(B794="", "", "human skin metagenome")</f>
        <v>0</v>
      </c>
      <c r="F794" s="1">
        <f>IF(B794="", "", "539655")</f>
        <v>0</v>
      </c>
    </row>
    <row r="795" spans="1:6">
      <c r="A795">
        <f>IF(COUNTBLANK(B795:F795)&lt;&gt;COLUMNS(B795:F795),794,"")</f>
        <v>0</v>
      </c>
      <c r="C795" s="1">
        <f>IF(B795="", "", "human-skin")</f>
        <v>0</v>
      </c>
      <c r="E795" s="1">
        <f>IF(B795="", "", "human skin metagenome")</f>
        <v>0</v>
      </c>
      <c r="F795" s="1">
        <f>IF(B795="", "", "539655")</f>
        <v>0</v>
      </c>
    </row>
    <row r="796" spans="1:6">
      <c r="A796">
        <f>IF(COUNTBLANK(B796:F796)&lt;&gt;COLUMNS(B796:F796),795,"")</f>
        <v>0</v>
      </c>
      <c r="C796" s="1">
        <f>IF(B796="", "", "human-skin")</f>
        <v>0</v>
      </c>
      <c r="E796" s="1">
        <f>IF(B796="", "", "human skin metagenome")</f>
        <v>0</v>
      </c>
      <c r="F796" s="1">
        <f>IF(B796="", "", "539655")</f>
        <v>0</v>
      </c>
    </row>
    <row r="797" spans="1:6">
      <c r="A797">
        <f>IF(COUNTBLANK(B797:F797)&lt;&gt;COLUMNS(B797:F797),796,"")</f>
        <v>0</v>
      </c>
      <c r="C797" s="1">
        <f>IF(B797="", "", "human-skin")</f>
        <v>0</v>
      </c>
      <c r="E797" s="1">
        <f>IF(B797="", "", "human skin metagenome")</f>
        <v>0</v>
      </c>
      <c r="F797" s="1">
        <f>IF(B797="", "", "539655")</f>
        <v>0</v>
      </c>
    </row>
    <row r="798" spans="1:6">
      <c r="A798">
        <f>IF(COUNTBLANK(B798:F798)&lt;&gt;COLUMNS(B798:F798),797,"")</f>
        <v>0</v>
      </c>
      <c r="C798" s="1">
        <f>IF(B798="", "", "human-skin")</f>
        <v>0</v>
      </c>
      <c r="E798" s="1">
        <f>IF(B798="", "", "human skin metagenome")</f>
        <v>0</v>
      </c>
      <c r="F798" s="1">
        <f>IF(B798="", "", "539655")</f>
        <v>0</v>
      </c>
    </row>
    <row r="799" spans="1:6">
      <c r="A799">
        <f>IF(COUNTBLANK(B799:F799)&lt;&gt;COLUMNS(B799:F799),798,"")</f>
        <v>0</v>
      </c>
      <c r="C799" s="1">
        <f>IF(B799="", "", "human-skin")</f>
        <v>0</v>
      </c>
      <c r="E799" s="1">
        <f>IF(B799="", "", "human skin metagenome")</f>
        <v>0</v>
      </c>
      <c r="F799" s="1">
        <f>IF(B799="", "", "539655")</f>
        <v>0</v>
      </c>
    </row>
    <row r="800" spans="1:6">
      <c r="A800">
        <f>IF(COUNTBLANK(B800:F800)&lt;&gt;COLUMNS(B800:F800),799,"")</f>
        <v>0</v>
      </c>
      <c r="C800" s="1">
        <f>IF(B800="", "", "human-skin")</f>
        <v>0</v>
      </c>
      <c r="E800" s="1">
        <f>IF(B800="", "", "human skin metagenome")</f>
        <v>0</v>
      </c>
      <c r="F800" s="1">
        <f>IF(B800="", "", "539655")</f>
        <v>0</v>
      </c>
    </row>
    <row r="801" spans="1:6">
      <c r="A801">
        <f>IF(COUNTBLANK(B801:F801)&lt;&gt;COLUMNS(B801:F801),800,"")</f>
        <v>0</v>
      </c>
      <c r="C801" s="1">
        <f>IF(B801="", "", "human-skin")</f>
        <v>0</v>
      </c>
      <c r="E801" s="1">
        <f>IF(B801="", "", "human skin metagenome")</f>
        <v>0</v>
      </c>
      <c r="F801" s="1">
        <f>IF(B801="", "", "539655")</f>
        <v>0</v>
      </c>
    </row>
    <row r="802" spans="1:6">
      <c r="A802">
        <f>IF(COUNTBLANK(B802:F802)&lt;&gt;COLUMNS(B802:F802),801,"")</f>
        <v>0</v>
      </c>
      <c r="C802" s="1">
        <f>IF(B802="", "", "human-skin")</f>
        <v>0</v>
      </c>
      <c r="E802" s="1">
        <f>IF(B802="", "", "human skin metagenome")</f>
        <v>0</v>
      </c>
      <c r="F802" s="1">
        <f>IF(B802="", "", "539655")</f>
        <v>0</v>
      </c>
    </row>
    <row r="803" spans="1:6">
      <c r="A803">
        <f>IF(COUNTBLANK(B803:F803)&lt;&gt;COLUMNS(B803:F803),802,"")</f>
        <v>0</v>
      </c>
      <c r="C803" s="1">
        <f>IF(B803="", "", "human-skin")</f>
        <v>0</v>
      </c>
      <c r="E803" s="1">
        <f>IF(B803="", "", "human skin metagenome")</f>
        <v>0</v>
      </c>
      <c r="F803" s="1">
        <f>IF(B803="", "", "539655")</f>
        <v>0</v>
      </c>
    </row>
    <row r="804" spans="1:6">
      <c r="A804">
        <f>IF(COUNTBLANK(B804:F804)&lt;&gt;COLUMNS(B804:F804),803,"")</f>
        <v>0</v>
      </c>
      <c r="C804" s="1">
        <f>IF(B804="", "", "human-skin")</f>
        <v>0</v>
      </c>
      <c r="E804" s="1">
        <f>IF(B804="", "", "human skin metagenome")</f>
        <v>0</v>
      </c>
      <c r="F804" s="1">
        <f>IF(B804="", "", "539655")</f>
        <v>0</v>
      </c>
    </row>
    <row r="805" spans="1:6">
      <c r="A805">
        <f>IF(COUNTBLANK(B805:F805)&lt;&gt;COLUMNS(B805:F805),804,"")</f>
        <v>0</v>
      </c>
      <c r="C805" s="1">
        <f>IF(B805="", "", "human-skin")</f>
        <v>0</v>
      </c>
      <c r="E805" s="1">
        <f>IF(B805="", "", "human skin metagenome")</f>
        <v>0</v>
      </c>
      <c r="F805" s="1">
        <f>IF(B805="", "", "539655")</f>
        <v>0</v>
      </c>
    </row>
    <row r="806" spans="1:6">
      <c r="A806">
        <f>IF(COUNTBLANK(B806:F806)&lt;&gt;COLUMNS(B806:F806),805,"")</f>
        <v>0</v>
      </c>
      <c r="C806" s="1">
        <f>IF(B806="", "", "human-skin")</f>
        <v>0</v>
      </c>
      <c r="E806" s="1">
        <f>IF(B806="", "", "human skin metagenome")</f>
        <v>0</v>
      </c>
      <c r="F806" s="1">
        <f>IF(B806="", "", "539655")</f>
        <v>0</v>
      </c>
    </row>
    <row r="807" spans="1:6">
      <c r="A807">
        <f>IF(COUNTBLANK(B807:F807)&lt;&gt;COLUMNS(B807:F807),806,"")</f>
        <v>0</v>
      </c>
      <c r="C807" s="1">
        <f>IF(B807="", "", "human-skin")</f>
        <v>0</v>
      </c>
      <c r="E807" s="1">
        <f>IF(B807="", "", "human skin metagenome")</f>
        <v>0</v>
      </c>
      <c r="F807" s="1">
        <f>IF(B807="", "", "539655")</f>
        <v>0</v>
      </c>
    </row>
    <row r="808" spans="1:6">
      <c r="A808">
        <f>IF(COUNTBLANK(B808:F808)&lt;&gt;COLUMNS(B808:F808),807,"")</f>
        <v>0</v>
      </c>
      <c r="C808" s="1">
        <f>IF(B808="", "", "human-skin")</f>
        <v>0</v>
      </c>
      <c r="E808" s="1">
        <f>IF(B808="", "", "human skin metagenome")</f>
        <v>0</v>
      </c>
      <c r="F808" s="1">
        <f>IF(B808="", "", "539655")</f>
        <v>0</v>
      </c>
    </row>
    <row r="809" spans="1:6">
      <c r="A809">
        <f>IF(COUNTBLANK(B809:F809)&lt;&gt;COLUMNS(B809:F809),808,"")</f>
        <v>0</v>
      </c>
      <c r="C809" s="1">
        <f>IF(B809="", "", "human-skin")</f>
        <v>0</v>
      </c>
      <c r="E809" s="1">
        <f>IF(B809="", "", "human skin metagenome")</f>
        <v>0</v>
      </c>
      <c r="F809" s="1">
        <f>IF(B809="", "", "539655")</f>
        <v>0</v>
      </c>
    </row>
    <row r="810" spans="1:6">
      <c r="A810">
        <f>IF(COUNTBLANK(B810:F810)&lt;&gt;COLUMNS(B810:F810),809,"")</f>
        <v>0</v>
      </c>
      <c r="C810" s="1">
        <f>IF(B810="", "", "human-skin")</f>
        <v>0</v>
      </c>
      <c r="E810" s="1">
        <f>IF(B810="", "", "human skin metagenome")</f>
        <v>0</v>
      </c>
      <c r="F810" s="1">
        <f>IF(B810="", "", "539655")</f>
        <v>0</v>
      </c>
    </row>
    <row r="811" spans="1:6">
      <c r="A811">
        <f>IF(COUNTBLANK(B811:F811)&lt;&gt;COLUMNS(B811:F811),810,"")</f>
        <v>0</v>
      </c>
      <c r="C811" s="1">
        <f>IF(B811="", "", "human-skin")</f>
        <v>0</v>
      </c>
      <c r="E811" s="1">
        <f>IF(B811="", "", "human skin metagenome")</f>
        <v>0</v>
      </c>
      <c r="F811" s="1">
        <f>IF(B811="", "", "539655")</f>
        <v>0</v>
      </c>
    </row>
    <row r="812" spans="1:6">
      <c r="A812">
        <f>IF(COUNTBLANK(B812:F812)&lt;&gt;COLUMNS(B812:F812),811,"")</f>
        <v>0</v>
      </c>
      <c r="C812" s="1">
        <f>IF(B812="", "", "human-skin")</f>
        <v>0</v>
      </c>
      <c r="E812" s="1">
        <f>IF(B812="", "", "human skin metagenome")</f>
        <v>0</v>
      </c>
      <c r="F812" s="1">
        <f>IF(B812="", "", "539655")</f>
        <v>0</v>
      </c>
    </row>
    <row r="813" spans="1:6">
      <c r="A813">
        <f>IF(COUNTBLANK(B813:F813)&lt;&gt;COLUMNS(B813:F813),812,"")</f>
        <v>0</v>
      </c>
      <c r="C813" s="1">
        <f>IF(B813="", "", "human-skin")</f>
        <v>0</v>
      </c>
      <c r="E813" s="1">
        <f>IF(B813="", "", "human skin metagenome")</f>
        <v>0</v>
      </c>
      <c r="F813" s="1">
        <f>IF(B813="", "", "539655")</f>
        <v>0</v>
      </c>
    </row>
    <row r="814" spans="1:6">
      <c r="A814">
        <f>IF(COUNTBLANK(B814:F814)&lt;&gt;COLUMNS(B814:F814),813,"")</f>
        <v>0</v>
      </c>
      <c r="C814" s="1">
        <f>IF(B814="", "", "human-skin")</f>
        <v>0</v>
      </c>
      <c r="E814" s="1">
        <f>IF(B814="", "", "human skin metagenome")</f>
        <v>0</v>
      </c>
      <c r="F814" s="1">
        <f>IF(B814="", "", "539655")</f>
        <v>0</v>
      </c>
    </row>
    <row r="815" spans="1:6">
      <c r="A815">
        <f>IF(COUNTBLANK(B815:F815)&lt;&gt;COLUMNS(B815:F815),814,"")</f>
        <v>0</v>
      </c>
      <c r="C815" s="1">
        <f>IF(B815="", "", "human-skin")</f>
        <v>0</v>
      </c>
      <c r="E815" s="1">
        <f>IF(B815="", "", "human skin metagenome")</f>
        <v>0</v>
      </c>
      <c r="F815" s="1">
        <f>IF(B815="", "", "539655")</f>
        <v>0</v>
      </c>
    </row>
    <row r="816" spans="1:6">
      <c r="A816">
        <f>IF(COUNTBLANK(B816:F816)&lt;&gt;COLUMNS(B816:F816),815,"")</f>
        <v>0</v>
      </c>
      <c r="C816" s="1">
        <f>IF(B816="", "", "human-skin")</f>
        <v>0</v>
      </c>
      <c r="E816" s="1">
        <f>IF(B816="", "", "human skin metagenome")</f>
        <v>0</v>
      </c>
      <c r="F816" s="1">
        <f>IF(B816="", "", "539655")</f>
        <v>0</v>
      </c>
    </row>
    <row r="817" spans="1:6">
      <c r="A817">
        <f>IF(COUNTBLANK(B817:F817)&lt;&gt;COLUMNS(B817:F817),816,"")</f>
        <v>0</v>
      </c>
      <c r="C817" s="1">
        <f>IF(B817="", "", "human-skin")</f>
        <v>0</v>
      </c>
      <c r="E817" s="1">
        <f>IF(B817="", "", "human skin metagenome")</f>
        <v>0</v>
      </c>
      <c r="F817" s="1">
        <f>IF(B817="", "", "539655")</f>
        <v>0</v>
      </c>
    </row>
    <row r="818" spans="1:6">
      <c r="A818">
        <f>IF(COUNTBLANK(B818:F818)&lt;&gt;COLUMNS(B818:F818),817,"")</f>
        <v>0</v>
      </c>
      <c r="C818" s="1">
        <f>IF(B818="", "", "human-skin")</f>
        <v>0</v>
      </c>
      <c r="E818" s="1">
        <f>IF(B818="", "", "human skin metagenome")</f>
        <v>0</v>
      </c>
      <c r="F818" s="1">
        <f>IF(B818="", "", "539655")</f>
        <v>0</v>
      </c>
    </row>
    <row r="819" spans="1:6">
      <c r="A819">
        <f>IF(COUNTBLANK(B819:F819)&lt;&gt;COLUMNS(B819:F819),818,"")</f>
        <v>0</v>
      </c>
      <c r="C819" s="1">
        <f>IF(B819="", "", "human-skin")</f>
        <v>0</v>
      </c>
      <c r="E819" s="1">
        <f>IF(B819="", "", "human skin metagenome")</f>
        <v>0</v>
      </c>
      <c r="F819" s="1">
        <f>IF(B819="", "", "539655")</f>
        <v>0</v>
      </c>
    </row>
    <row r="820" spans="1:6">
      <c r="A820">
        <f>IF(COUNTBLANK(B820:F820)&lt;&gt;COLUMNS(B820:F820),819,"")</f>
        <v>0</v>
      </c>
      <c r="C820" s="1">
        <f>IF(B820="", "", "human-skin")</f>
        <v>0</v>
      </c>
      <c r="E820" s="1">
        <f>IF(B820="", "", "human skin metagenome")</f>
        <v>0</v>
      </c>
      <c r="F820" s="1">
        <f>IF(B820="", "", "539655")</f>
        <v>0</v>
      </c>
    </row>
    <row r="821" spans="1:6">
      <c r="A821">
        <f>IF(COUNTBLANK(B821:F821)&lt;&gt;COLUMNS(B821:F821),820,"")</f>
        <v>0</v>
      </c>
      <c r="C821" s="1">
        <f>IF(B821="", "", "human-skin")</f>
        <v>0</v>
      </c>
      <c r="E821" s="1">
        <f>IF(B821="", "", "human skin metagenome")</f>
        <v>0</v>
      </c>
      <c r="F821" s="1">
        <f>IF(B821="", "", "539655")</f>
        <v>0</v>
      </c>
    </row>
    <row r="822" spans="1:6">
      <c r="A822">
        <f>IF(COUNTBLANK(B822:F822)&lt;&gt;COLUMNS(B822:F822),821,"")</f>
        <v>0</v>
      </c>
      <c r="C822" s="1">
        <f>IF(B822="", "", "human-skin")</f>
        <v>0</v>
      </c>
      <c r="E822" s="1">
        <f>IF(B822="", "", "human skin metagenome")</f>
        <v>0</v>
      </c>
      <c r="F822" s="1">
        <f>IF(B822="", "", "539655")</f>
        <v>0</v>
      </c>
    </row>
    <row r="823" spans="1:6">
      <c r="A823">
        <f>IF(COUNTBLANK(B823:F823)&lt;&gt;COLUMNS(B823:F823),822,"")</f>
        <v>0</v>
      </c>
      <c r="C823" s="1">
        <f>IF(B823="", "", "human-skin")</f>
        <v>0</v>
      </c>
      <c r="E823" s="1">
        <f>IF(B823="", "", "human skin metagenome")</f>
        <v>0</v>
      </c>
      <c r="F823" s="1">
        <f>IF(B823="", "", "539655")</f>
        <v>0</v>
      </c>
    </row>
    <row r="824" spans="1:6">
      <c r="A824">
        <f>IF(COUNTBLANK(B824:F824)&lt;&gt;COLUMNS(B824:F824),823,"")</f>
        <v>0</v>
      </c>
      <c r="C824" s="1">
        <f>IF(B824="", "", "human-skin")</f>
        <v>0</v>
      </c>
      <c r="E824" s="1">
        <f>IF(B824="", "", "human skin metagenome")</f>
        <v>0</v>
      </c>
      <c r="F824" s="1">
        <f>IF(B824="", "", "539655")</f>
        <v>0</v>
      </c>
    </row>
    <row r="825" spans="1:6">
      <c r="A825">
        <f>IF(COUNTBLANK(B825:F825)&lt;&gt;COLUMNS(B825:F825),824,"")</f>
        <v>0</v>
      </c>
      <c r="C825" s="1">
        <f>IF(B825="", "", "human-skin")</f>
        <v>0</v>
      </c>
      <c r="E825" s="1">
        <f>IF(B825="", "", "human skin metagenome")</f>
        <v>0</v>
      </c>
      <c r="F825" s="1">
        <f>IF(B825="", "", "539655")</f>
        <v>0</v>
      </c>
    </row>
    <row r="826" spans="1:6">
      <c r="A826">
        <f>IF(COUNTBLANK(B826:F826)&lt;&gt;COLUMNS(B826:F826),825,"")</f>
        <v>0</v>
      </c>
      <c r="C826" s="1">
        <f>IF(B826="", "", "human-skin")</f>
        <v>0</v>
      </c>
      <c r="E826" s="1">
        <f>IF(B826="", "", "human skin metagenome")</f>
        <v>0</v>
      </c>
      <c r="F826" s="1">
        <f>IF(B826="", "", "539655")</f>
        <v>0</v>
      </c>
    </row>
    <row r="827" spans="1:6">
      <c r="A827">
        <f>IF(COUNTBLANK(B827:F827)&lt;&gt;COLUMNS(B827:F827),826,"")</f>
        <v>0</v>
      </c>
      <c r="C827" s="1">
        <f>IF(B827="", "", "human-skin")</f>
        <v>0</v>
      </c>
      <c r="E827" s="1">
        <f>IF(B827="", "", "human skin metagenome")</f>
        <v>0</v>
      </c>
      <c r="F827" s="1">
        <f>IF(B827="", "", "539655")</f>
        <v>0</v>
      </c>
    </row>
    <row r="828" spans="1:6">
      <c r="A828">
        <f>IF(COUNTBLANK(B828:F828)&lt;&gt;COLUMNS(B828:F828),827,"")</f>
        <v>0</v>
      </c>
      <c r="C828" s="1">
        <f>IF(B828="", "", "human-skin")</f>
        <v>0</v>
      </c>
      <c r="E828" s="1">
        <f>IF(B828="", "", "human skin metagenome")</f>
        <v>0</v>
      </c>
      <c r="F828" s="1">
        <f>IF(B828="", "", "539655")</f>
        <v>0</v>
      </c>
    </row>
    <row r="829" spans="1:6">
      <c r="A829">
        <f>IF(COUNTBLANK(B829:F829)&lt;&gt;COLUMNS(B829:F829),828,"")</f>
        <v>0</v>
      </c>
      <c r="C829" s="1">
        <f>IF(B829="", "", "human-skin")</f>
        <v>0</v>
      </c>
      <c r="E829" s="1">
        <f>IF(B829="", "", "human skin metagenome")</f>
        <v>0</v>
      </c>
      <c r="F829" s="1">
        <f>IF(B829="", "", "539655")</f>
        <v>0</v>
      </c>
    </row>
    <row r="830" spans="1:6">
      <c r="A830">
        <f>IF(COUNTBLANK(B830:F830)&lt;&gt;COLUMNS(B830:F830),829,"")</f>
        <v>0</v>
      </c>
      <c r="C830" s="1">
        <f>IF(B830="", "", "human-skin")</f>
        <v>0</v>
      </c>
      <c r="E830" s="1">
        <f>IF(B830="", "", "human skin metagenome")</f>
        <v>0</v>
      </c>
      <c r="F830" s="1">
        <f>IF(B830="", "", "539655")</f>
        <v>0</v>
      </c>
    </row>
    <row r="831" spans="1:6">
      <c r="A831">
        <f>IF(COUNTBLANK(B831:F831)&lt;&gt;COLUMNS(B831:F831),830,"")</f>
        <v>0</v>
      </c>
      <c r="C831" s="1">
        <f>IF(B831="", "", "human-skin")</f>
        <v>0</v>
      </c>
      <c r="E831" s="1">
        <f>IF(B831="", "", "human skin metagenome")</f>
        <v>0</v>
      </c>
      <c r="F831" s="1">
        <f>IF(B831="", "", "539655")</f>
        <v>0</v>
      </c>
    </row>
    <row r="832" spans="1:6">
      <c r="A832">
        <f>IF(COUNTBLANK(B832:F832)&lt;&gt;COLUMNS(B832:F832),831,"")</f>
        <v>0</v>
      </c>
      <c r="C832" s="1">
        <f>IF(B832="", "", "human-skin")</f>
        <v>0</v>
      </c>
      <c r="E832" s="1">
        <f>IF(B832="", "", "human skin metagenome")</f>
        <v>0</v>
      </c>
      <c r="F832" s="1">
        <f>IF(B832="", "", "539655")</f>
        <v>0</v>
      </c>
    </row>
    <row r="833" spans="1:6">
      <c r="A833">
        <f>IF(COUNTBLANK(B833:F833)&lt;&gt;COLUMNS(B833:F833),832,"")</f>
        <v>0</v>
      </c>
      <c r="C833" s="1">
        <f>IF(B833="", "", "human-skin")</f>
        <v>0</v>
      </c>
      <c r="E833" s="1">
        <f>IF(B833="", "", "human skin metagenome")</f>
        <v>0</v>
      </c>
      <c r="F833" s="1">
        <f>IF(B833="", "", "539655")</f>
        <v>0</v>
      </c>
    </row>
    <row r="834" spans="1:6">
      <c r="A834">
        <f>IF(COUNTBLANK(B834:F834)&lt;&gt;COLUMNS(B834:F834),833,"")</f>
        <v>0</v>
      </c>
      <c r="C834" s="1">
        <f>IF(B834="", "", "human-skin")</f>
        <v>0</v>
      </c>
      <c r="E834" s="1">
        <f>IF(B834="", "", "human skin metagenome")</f>
        <v>0</v>
      </c>
      <c r="F834" s="1">
        <f>IF(B834="", "", "539655")</f>
        <v>0</v>
      </c>
    </row>
    <row r="835" spans="1:6">
      <c r="A835">
        <f>IF(COUNTBLANK(B835:F835)&lt;&gt;COLUMNS(B835:F835),834,"")</f>
        <v>0</v>
      </c>
      <c r="C835" s="1">
        <f>IF(B835="", "", "human-skin")</f>
        <v>0</v>
      </c>
      <c r="E835" s="1">
        <f>IF(B835="", "", "human skin metagenome")</f>
        <v>0</v>
      </c>
      <c r="F835" s="1">
        <f>IF(B835="", "", "539655")</f>
        <v>0</v>
      </c>
    </row>
    <row r="836" spans="1:6">
      <c r="A836">
        <f>IF(COUNTBLANK(B836:F836)&lt;&gt;COLUMNS(B836:F836),835,"")</f>
        <v>0</v>
      </c>
      <c r="C836" s="1">
        <f>IF(B836="", "", "human-skin")</f>
        <v>0</v>
      </c>
      <c r="E836" s="1">
        <f>IF(B836="", "", "human skin metagenome")</f>
        <v>0</v>
      </c>
      <c r="F836" s="1">
        <f>IF(B836="", "", "539655")</f>
        <v>0</v>
      </c>
    </row>
    <row r="837" spans="1:6">
      <c r="A837">
        <f>IF(COUNTBLANK(B837:F837)&lt;&gt;COLUMNS(B837:F837),836,"")</f>
        <v>0</v>
      </c>
      <c r="C837" s="1">
        <f>IF(B837="", "", "human-skin")</f>
        <v>0</v>
      </c>
      <c r="E837" s="1">
        <f>IF(B837="", "", "human skin metagenome")</f>
        <v>0</v>
      </c>
      <c r="F837" s="1">
        <f>IF(B837="", "", "539655")</f>
        <v>0</v>
      </c>
    </row>
    <row r="838" spans="1:6">
      <c r="A838">
        <f>IF(COUNTBLANK(B838:F838)&lt;&gt;COLUMNS(B838:F838),837,"")</f>
        <v>0</v>
      </c>
      <c r="C838" s="1">
        <f>IF(B838="", "", "human-skin")</f>
        <v>0</v>
      </c>
      <c r="E838" s="1">
        <f>IF(B838="", "", "human skin metagenome")</f>
        <v>0</v>
      </c>
      <c r="F838" s="1">
        <f>IF(B838="", "", "539655")</f>
        <v>0</v>
      </c>
    </row>
    <row r="839" spans="1:6">
      <c r="A839">
        <f>IF(COUNTBLANK(B839:F839)&lt;&gt;COLUMNS(B839:F839),838,"")</f>
        <v>0</v>
      </c>
      <c r="C839" s="1">
        <f>IF(B839="", "", "human-skin")</f>
        <v>0</v>
      </c>
      <c r="E839" s="1">
        <f>IF(B839="", "", "human skin metagenome")</f>
        <v>0</v>
      </c>
      <c r="F839" s="1">
        <f>IF(B839="", "", "539655")</f>
        <v>0</v>
      </c>
    </row>
    <row r="840" spans="1:6">
      <c r="A840">
        <f>IF(COUNTBLANK(B840:F840)&lt;&gt;COLUMNS(B840:F840),839,"")</f>
        <v>0</v>
      </c>
      <c r="C840" s="1">
        <f>IF(B840="", "", "human-skin")</f>
        <v>0</v>
      </c>
      <c r="E840" s="1">
        <f>IF(B840="", "", "human skin metagenome")</f>
        <v>0</v>
      </c>
      <c r="F840" s="1">
        <f>IF(B840="", "", "539655")</f>
        <v>0</v>
      </c>
    </row>
    <row r="841" spans="1:6">
      <c r="A841">
        <f>IF(COUNTBLANK(B841:F841)&lt;&gt;COLUMNS(B841:F841),840,"")</f>
        <v>0</v>
      </c>
      <c r="C841" s="1">
        <f>IF(B841="", "", "human-skin")</f>
        <v>0</v>
      </c>
      <c r="E841" s="1">
        <f>IF(B841="", "", "human skin metagenome")</f>
        <v>0</v>
      </c>
      <c r="F841" s="1">
        <f>IF(B841="", "", "539655")</f>
        <v>0</v>
      </c>
    </row>
    <row r="842" spans="1:6">
      <c r="A842">
        <f>IF(COUNTBLANK(B842:F842)&lt;&gt;COLUMNS(B842:F842),841,"")</f>
        <v>0</v>
      </c>
      <c r="C842" s="1">
        <f>IF(B842="", "", "human-skin")</f>
        <v>0</v>
      </c>
      <c r="E842" s="1">
        <f>IF(B842="", "", "human skin metagenome")</f>
        <v>0</v>
      </c>
      <c r="F842" s="1">
        <f>IF(B842="", "", "539655")</f>
        <v>0</v>
      </c>
    </row>
    <row r="843" spans="1:6">
      <c r="A843">
        <f>IF(COUNTBLANK(B843:F843)&lt;&gt;COLUMNS(B843:F843),842,"")</f>
        <v>0</v>
      </c>
      <c r="C843" s="1">
        <f>IF(B843="", "", "human-skin")</f>
        <v>0</v>
      </c>
      <c r="E843" s="1">
        <f>IF(B843="", "", "human skin metagenome")</f>
        <v>0</v>
      </c>
      <c r="F843" s="1">
        <f>IF(B843="", "", "539655")</f>
        <v>0</v>
      </c>
    </row>
    <row r="844" spans="1:6">
      <c r="A844">
        <f>IF(COUNTBLANK(B844:F844)&lt;&gt;COLUMNS(B844:F844),843,"")</f>
        <v>0</v>
      </c>
      <c r="C844" s="1">
        <f>IF(B844="", "", "human-skin")</f>
        <v>0</v>
      </c>
      <c r="E844" s="1">
        <f>IF(B844="", "", "human skin metagenome")</f>
        <v>0</v>
      </c>
      <c r="F844" s="1">
        <f>IF(B844="", "", "539655")</f>
        <v>0</v>
      </c>
    </row>
    <row r="845" spans="1:6">
      <c r="A845">
        <f>IF(COUNTBLANK(B845:F845)&lt;&gt;COLUMNS(B845:F845),844,"")</f>
        <v>0</v>
      </c>
      <c r="C845" s="1">
        <f>IF(B845="", "", "human-skin")</f>
        <v>0</v>
      </c>
      <c r="E845" s="1">
        <f>IF(B845="", "", "human skin metagenome")</f>
        <v>0</v>
      </c>
      <c r="F845" s="1">
        <f>IF(B845="", "", "539655")</f>
        <v>0</v>
      </c>
    </row>
    <row r="846" spans="1:6">
      <c r="A846">
        <f>IF(COUNTBLANK(B846:F846)&lt;&gt;COLUMNS(B846:F846),845,"")</f>
        <v>0</v>
      </c>
      <c r="C846" s="1">
        <f>IF(B846="", "", "human-skin")</f>
        <v>0</v>
      </c>
      <c r="E846" s="1">
        <f>IF(B846="", "", "human skin metagenome")</f>
        <v>0</v>
      </c>
      <c r="F846" s="1">
        <f>IF(B846="", "", "539655")</f>
        <v>0</v>
      </c>
    </row>
    <row r="847" spans="1:6">
      <c r="A847">
        <f>IF(COUNTBLANK(B847:F847)&lt;&gt;COLUMNS(B847:F847),846,"")</f>
        <v>0</v>
      </c>
      <c r="C847" s="1">
        <f>IF(B847="", "", "human-skin")</f>
        <v>0</v>
      </c>
      <c r="E847" s="1">
        <f>IF(B847="", "", "human skin metagenome")</f>
        <v>0</v>
      </c>
      <c r="F847" s="1">
        <f>IF(B847="", "", "539655")</f>
        <v>0</v>
      </c>
    </row>
    <row r="848" spans="1:6">
      <c r="A848">
        <f>IF(COUNTBLANK(B848:F848)&lt;&gt;COLUMNS(B848:F848),847,"")</f>
        <v>0</v>
      </c>
      <c r="C848" s="1">
        <f>IF(B848="", "", "human-skin")</f>
        <v>0</v>
      </c>
      <c r="E848" s="1">
        <f>IF(B848="", "", "human skin metagenome")</f>
        <v>0</v>
      </c>
      <c r="F848" s="1">
        <f>IF(B848="", "", "539655")</f>
        <v>0</v>
      </c>
    </row>
    <row r="849" spans="1:6">
      <c r="A849">
        <f>IF(COUNTBLANK(B849:F849)&lt;&gt;COLUMNS(B849:F849),848,"")</f>
        <v>0</v>
      </c>
      <c r="C849" s="1">
        <f>IF(B849="", "", "human-skin")</f>
        <v>0</v>
      </c>
      <c r="E849" s="1">
        <f>IF(B849="", "", "human skin metagenome")</f>
        <v>0</v>
      </c>
      <c r="F849" s="1">
        <f>IF(B849="", "", "539655")</f>
        <v>0</v>
      </c>
    </row>
    <row r="850" spans="1:6">
      <c r="A850">
        <f>IF(COUNTBLANK(B850:F850)&lt;&gt;COLUMNS(B850:F850),849,"")</f>
        <v>0</v>
      </c>
      <c r="C850" s="1">
        <f>IF(B850="", "", "human-skin")</f>
        <v>0</v>
      </c>
      <c r="E850" s="1">
        <f>IF(B850="", "", "human skin metagenome")</f>
        <v>0</v>
      </c>
      <c r="F850" s="1">
        <f>IF(B850="", "", "539655")</f>
        <v>0</v>
      </c>
    </row>
    <row r="851" spans="1:6">
      <c r="A851">
        <f>IF(COUNTBLANK(B851:F851)&lt;&gt;COLUMNS(B851:F851),850,"")</f>
        <v>0</v>
      </c>
      <c r="C851" s="1">
        <f>IF(B851="", "", "human-skin")</f>
        <v>0</v>
      </c>
      <c r="E851" s="1">
        <f>IF(B851="", "", "human skin metagenome")</f>
        <v>0</v>
      </c>
      <c r="F851" s="1">
        <f>IF(B851="", "", "539655")</f>
        <v>0</v>
      </c>
    </row>
    <row r="852" spans="1:6">
      <c r="A852">
        <f>IF(COUNTBLANK(B852:F852)&lt;&gt;COLUMNS(B852:F852),851,"")</f>
        <v>0</v>
      </c>
      <c r="C852" s="1">
        <f>IF(B852="", "", "human-skin")</f>
        <v>0</v>
      </c>
      <c r="E852" s="1">
        <f>IF(B852="", "", "human skin metagenome")</f>
        <v>0</v>
      </c>
      <c r="F852" s="1">
        <f>IF(B852="", "", "539655")</f>
        <v>0</v>
      </c>
    </row>
    <row r="853" spans="1:6">
      <c r="A853">
        <f>IF(COUNTBLANK(B853:F853)&lt;&gt;COLUMNS(B853:F853),852,"")</f>
        <v>0</v>
      </c>
      <c r="C853" s="1">
        <f>IF(B853="", "", "human-skin")</f>
        <v>0</v>
      </c>
      <c r="E853" s="1">
        <f>IF(B853="", "", "human skin metagenome")</f>
        <v>0</v>
      </c>
      <c r="F853" s="1">
        <f>IF(B853="", "", "539655")</f>
        <v>0</v>
      </c>
    </row>
    <row r="854" spans="1:6">
      <c r="A854">
        <f>IF(COUNTBLANK(B854:F854)&lt;&gt;COLUMNS(B854:F854),853,"")</f>
        <v>0</v>
      </c>
      <c r="C854" s="1">
        <f>IF(B854="", "", "human-skin")</f>
        <v>0</v>
      </c>
      <c r="E854" s="1">
        <f>IF(B854="", "", "human skin metagenome")</f>
        <v>0</v>
      </c>
      <c r="F854" s="1">
        <f>IF(B854="", "", "539655")</f>
        <v>0</v>
      </c>
    </row>
    <row r="855" spans="1:6">
      <c r="A855">
        <f>IF(COUNTBLANK(B855:F855)&lt;&gt;COLUMNS(B855:F855),854,"")</f>
        <v>0</v>
      </c>
      <c r="C855" s="1">
        <f>IF(B855="", "", "human-skin")</f>
        <v>0</v>
      </c>
      <c r="E855" s="1">
        <f>IF(B855="", "", "human skin metagenome")</f>
        <v>0</v>
      </c>
      <c r="F855" s="1">
        <f>IF(B855="", "", "539655")</f>
        <v>0</v>
      </c>
    </row>
    <row r="856" spans="1:6">
      <c r="A856">
        <f>IF(COUNTBLANK(B856:F856)&lt;&gt;COLUMNS(B856:F856),855,"")</f>
        <v>0</v>
      </c>
      <c r="C856" s="1">
        <f>IF(B856="", "", "human-skin")</f>
        <v>0</v>
      </c>
      <c r="E856" s="1">
        <f>IF(B856="", "", "human skin metagenome")</f>
        <v>0</v>
      </c>
      <c r="F856" s="1">
        <f>IF(B856="", "", "539655")</f>
        <v>0</v>
      </c>
    </row>
    <row r="857" spans="1:6">
      <c r="A857">
        <f>IF(COUNTBLANK(B857:F857)&lt;&gt;COLUMNS(B857:F857),856,"")</f>
        <v>0</v>
      </c>
      <c r="C857" s="1">
        <f>IF(B857="", "", "human-skin")</f>
        <v>0</v>
      </c>
      <c r="E857" s="1">
        <f>IF(B857="", "", "human skin metagenome")</f>
        <v>0</v>
      </c>
      <c r="F857" s="1">
        <f>IF(B857="", "", "539655")</f>
        <v>0</v>
      </c>
    </row>
    <row r="858" spans="1:6">
      <c r="A858">
        <f>IF(COUNTBLANK(B858:F858)&lt;&gt;COLUMNS(B858:F858),857,"")</f>
        <v>0</v>
      </c>
      <c r="C858" s="1">
        <f>IF(B858="", "", "human-skin")</f>
        <v>0</v>
      </c>
      <c r="E858" s="1">
        <f>IF(B858="", "", "human skin metagenome")</f>
        <v>0</v>
      </c>
      <c r="F858" s="1">
        <f>IF(B858="", "", "539655")</f>
        <v>0</v>
      </c>
    </row>
    <row r="859" spans="1:6">
      <c r="A859">
        <f>IF(COUNTBLANK(B859:F859)&lt;&gt;COLUMNS(B859:F859),858,"")</f>
        <v>0</v>
      </c>
      <c r="C859" s="1">
        <f>IF(B859="", "", "human-skin")</f>
        <v>0</v>
      </c>
      <c r="E859" s="1">
        <f>IF(B859="", "", "human skin metagenome")</f>
        <v>0</v>
      </c>
      <c r="F859" s="1">
        <f>IF(B859="", "", "539655")</f>
        <v>0</v>
      </c>
    </row>
    <row r="860" spans="1:6">
      <c r="A860">
        <f>IF(COUNTBLANK(B860:F860)&lt;&gt;COLUMNS(B860:F860),859,"")</f>
        <v>0</v>
      </c>
      <c r="C860" s="1">
        <f>IF(B860="", "", "human-skin")</f>
        <v>0</v>
      </c>
      <c r="E860" s="1">
        <f>IF(B860="", "", "human skin metagenome")</f>
        <v>0</v>
      </c>
      <c r="F860" s="1">
        <f>IF(B860="", "", "539655")</f>
        <v>0</v>
      </c>
    </row>
    <row r="861" spans="1:6">
      <c r="A861">
        <f>IF(COUNTBLANK(B861:F861)&lt;&gt;COLUMNS(B861:F861),860,"")</f>
        <v>0</v>
      </c>
      <c r="C861" s="1">
        <f>IF(B861="", "", "human-skin")</f>
        <v>0</v>
      </c>
      <c r="E861" s="1">
        <f>IF(B861="", "", "human skin metagenome")</f>
        <v>0</v>
      </c>
      <c r="F861" s="1">
        <f>IF(B861="", "", "539655")</f>
        <v>0</v>
      </c>
    </row>
    <row r="862" spans="1:6">
      <c r="A862">
        <f>IF(COUNTBLANK(B862:F862)&lt;&gt;COLUMNS(B862:F862),861,"")</f>
        <v>0</v>
      </c>
      <c r="C862" s="1">
        <f>IF(B862="", "", "human-skin")</f>
        <v>0</v>
      </c>
      <c r="E862" s="1">
        <f>IF(B862="", "", "human skin metagenome")</f>
        <v>0</v>
      </c>
      <c r="F862" s="1">
        <f>IF(B862="", "", "539655")</f>
        <v>0</v>
      </c>
    </row>
    <row r="863" spans="1:6">
      <c r="A863">
        <f>IF(COUNTBLANK(B863:F863)&lt;&gt;COLUMNS(B863:F863),862,"")</f>
        <v>0</v>
      </c>
      <c r="C863" s="1">
        <f>IF(B863="", "", "human-skin")</f>
        <v>0</v>
      </c>
      <c r="E863" s="1">
        <f>IF(B863="", "", "human skin metagenome")</f>
        <v>0</v>
      </c>
      <c r="F863" s="1">
        <f>IF(B863="", "", "539655")</f>
        <v>0</v>
      </c>
    </row>
    <row r="864" spans="1:6">
      <c r="A864">
        <f>IF(COUNTBLANK(B864:F864)&lt;&gt;COLUMNS(B864:F864),863,"")</f>
        <v>0</v>
      </c>
      <c r="C864" s="1">
        <f>IF(B864="", "", "human-skin")</f>
        <v>0</v>
      </c>
      <c r="E864" s="1">
        <f>IF(B864="", "", "human skin metagenome")</f>
        <v>0</v>
      </c>
      <c r="F864" s="1">
        <f>IF(B864="", "", "539655")</f>
        <v>0</v>
      </c>
    </row>
    <row r="865" spans="1:6">
      <c r="A865">
        <f>IF(COUNTBLANK(B865:F865)&lt;&gt;COLUMNS(B865:F865),864,"")</f>
        <v>0</v>
      </c>
      <c r="C865" s="1">
        <f>IF(B865="", "", "human-skin")</f>
        <v>0</v>
      </c>
      <c r="E865" s="1">
        <f>IF(B865="", "", "human skin metagenome")</f>
        <v>0</v>
      </c>
      <c r="F865" s="1">
        <f>IF(B865="", "", "539655")</f>
        <v>0</v>
      </c>
    </row>
    <row r="866" spans="1:6">
      <c r="A866">
        <f>IF(COUNTBLANK(B866:F866)&lt;&gt;COLUMNS(B866:F866),865,"")</f>
        <v>0</v>
      </c>
      <c r="C866" s="1">
        <f>IF(B866="", "", "human-skin")</f>
        <v>0</v>
      </c>
      <c r="E866" s="1">
        <f>IF(B866="", "", "human skin metagenome")</f>
        <v>0</v>
      </c>
      <c r="F866" s="1">
        <f>IF(B866="", "", "539655")</f>
        <v>0</v>
      </c>
    </row>
    <row r="867" spans="1:6">
      <c r="A867">
        <f>IF(COUNTBLANK(B867:F867)&lt;&gt;COLUMNS(B867:F867),866,"")</f>
        <v>0</v>
      </c>
      <c r="C867" s="1">
        <f>IF(B867="", "", "human-skin")</f>
        <v>0</v>
      </c>
      <c r="E867" s="1">
        <f>IF(B867="", "", "human skin metagenome")</f>
        <v>0</v>
      </c>
      <c r="F867" s="1">
        <f>IF(B867="", "", "539655")</f>
        <v>0</v>
      </c>
    </row>
    <row r="868" spans="1:6">
      <c r="A868">
        <f>IF(COUNTBLANK(B868:F868)&lt;&gt;COLUMNS(B868:F868),867,"")</f>
        <v>0</v>
      </c>
      <c r="C868" s="1">
        <f>IF(B868="", "", "human-skin")</f>
        <v>0</v>
      </c>
      <c r="E868" s="1">
        <f>IF(B868="", "", "human skin metagenome")</f>
        <v>0</v>
      </c>
      <c r="F868" s="1">
        <f>IF(B868="", "", "539655")</f>
        <v>0</v>
      </c>
    </row>
    <row r="869" spans="1:6">
      <c r="A869">
        <f>IF(COUNTBLANK(B869:F869)&lt;&gt;COLUMNS(B869:F869),868,"")</f>
        <v>0</v>
      </c>
      <c r="C869" s="1">
        <f>IF(B869="", "", "human-skin")</f>
        <v>0</v>
      </c>
      <c r="E869" s="1">
        <f>IF(B869="", "", "human skin metagenome")</f>
        <v>0</v>
      </c>
      <c r="F869" s="1">
        <f>IF(B869="", "", "539655")</f>
        <v>0</v>
      </c>
    </row>
    <row r="870" spans="1:6">
      <c r="A870">
        <f>IF(COUNTBLANK(B870:F870)&lt;&gt;COLUMNS(B870:F870),869,"")</f>
        <v>0</v>
      </c>
      <c r="C870" s="1">
        <f>IF(B870="", "", "human-skin")</f>
        <v>0</v>
      </c>
      <c r="E870" s="1">
        <f>IF(B870="", "", "human skin metagenome")</f>
        <v>0</v>
      </c>
      <c r="F870" s="1">
        <f>IF(B870="", "", "539655")</f>
        <v>0</v>
      </c>
    </row>
    <row r="871" spans="1:6">
      <c r="A871">
        <f>IF(COUNTBLANK(B871:F871)&lt;&gt;COLUMNS(B871:F871),870,"")</f>
        <v>0</v>
      </c>
      <c r="C871" s="1">
        <f>IF(B871="", "", "human-skin")</f>
        <v>0</v>
      </c>
      <c r="E871" s="1">
        <f>IF(B871="", "", "human skin metagenome")</f>
        <v>0</v>
      </c>
      <c r="F871" s="1">
        <f>IF(B871="", "", "539655")</f>
        <v>0</v>
      </c>
    </row>
    <row r="872" spans="1:6">
      <c r="A872">
        <f>IF(COUNTBLANK(B872:F872)&lt;&gt;COLUMNS(B872:F872),871,"")</f>
        <v>0</v>
      </c>
      <c r="C872" s="1">
        <f>IF(B872="", "", "human-skin")</f>
        <v>0</v>
      </c>
      <c r="E872" s="1">
        <f>IF(B872="", "", "human skin metagenome")</f>
        <v>0</v>
      </c>
      <c r="F872" s="1">
        <f>IF(B872="", "", "539655")</f>
        <v>0</v>
      </c>
    </row>
    <row r="873" spans="1:6">
      <c r="A873">
        <f>IF(COUNTBLANK(B873:F873)&lt;&gt;COLUMNS(B873:F873),872,"")</f>
        <v>0</v>
      </c>
      <c r="C873" s="1">
        <f>IF(B873="", "", "human-skin")</f>
        <v>0</v>
      </c>
      <c r="E873" s="1">
        <f>IF(B873="", "", "human skin metagenome")</f>
        <v>0</v>
      </c>
      <c r="F873" s="1">
        <f>IF(B873="", "", "539655")</f>
        <v>0</v>
      </c>
    </row>
    <row r="874" spans="1:6">
      <c r="A874">
        <f>IF(COUNTBLANK(B874:F874)&lt;&gt;COLUMNS(B874:F874),873,"")</f>
        <v>0</v>
      </c>
      <c r="C874" s="1">
        <f>IF(B874="", "", "human-skin")</f>
        <v>0</v>
      </c>
      <c r="E874" s="1">
        <f>IF(B874="", "", "human skin metagenome")</f>
        <v>0</v>
      </c>
      <c r="F874" s="1">
        <f>IF(B874="", "", "539655")</f>
        <v>0</v>
      </c>
    </row>
    <row r="875" spans="1:6">
      <c r="A875">
        <f>IF(COUNTBLANK(B875:F875)&lt;&gt;COLUMNS(B875:F875),874,"")</f>
        <v>0</v>
      </c>
      <c r="C875" s="1">
        <f>IF(B875="", "", "human-skin")</f>
        <v>0</v>
      </c>
      <c r="E875" s="1">
        <f>IF(B875="", "", "human skin metagenome")</f>
        <v>0</v>
      </c>
      <c r="F875" s="1">
        <f>IF(B875="", "", "539655")</f>
        <v>0</v>
      </c>
    </row>
    <row r="876" spans="1:6">
      <c r="A876">
        <f>IF(COUNTBLANK(B876:F876)&lt;&gt;COLUMNS(B876:F876),875,"")</f>
        <v>0</v>
      </c>
      <c r="C876" s="1">
        <f>IF(B876="", "", "human-skin")</f>
        <v>0</v>
      </c>
      <c r="E876" s="1">
        <f>IF(B876="", "", "human skin metagenome")</f>
        <v>0</v>
      </c>
      <c r="F876" s="1">
        <f>IF(B876="", "", "539655")</f>
        <v>0</v>
      </c>
    </row>
    <row r="877" spans="1:6">
      <c r="A877">
        <f>IF(COUNTBLANK(B877:F877)&lt;&gt;COLUMNS(B877:F877),876,"")</f>
        <v>0</v>
      </c>
      <c r="C877" s="1">
        <f>IF(B877="", "", "human-skin")</f>
        <v>0</v>
      </c>
      <c r="E877" s="1">
        <f>IF(B877="", "", "human skin metagenome")</f>
        <v>0</v>
      </c>
      <c r="F877" s="1">
        <f>IF(B877="", "", "539655")</f>
        <v>0</v>
      </c>
    </row>
    <row r="878" spans="1:6">
      <c r="A878">
        <f>IF(COUNTBLANK(B878:F878)&lt;&gt;COLUMNS(B878:F878),877,"")</f>
        <v>0</v>
      </c>
      <c r="C878" s="1">
        <f>IF(B878="", "", "human-skin")</f>
        <v>0</v>
      </c>
      <c r="E878" s="1">
        <f>IF(B878="", "", "human skin metagenome")</f>
        <v>0</v>
      </c>
      <c r="F878" s="1">
        <f>IF(B878="", "", "539655")</f>
        <v>0</v>
      </c>
    </row>
    <row r="879" spans="1:6">
      <c r="A879">
        <f>IF(COUNTBLANK(B879:F879)&lt;&gt;COLUMNS(B879:F879),878,"")</f>
        <v>0</v>
      </c>
      <c r="C879" s="1">
        <f>IF(B879="", "", "human-skin")</f>
        <v>0</v>
      </c>
      <c r="E879" s="1">
        <f>IF(B879="", "", "human skin metagenome")</f>
        <v>0</v>
      </c>
      <c r="F879" s="1">
        <f>IF(B879="", "", "539655")</f>
        <v>0</v>
      </c>
    </row>
    <row r="880" spans="1:6">
      <c r="A880">
        <f>IF(COUNTBLANK(B880:F880)&lt;&gt;COLUMNS(B880:F880),879,"")</f>
        <v>0</v>
      </c>
      <c r="C880" s="1">
        <f>IF(B880="", "", "human-skin")</f>
        <v>0</v>
      </c>
      <c r="E880" s="1">
        <f>IF(B880="", "", "human skin metagenome")</f>
        <v>0</v>
      </c>
      <c r="F880" s="1">
        <f>IF(B880="", "", "539655")</f>
        <v>0</v>
      </c>
    </row>
    <row r="881" spans="1:6">
      <c r="A881">
        <f>IF(COUNTBLANK(B881:F881)&lt;&gt;COLUMNS(B881:F881),880,"")</f>
        <v>0</v>
      </c>
      <c r="C881" s="1">
        <f>IF(B881="", "", "human-skin")</f>
        <v>0</v>
      </c>
      <c r="E881" s="1">
        <f>IF(B881="", "", "human skin metagenome")</f>
        <v>0</v>
      </c>
      <c r="F881" s="1">
        <f>IF(B881="", "", "539655")</f>
        <v>0</v>
      </c>
    </row>
    <row r="882" spans="1:6">
      <c r="A882">
        <f>IF(COUNTBLANK(B882:F882)&lt;&gt;COLUMNS(B882:F882),881,"")</f>
        <v>0</v>
      </c>
      <c r="C882" s="1">
        <f>IF(B882="", "", "human-skin")</f>
        <v>0</v>
      </c>
      <c r="E882" s="1">
        <f>IF(B882="", "", "human skin metagenome")</f>
        <v>0</v>
      </c>
      <c r="F882" s="1">
        <f>IF(B882="", "", "539655")</f>
        <v>0</v>
      </c>
    </row>
    <row r="883" spans="1:6">
      <c r="A883">
        <f>IF(COUNTBLANK(B883:F883)&lt;&gt;COLUMNS(B883:F883),882,"")</f>
        <v>0</v>
      </c>
      <c r="C883" s="1">
        <f>IF(B883="", "", "human-skin")</f>
        <v>0</v>
      </c>
      <c r="E883" s="1">
        <f>IF(B883="", "", "human skin metagenome")</f>
        <v>0</v>
      </c>
      <c r="F883" s="1">
        <f>IF(B883="", "", "539655")</f>
        <v>0</v>
      </c>
    </row>
    <row r="884" spans="1:6">
      <c r="A884">
        <f>IF(COUNTBLANK(B884:F884)&lt;&gt;COLUMNS(B884:F884),883,"")</f>
        <v>0</v>
      </c>
      <c r="C884" s="1">
        <f>IF(B884="", "", "human-skin")</f>
        <v>0</v>
      </c>
      <c r="E884" s="1">
        <f>IF(B884="", "", "human skin metagenome")</f>
        <v>0</v>
      </c>
      <c r="F884" s="1">
        <f>IF(B884="", "", "539655")</f>
        <v>0</v>
      </c>
    </row>
    <row r="885" spans="1:6">
      <c r="A885">
        <f>IF(COUNTBLANK(B885:F885)&lt;&gt;COLUMNS(B885:F885),884,"")</f>
        <v>0</v>
      </c>
      <c r="C885" s="1">
        <f>IF(B885="", "", "human-skin")</f>
        <v>0</v>
      </c>
      <c r="E885" s="1">
        <f>IF(B885="", "", "human skin metagenome")</f>
        <v>0</v>
      </c>
      <c r="F885" s="1">
        <f>IF(B885="", "", "539655")</f>
        <v>0</v>
      </c>
    </row>
    <row r="886" spans="1:6">
      <c r="A886">
        <f>IF(COUNTBLANK(B886:F886)&lt;&gt;COLUMNS(B886:F886),885,"")</f>
        <v>0</v>
      </c>
      <c r="C886" s="1">
        <f>IF(B886="", "", "human-skin")</f>
        <v>0</v>
      </c>
      <c r="E886" s="1">
        <f>IF(B886="", "", "human skin metagenome")</f>
        <v>0</v>
      </c>
      <c r="F886" s="1">
        <f>IF(B886="", "", "539655")</f>
        <v>0</v>
      </c>
    </row>
    <row r="887" spans="1:6">
      <c r="A887">
        <f>IF(COUNTBLANK(B887:F887)&lt;&gt;COLUMNS(B887:F887),886,"")</f>
        <v>0</v>
      </c>
      <c r="C887" s="1">
        <f>IF(B887="", "", "human-skin")</f>
        <v>0</v>
      </c>
      <c r="E887" s="1">
        <f>IF(B887="", "", "human skin metagenome")</f>
        <v>0</v>
      </c>
      <c r="F887" s="1">
        <f>IF(B887="", "", "539655")</f>
        <v>0</v>
      </c>
    </row>
    <row r="888" spans="1:6">
      <c r="A888">
        <f>IF(COUNTBLANK(B888:F888)&lt;&gt;COLUMNS(B888:F888),887,"")</f>
        <v>0</v>
      </c>
      <c r="C888" s="1">
        <f>IF(B888="", "", "human-skin")</f>
        <v>0</v>
      </c>
      <c r="E888" s="1">
        <f>IF(B888="", "", "human skin metagenome")</f>
        <v>0</v>
      </c>
      <c r="F888" s="1">
        <f>IF(B888="", "", "539655")</f>
        <v>0</v>
      </c>
    </row>
    <row r="889" spans="1:6">
      <c r="A889">
        <f>IF(COUNTBLANK(B889:F889)&lt;&gt;COLUMNS(B889:F889),888,"")</f>
        <v>0</v>
      </c>
      <c r="C889" s="1">
        <f>IF(B889="", "", "human-skin")</f>
        <v>0</v>
      </c>
      <c r="E889" s="1">
        <f>IF(B889="", "", "human skin metagenome")</f>
        <v>0</v>
      </c>
      <c r="F889" s="1">
        <f>IF(B889="", "", "539655")</f>
        <v>0</v>
      </c>
    </row>
    <row r="890" spans="1:6">
      <c r="A890">
        <f>IF(COUNTBLANK(B890:F890)&lt;&gt;COLUMNS(B890:F890),889,"")</f>
        <v>0</v>
      </c>
      <c r="C890" s="1">
        <f>IF(B890="", "", "human-skin")</f>
        <v>0</v>
      </c>
      <c r="E890" s="1">
        <f>IF(B890="", "", "human skin metagenome")</f>
        <v>0</v>
      </c>
      <c r="F890" s="1">
        <f>IF(B890="", "", "539655")</f>
        <v>0</v>
      </c>
    </row>
    <row r="891" spans="1:6">
      <c r="A891">
        <f>IF(COUNTBLANK(B891:F891)&lt;&gt;COLUMNS(B891:F891),890,"")</f>
        <v>0</v>
      </c>
      <c r="C891" s="1">
        <f>IF(B891="", "", "human-skin")</f>
        <v>0</v>
      </c>
      <c r="E891" s="1">
        <f>IF(B891="", "", "human skin metagenome")</f>
        <v>0</v>
      </c>
      <c r="F891" s="1">
        <f>IF(B891="", "", "539655")</f>
        <v>0</v>
      </c>
    </row>
    <row r="892" spans="1:6">
      <c r="A892">
        <f>IF(COUNTBLANK(B892:F892)&lt;&gt;COLUMNS(B892:F892),891,"")</f>
        <v>0</v>
      </c>
      <c r="C892" s="1">
        <f>IF(B892="", "", "human-skin")</f>
        <v>0</v>
      </c>
      <c r="E892" s="1">
        <f>IF(B892="", "", "human skin metagenome")</f>
        <v>0</v>
      </c>
      <c r="F892" s="1">
        <f>IF(B892="", "", "539655")</f>
        <v>0</v>
      </c>
    </row>
    <row r="893" spans="1:6">
      <c r="A893">
        <f>IF(COUNTBLANK(B893:F893)&lt;&gt;COLUMNS(B893:F893),892,"")</f>
        <v>0</v>
      </c>
      <c r="C893" s="1">
        <f>IF(B893="", "", "human-skin")</f>
        <v>0</v>
      </c>
      <c r="E893" s="1">
        <f>IF(B893="", "", "human skin metagenome")</f>
        <v>0</v>
      </c>
      <c r="F893" s="1">
        <f>IF(B893="", "", "539655")</f>
        <v>0</v>
      </c>
    </row>
    <row r="894" spans="1:6">
      <c r="A894">
        <f>IF(COUNTBLANK(B894:F894)&lt;&gt;COLUMNS(B894:F894),893,"")</f>
        <v>0</v>
      </c>
      <c r="C894" s="1">
        <f>IF(B894="", "", "human-skin")</f>
        <v>0</v>
      </c>
      <c r="E894" s="1">
        <f>IF(B894="", "", "human skin metagenome")</f>
        <v>0</v>
      </c>
      <c r="F894" s="1">
        <f>IF(B894="", "", "539655")</f>
        <v>0</v>
      </c>
    </row>
    <row r="895" spans="1:6">
      <c r="A895">
        <f>IF(COUNTBLANK(B895:F895)&lt;&gt;COLUMNS(B895:F895),894,"")</f>
        <v>0</v>
      </c>
      <c r="C895" s="1">
        <f>IF(B895="", "", "human-skin")</f>
        <v>0</v>
      </c>
      <c r="E895" s="1">
        <f>IF(B895="", "", "human skin metagenome")</f>
        <v>0</v>
      </c>
      <c r="F895" s="1">
        <f>IF(B895="", "", "539655")</f>
        <v>0</v>
      </c>
    </row>
    <row r="896" spans="1:6">
      <c r="A896">
        <f>IF(COUNTBLANK(B896:F896)&lt;&gt;COLUMNS(B896:F896),895,"")</f>
        <v>0</v>
      </c>
      <c r="C896" s="1">
        <f>IF(B896="", "", "human-skin")</f>
        <v>0</v>
      </c>
      <c r="E896" s="1">
        <f>IF(B896="", "", "human skin metagenome")</f>
        <v>0</v>
      </c>
      <c r="F896" s="1">
        <f>IF(B896="", "", "539655")</f>
        <v>0</v>
      </c>
    </row>
    <row r="897" spans="1:6">
      <c r="A897">
        <f>IF(COUNTBLANK(B897:F897)&lt;&gt;COLUMNS(B897:F897),896,"")</f>
        <v>0</v>
      </c>
      <c r="C897" s="1">
        <f>IF(B897="", "", "human-skin")</f>
        <v>0</v>
      </c>
      <c r="E897" s="1">
        <f>IF(B897="", "", "human skin metagenome")</f>
        <v>0</v>
      </c>
      <c r="F897" s="1">
        <f>IF(B897="", "", "539655")</f>
        <v>0</v>
      </c>
    </row>
    <row r="898" spans="1:6">
      <c r="A898">
        <f>IF(COUNTBLANK(B898:F898)&lt;&gt;COLUMNS(B898:F898),897,"")</f>
        <v>0</v>
      </c>
      <c r="C898" s="1">
        <f>IF(B898="", "", "human-skin")</f>
        <v>0</v>
      </c>
      <c r="E898" s="1">
        <f>IF(B898="", "", "human skin metagenome")</f>
        <v>0</v>
      </c>
      <c r="F898" s="1">
        <f>IF(B898="", "", "539655")</f>
        <v>0</v>
      </c>
    </row>
    <row r="899" spans="1:6">
      <c r="A899">
        <f>IF(COUNTBLANK(B899:F899)&lt;&gt;COLUMNS(B899:F899),898,"")</f>
        <v>0</v>
      </c>
      <c r="C899" s="1">
        <f>IF(B899="", "", "human-skin")</f>
        <v>0</v>
      </c>
      <c r="E899" s="1">
        <f>IF(B899="", "", "human skin metagenome")</f>
        <v>0</v>
      </c>
      <c r="F899" s="1">
        <f>IF(B899="", "", "539655")</f>
        <v>0</v>
      </c>
    </row>
    <row r="900" spans="1:6">
      <c r="A900">
        <f>IF(COUNTBLANK(B900:F900)&lt;&gt;COLUMNS(B900:F900),899,"")</f>
        <v>0</v>
      </c>
      <c r="C900" s="1">
        <f>IF(B900="", "", "human-skin")</f>
        <v>0</v>
      </c>
      <c r="E900" s="1">
        <f>IF(B900="", "", "human skin metagenome")</f>
        <v>0</v>
      </c>
      <c r="F900" s="1">
        <f>IF(B900="", "", "539655")</f>
        <v>0</v>
      </c>
    </row>
    <row r="901" spans="1:6">
      <c r="A901">
        <f>IF(COUNTBLANK(B901:F901)&lt;&gt;COLUMNS(B901:F901),900,"")</f>
        <v>0</v>
      </c>
      <c r="C901" s="1">
        <f>IF(B901="", "", "human-skin")</f>
        <v>0</v>
      </c>
      <c r="E901" s="1">
        <f>IF(B901="", "", "human skin metagenome")</f>
        <v>0</v>
      </c>
      <c r="F901" s="1">
        <f>IF(B901="", "", "539655")</f>
        <v>0</v>
      </c>
    </row>
    <row r="902" spans="1:6">
      <c r="A902">
        <f>IF(COUNTBLANK(B902:F902)&lt;&gt;COLUMNS(B902:F902),901,"")</f>
        <v>0</v>
      </c>
      <c r="C902" s="1">
        <f>IF(B902="", "", "human-skin")</f>
        <v>0</v>
      </c>
      <c r="E902" s="1">
        <f>IF(B902="", "", "human skin metagenome")</f>
        <v>0</v>
      </c>
      <c r="F902" s="1">
        <f>IF(B902="", "", "539655")</f>
        <v>0</v>
      </c>
    </row>
    <row r="903" spans="1:6">
      <c r="A903">
        <f>IF(COUNTBLANK(B903:F903)&lt;&gt;COLUMNS(B903:F903),902,"")</f>
        <v>0</v>
      </c>
      <c r="C903" s="1">
        <f>IF(B903="", "", "human-skin")</f>
        <v>0</v>
      </c>
      <c r="E903" s="1">
        <f>IF(B903="", "", "human skin metagenome")</f>
        <v>0</v>
      </c>
      <c r="F903" s="1">
        <f>IF(B903="", "", "539655")</f>
        <v>0</v>
      </c>
    </row>
    <row r="904" spans="1:6">
      <c r="A904">
        <f>IF(COUNTBLANK(B904:F904)&lt;&gt;COLUMNS(B904:F904),903,"")</f>
        <v>0</v>
      </c>
      <c r="C904" s="1">
        <f>IF(B904="", "", "human-skin")</f>
        <v>0</v>
      </c>
      <c r="E904" s="1">
        <f>IF(B904="", "", "human skin metagenome")</f>
        <v>0</v>
      </c>
      <c r="F904" s="1">
        <f>IF(B904="", "", "539655")</f>
        <v>0</v>
      </c>
    </row>
    <row r="905" spans="1:6">
      <c r="A905">
        <f>IF(COUNTBLANK(B905:F905)&lt;&gt;COLUMNS(B905:F905),904,"")</f>
        <v>0</v>
      </c>
      <c r="C905" s="1">
        <f>IF(B905="", "", "human-skin")</f>
        <v>0</v>
      </c>
      <c r="E905" s="1">
        <f>IF(B905="", "", "human skin metagenome")</f>
        <v>0</v>
      </c>
      <c r="F905" s="1">
        <f>IF(B905="", "", "539655")</f>
        <v>0</v>
      </c>
    </row>
    <row r="906" spans="1:6">
      <c r="A906">
        <f>IF(COUNTBLANK(B906:F906)&lt;&gt;COLUMNS(B906:F906),905,"")</f>
        <v>0</v>
      </c>
      <c r="C906" s="1">
        <f>IF(B906="", "", "human-skin")</f>
        <v>0</v>
      </c>
      <c r="E906" s="1">
        <f>IF(B906="", "", "human skin metagenome")</f>
        <v>0</v>
      </c>
      <c r="F906" s="1">
        <f>IF(B906="", "", "539655")</f>
        <v>0</v>
      </c>
    </row>
    <row r="907" spans="1:6">
      <c r="A907">
        <f>IF(COUNTBLANK(B907:F907)&lt;&gt;COLUMNS(B907:F907),906,"")</f>
        <v>0</v>
      </c>
      <c r="C907" s="1">
        <f>IF(B907="", "", "human-skin")</f>
        <v>0</v>
      </c>
      <c r="E907" s="1">
        <f>IF(B907="", "", "human skin metagenome")</f>
        <v>0</v>
      </c>
      <c r="F907" s="1">
        <f>IF(B907="", "", "539655")</f>
        <v>0</v>
      </c>
    </row>
    <row r="908" spans="1:6">
      <c r="A908">
        <f>IF(COUNTBLANK(B908:F908)&lt;&gt;COLUMNS(B908:F908),907,"")</f>
        <v>0</v>
      </c>
      <c r="C908" s="1">
        <f>IF(B908="", "", "human-skin")</f>
        <v>0</v>
      </c>
      <c r="E908" s="1">
        <f>IF(B908="", "", "human skin metagenome")</f>
        <v>0</v>
      </c>
      <c r="F908" s="1">
        <f>IF(B908="", "", "539655")</f>
        <v>0</v>
      </c>
    </row>
    <row r="909" spans="1:6">
      <c r="A909">
        <f>IF(COUNTBLANK(B909:F909)&lt;&gt;COLUMNS(B909:F909),908,"")</f>
        <v>0</v>
      </c>
      <c r="C909" s="1">
        <f>IF(B909="", "", "human-skin")</f>
        <v>0</v>
      </c>
      <c r="E909" s="1">
        <f>IF(B909="", "", "human skin metagenome")</f>
        <v>0</v>
      </c>
      <c r="F909" s="1">
        <f>IF(B909="", "", "539655")</f>
        <v>0</v>
      </c>
    </row>
    <row r="910" spans="1:6">
      <c r="A910">
        <f>IF(COUNTBLANK(B910:F910)&lt;&gt;COLUMNS(B910:F910),909,"")</f>
        <v>0</v>
      </c>
      <c r="C910" s="1">
        <f>IF(B910="", "", "human-skin")</f>
        <v>0</v>
      </c>
      <c r="E910" s="1">
        <f>IF(B910="", "", "human skin metagenome")</f>
        <v>0</v>
      </c>
      <c r="F910" s="1">
        <f>IF(B910="", "", "539655")</f>
        <v>0</v>
      </c>
    </row>
    <row r="911" spans="1:6">
      <c r="A911">
        <f>IF(COUNTBLANK(B911:F911)&lt;&gt;COLUMNS(B911:F911),910,"")</f>
        <v>0</v>
      </c>
      <c r="C911" s="1">
        <f>IF(B911="", "", "human-skin")</f>
        <v>0</v>
      </c>
      <c r="E911" s="1">
        <f>IF(B911="", "", "human skin metagenome")</f>
        <v>0</v>
      </c>
      <c r="F911" s="1">
        <f>IF(B911="", "", "539655")</f>
        <v>0</v>
      </c>
    </row>
    <row r="912" spans="1:6">
      <c r="A912">
        <f>IF(COUNTBLANK(B912:F912)&lt;&gt;COLUMNS(B912:F912),911,"")</f>
        <v>0</v>
      </c>
      <c r="C912" s="1">
        <f>IF(B912="", "", "human-skin")</f>
        <v>0</v>
      </c>
      <c r="E912" s="1">
        <f>IF(B912="", "", "human skin metagenome")</f>
        <v>0</v>
      </c>
      <c r="F912" s="1">
        <f>IF(B912="", "", "539655")</f>
        <v>0</v>
      </c>
    </row>
    <row r="913" spans="1:6">
      <c r="A913">
        <f>IF(COUNTBLANK(B913:F913)&lt;&gt;COLUMNS(B913:F913),912,"")</f>
        <v>0</v>
      </c>
      <c r="C913" s="1">
        <f>IF(B913="", "", "human-skin")</f>
        <v>0</v>
      </c>
      <c r="E913" s="1">
        <f>IF(B913="", "", "human skin metagenome")</f>
        <v>0</v>
      </c>
      <c r="F913" s="1">
        <f>IF(B913="", "", "539655")</f>
        <v>0</v>
      </c>
    </row>
    <row r="914" spans="1:6">
      <c r="A914">
        <f>IF(COUNTBLANK(B914:F914)&lt;&gt;COLUMNS(B914:F914),913,"")</f>
        <v>0</v>
      </c>
      <c r="C914" s="1">
        <f>IF(B914="", "", "human-skin")</f>
        <v>0</v>
      </c>
      <c r="E914" s="1">
        <f>IF(B914="", "", "human skin metagenome")</f>
        <v>0</v>
      </c>
      <c r="F914" s="1">
        <f>IF(B914="", "", "539655")</f>
        <v>0</v>
      </c>
    </row>
    <row r="915" spans="1:6">
      <c r="A915">
        <f>IF(COUNTBLANK(B915:F915)&lt;&gt;COLUMNS(B915:F915),914,"")</f>
        <v>0</v>
      </c>
      <c r="C915" s="1">
        <f>IF(B915="", "", "human-skin")</f>
        <v>0</v>
      </c>
      <c r="E915" s="1">
        <f>IF(B915="", "", "human skin metagenome")</f>
        <v>0</v>
      </c>
      <c r="F915" s="1">
        <f>IF(B915="", "", "539655")</f>
        <v>0</v>
      </c>
    </row>
    <row r="916" spans="1:6">
      <c r="A916">
        <f>IF(COUNTBLANK(B916:F916)&lt;&gt;COLUMNS(B916:F916),915,"")</f>
        <v>0</v>
      </c>
      <c r="C916" s="1">
        <f>IF(B916="", "", "human-skin")</f>
        <v>0</v>
      </c>
      <c r="E916" s="1">
        <f>IF(B916="", "", "human skin metagenome")</f>
        <v>0</v>
      </c>
      <c r="F916" s="1">
        <f>IF(B916="", "", "539655")</f>
        <v>0</v>
      </c>
    </row>
    <row r="917" spans="1:6">
      <c r="A917">
        <f>IF(COUNTBLANK(B917:F917)&lt;&gt;COLUMNS(B917:F917),916,"")</f>
        <v>0</v>
      </c>
      <c r="C917" s="1">
        <f>IF(B917="", "", "human-skin")</f>
        <v>0</v>
      </c>
      <c r="E917" s="1">
        <f>IF(B917="", "", "human skin metagenome")</f>
        <v>0</v>
      </c>
      <c r="F917" s="1">
        <f>IF(B917="", "", "539655")</f>
        <v>0</v>
      </c>
    </row>
    <row r="918" spans="1:6">
      <c r="A918">
        <f>IF(COUNTBLANK(B918:F918)&lt;&gt;COLUMNS(B918:F918),917,"")</f>
        <v>0</v>
      </c>
      <c r="C918" s="1">
        <f>IF(B918="", "", "human-skin")</f>
        <v>0</v>
      </c>
      <c r="E918" s="1">
        <f>IF(B918="", "", "human skin metagenome")</f>
        <v>0</v>
      </c>
      <c r="F918" s="1">
        <f>IF(B918="", "", "539655")</f>
        <v>0</v>
      </c>
    </row>
    <row r="919" spans="1:6">
      <c r="A919">
        <f>IF(COUNTBLANK(B919:F919)&lt;&gt;COLUMNS(B919:F919),918,"")</f>
        <v>0</v>
      </c>
      <c r="C919" s="1">
        <f>IF(B919="", "", "human-skin")</f>
        <v>0</v>
      </c>
      <c r="E919" s="1">
        <f>IF(B919="", "", "human skin metagenome")</f>
        <v>0</v>
      </c>
      <c r="F919" s="1">
        <f>IF(B919="", "", "539655")</f>
        <v>0</v>
      </c>
    </row>
    <row r="920" spans="1:6">
      <c r="A920">
        <f>IF(COUNTBLANK(B920:F920)&lt;&gt;COLUMNS(B920:F920),919,"")</f>
        <v>0</v>
      </c>
      <c r="C920" s="1">
        <f>IF(B920="", "", "human-skin")</f>
        <v>0</v>
      </c>
      <c r="E920" s="1">
        <f>IF(B920="", "", "human skin metagenome")</f>
        <v>0</v>
      </c>
      <c r="F920" s="1">
        <f>IF(B920="", "", "539655")</f>
        <v>0</v>
      </c>
    </row>
    <row r="921" spans="1:6">
      <c r="A921">
        <f>IF(COUNTBLANK(B921:F921)&lt;&gt;COLUMNS(B921:F921),920,"")</f>
        <v>0</v>
      </c>
      <c r="C921" s="1">
        <f>IF(B921="", "", "human-skin")</f>
        <v>0</v>
      </c>
      <c r="E921" s="1">
        <f>IF(B921="", "", "human skin metagenome")</f>
        <v>0</v>
      </c>
      <c r="F921" s="1">
        <f>IF(B921="", "", "539655")</f>
        <v>0</v>
      </c>
    </row>
    <row r="922" spans="1:6">
      <c r="A922">
        <f>IF(COUNTBLANK(B922:F922)&lt;&gt;COLUMNS(B922:F922),921,"")</f>
        <v>0</v>
      </c>
      <c r="C922" s="1">
        <f>IF(B922="", "", "human-skin")</f>
        <v>0</v>
      </c>
      <c r="E922" s="1">
        <f>IF(B922="", "", "human skin metagenome")</f>
        <v>0</v>
      </c>
      <c r="F922" s="1">
        <f>IF(B922="", "", "539655")</f>
        <v>0</v>
      </c>
    </row>
    <row r="923" spans="1:6">
      <c r="A923">
        <f>IF(COUNTBLANK(B923:F923)&lt;&gt;COLUMNS(B923:F923),922,"")</f>
        <v>0</v>
      </c>
      <c r="C923" s="1">
        <f>IF(B923="", "", "human-skin")</f>
        <v>0</v>
      </c>
      <c r="E923" s="1">
        <f>IF(B923="", "", "human skin metagenome")</f>
        <v>0</v>
      </c>
      <c r="F923" s="1">
        <f>IF(B923="", "", "539655")</f>
        <v>0</v>
      </c>
    </row>
    <row r="924" spans="1:6">
      <c r="A924">
        <f>IF(COUNTBLANK(B924:F924)&lt;&gt;COLUMNS(B924:F924),923,"")</f>
        <v>0</v>
      </c>
      <c r="C924" s="1">
        <f>IF(B924="", "", "human-skin")</f>
        <v>0</v>
      </c>
      <c r="E924" s="1">
        <f>IF(B924="", "", "human skin metagenome")</f>
        <v>0</v>
      </c>
      <c r="F924" s="1">
        <f>IF(B924="", "", "539655")</f>
        <v>0</v>
      </c>
    </row>
    <row r="925" spans="1:6">
      <c r="A925">
        <f>IF(COUNTBLANK(B925:F925)&lt;&gt;COLUMNS(B925:F925),924,"")</f>
        <v>0</v>
      </c>
      <c r="C925" s="1">
        <f>IF(B925="", "", "human-skin")</f>
        <v>0</v>
      </c>
      <c r="E925" s="1">
        <f>IF(B925="", "", "human skin metagenome")</f>
        <v>0</v>
      </c>
      <c r="F925" s="1">
        <f>IF(B925="", "", "539655")</f>
        <v>0</v>
      </c>
    </row>
    <row r="926" spans="1:6">
      <c r="A926">
        <f>IF(COUNTBLANK(B926:F926)&lt;&gt;COLUMNS(B926:F926),925,"")</f>
        <v>0</v>
      </c>
      <c r="C926" s="1">
        <f>IF(B926="", "", "human-skin")</f>
        <v>0</v>
      </c>
      <c r="E926" s="1">
        <f>IF(B926="", "", "human skin metagenome")</f>
        <v>0</v>
      </c>
      <c r="F926" s="1">
        <f>IF(B926="", "", "539655")</f>
        <v>0</v>
      </c>
    </row>
    <row r="927" spans="1:6">
      <c r="A927">
        <f>IF(COUNTBLANK(B927:F927)&lt;&gt;COLUMNS(B927:F927),926,"")</f>
        <v>0</v>
      </c>
      <c r="C927" s="1">
        <f>IF(B927="", "", "human-skin")</f>
        <v>0</v>
      </c>
      <c r="E927" s="1">
        <f>IF(B927="", "", "human skin metagenome")</f>
        <v>0</v>
      </c>
      <c r="F927" s="1">
        <f>IF(B927="", "", "539655")</f>
        <v>0</v>
      </c>
    </row>
    <row r="928" spans="1:6">
      <c r="A928">
        <f>IF(COUNTBLANK(B928:F928)&lt;&gt;COLUMNS(B928:F928),927,"")</f>
        <v>0</v>
      </c>
      <c r="C928" s="1">
        <f>IF(B928="", "", "human-skin")</f>
        <v>0</v>
      </c>
      <c r="E928" s="1">
        <f>IF(B928="", "", "human skin metagenome")</f>
        <v>0</v>
      </c>
      <c r="F928" s="1">
        <f>IF(B928="", "", "539655")</f>
        <v>0</v>
      </c>
    </row>
    <row r="929" spans="1:6">
      <c r="A929">
        <f>IF(COUNTBLANK(B929:F929)&lt;&gt;COLUMNS(B929:F929),928,"")</f>
        <v>0</v>
      </c>
      <c r="C929" s="1">
        <f>IF(B929="", "", "human-skin")</f>
        <v>0</v>
      </c>
      <c r="E929" s="1">
        <f>IF(B929="", "", "human skin metagenome")</f>
        <v>0</v>
      </c>
      <c r="F929" s="1">
        <f>IF(B929="", "", "539655")</f>
        <v>0</v>
      </c>
    </row>
    <row r="930" spans="1:6">
      <c r="A930">
        <f>IF(COUNTBLANK(B930:F930)&lt;&gt;COLUMNS(B930:F930),929,"")</f>
        <v>0</v>
      </c>
      <c r="C930" s="1">
        <f>IF(B930="", "", "human-skin")</f>
        <v>0</v>
      </c>
      <c r="E930" s="1">
        <f>IF(B930="", "", "human skin metagenome")</f>
        <v>0</v>
      </c>
      <c r="F930" s="1">
        <f>IF(B930="", "", "539655")</f>
        <v>0</v>
      </c>
    </row>
    <row r="931" spans="1:6">
      <c r="A931">
        <f>IF(COUNTBLANK(B931:F931)&lt;&gt;COLUMNS(B931:F931),930,"")</f>
        <v>0</v>
      </c>
      <c r="C931" s="1">
        <f>IF(B931="", "", "human-skin")</f>
        <v>0</v>
      </c>
      <c r="E931" s="1">
        <f>IF(B931="", "", "human skin metagenome")</f>
        <v>0</v>
      </c>
      <c r="F931" s="1">
        <f>IF(B931="", "", "539655")</f>
        <v>0</v>
      </c>
    </row>
    <row r="932" spans="1:6">
      <c r="A932">
        <f>IF(COUNTBLANK(B932:F932)&lt;&gt;COLUMNS(B932:F932),931,"")</f>
        <v>0</v>
      </c>
      <c r="C932" s="1">
        <f>IF(B932="", "", "human-skin")</f>
        <v>0</v>
      </c>
      <c r="E932" s="1">
        <f>IF(B932="", "", "human skin metagenome")</f>
        <v>0</v>
      </c>
      <c r="F932" s="1">
        <f>IF(B932="", "", "539655")</f>
        <v>0</v>
      </c>
    </row>
    <row r="933" spans="1:6">
      <c r="A933">
        <f>IF(COUNTBLANK(B933:F933)&lt;&gt;COLUMNS(B933:F933),932,"")</f>
        <v>0</v>
      </c>
      <c r="C933" s="1">
        <f>IF(B933="", "", "human-skin")</f>
        <v>0</v>
      </c>
      <c r="E933" s="1">
        <f>IF(B933="", "", "human skin metagenome")</f>
        <v>0</v>
      </c>
      <c r="F933" s="1">
        <f>IF(B933="", "", "539655")</f>
        <v>0</v>
      </c>
    </row>
    <row r="934" spans="1:6">
      <c r="A934">
        <f>IF(COUNTBLANK(B934:F934)&lt;&gt;COLUMNS(B934:F934),933,"")</f>
        <v>0</v>
      </c>
      <c r="C934" s="1">
        <f>IF(B934="", "", "human-skin")</f>
        <v>0</v>
      </c>
      <c r="E934" s="1">
        <f>IF(B934="", "", "human skin metagenome")</f>
        <v>0</v>
      </c>
      <c r="F934" s="1">
        <f>IF(B934="", "", "539655")</f>
        <v>0</v>
      </c>
    </row>
    <row r="935" spans="1:6">
      <c r="A935">
        <f>IF(COUNTBLANK(B935:F935)&lt;&gt;COLUMNS(B935:F935),934,"")</f>
        <v>0</v>
      </c>
      <c r="C935" s="1">
        <f>IF(B935="", "", "human-skin")</f>
        <v>0</v>
      </c>
      <c r="E935" s="1">
        <f>IF(B935="", "", "human skin metagenome")</f>
        <v>0</v>
      </c>
      <c r="F935" s="1">
        <f>IF(B935="", "", "539655")</f>
        <v>0</v>
      </c>
    </row>
    <row r="936" spans="1:6">
      <c r="A936">
        <f>IF(COUNTBLANK(B936:F936)&lt;&gt;COLUMNS(B936:F936),935,"")</f>
        <v>0</v>
      </c>
      <c r="C936" s="1">
        <f>IF(B936="", "", "human-skin")</f>
        <v>0</v>
      </c>
      <c r="E936" s="1">
        <f>IF(B936="", "", "human skin metagenome")</f>
        <v>0</v>
      </c>
      <c r="F936" s="1">
        <f>IF(B936="", "", "539655")</f>
        <v>0</v>
      </c>
    </row>
    <row r="937" spans="1:6">
      <c r="A937">
        <f>IF(COUNTBLANK(B937:F937)&lt;&gt;COLUMNS(B937:F937),936,"")</f>
        <v>0</v>
      </c>
      <c r="C937" s="1">
        <f>IF(B937="", "", "human-skin")</f>
        <v>0</v>
      </c>
      <c r="E937" s="1">
        <f>IF(B937="", "", "human skin metagenome")</f>
        <v>0</v>
      </c>
      <c r="F937" s="1">
        <f>IF(B937="", "", "539655")</f>
        <v>0</v>
      </c>
    </row>
    <row r="938" spans="1:6">
      <c r="A938">
        <f>IF(COUNTBLANK(B938:F938)&lt;&gt;COLUMNS(B938:F938),937,"")</f>
        <v>0</v>
      </c>
      <c r="C938" s="1">
        <f>IF(B938="", "", "human-skin")</f>
        <v>0</v>
      </c>
      <c r="E938" s="1">
        <f>IF(B938="", "", "human skin metagenome")</f>
        <v>0</v>
      </c>
      <c r="F938" s="1">
        <f>IF(B938="", "", "539655")</f>
        <v>0</v>
      </c>
    </row>
    <row r="939" spans="1:6">
      <c r="A939">
        <f>IF(COUNTBLANK(B939:F939)&lt;&gt;COLUMNS(B939:F939),938,"")</f>
        <v>0</v>
      </c>
      <c r="C939" s="1">
        <f>IF(B939="", "", "human-skin")</f>
        <v>0</v>
      </c>
      <c r="E939" s="1">
        <f>IF(B939="", "", "human skin metagenome")</f>
        <v>0</v>
      </c>
      <c r="F939" s="1">
        <f>IF(B939="", "", "539655")</f>
        <v>0</v>
      </c>
    </row>
    <row r="940" spans="1:6">
      <c r="A940">
        <f>IF(COUNTBLANK(B940:F940)&lt;&gt;COLUMNS(B940:F940),939,"")</f>
        <v>0</v>
      </c>
      <c r="C940" s="1">
        <f>IF(B940="", "", "human-skin")</f>
        <v>0</v>
      </c>
      <c r="E940" s="1">
        <f>IF(B940="", "", "human skin metagenome")</f>
        <v>0</v>
      </c>
      <c r="F940" s="1">
        <f>IF(B940="", "", "539655")</f>
        <v>0</v>
      </c>
    </row>
    <row r="941" spans="1:6">
      <c r="A941">
        <f>IF(COUNTBLANK(B941:F941)&lt;&gt;COLUMNS(B941:F941),940,"")</f>
        <v>0</v>
      </c>
      <c r="C941" s="1">
        <f>IF(B941="", "", "human-skin")</f>
        <v>0</v>
      </c>
      <c r="E941" s="1">
        <f>IF(B941="", "", "human skin metagenome")</f>
        <v>0</v>
      </c>
      <c r="F941" s="1">
        <f>IF(B941="", "", "539655")</f>
        <v>0</v>
      </c>
    </row>
    <row r="942" spans="1:6">
      <c r="A942">
        <f>IF(COUNTBLANK(B942:F942)&lt;&gt;COLUMNS(B942:F942),941,"")</f>
        <v>0</v>
      </c>
      <c r="C942" s="1">
        <f>IF(B942="", "", "human-skin")</f>
        <v>0</v>
      </c>
      <c r="E942" s="1">
        <f>IF(B942="", "", "human skin metagenome")</f>
        <v>0</v>
      </c>
      <c r="F942" s="1">
        <f>IF(B942="", "", "539655")</f>
        <v>0</v>
      </c>
    </row>
    <row r="943" spans="1:6">
      <c r="A943">
        <f>IF(COUNTBLANK(B943:F943)&lt;&gt;COLUMNS(B943:F943),942,"")</f>
        <v>0</v>
      </c>
      <c r="C943" s="1">
        <f>IF(B943="", "", "human-skin")</f>
        <v>0</v>
      </c>
      <c r="E943" s="1">
        <f>IF(B943="", "", "human skin metagenome")</f>
        <v>0</v>
      </c>
      <c r="F943" s="1">
        <f>IF(B943="", "", "539655")</f>
        <v>0</v>
      </c>
    </row>
    <row r="944" spans="1:6">
      <c r="A944">
        <f>IF(COUNTBLANK(B944:F944)&lt;&gt;COLUMNS(B944:F944),943,"")</f>
        <v>0</v>
      </c>
      <c r="C944" s="1">
        <f>IF(B944="", "", "human-skin")</f>
        <v>0</v>
      </c>
      <c r="E944" s="1">
        <f>IF(B944="", "", "human skin metagenome")</f>
        <v>0</v>
      </c>
      <c r="F944" s="1">
        <f>IF(B944="", "", "539655")</f>
        <v>0</v>
      </c>
    </row>
    <row r="945" spans="1:6">
      <c r="A945">
        <f>IF(COUNTBLANK(B945:F945)&lt;&gt;COLUMNS(B945:F945),944,"")</f>
        <v>0</v>
      </c>
      <c r="C945" s="1">
        <f>IF(B945="", "", "human-skin")</f>
        <v>0</v>
      </c>
      <c r="E945" s="1">
        <f>IF(B945="", "", "human skin metagenome")</f>
        <v>0</v>
      </c>
      <c r="F945" s="1">
        <f>IF(B945="", "", "539655")</f>
        <v>0</v>
      </c>
    </row>
    <row r="946" spans="1:6">
      <c r="A946">
        <f>IF(COUNTBLANK(B946:F946)&lt;&gt;COLUMNS(B946:F946),945,"")</f>
        <v>0</v>
      </c>
      <c r="C946" s="1">
        <f>IF(B946="", "", "human-skin")</f>
        <v>0</v>
      </c>
      <c r="E946" s="1">
        <f>IF(B946="", "", "human skin metagenome")</f>
        <v>0</v>
      </c>
      <c r="F946" s="1">
        <f>IF(B946="", "", "539655")</f>
        <v>0</v>
      </c>
    </row>
    <row r="947" spans="1:6">
      <c r="A947">
        <f>IF(COUNTBLANK(B947:F947)&lt;&gt;COLUMNS(B947:F947),946,"")</f>
        <v>0</v>
      </c>
      <c r="C947" s="1">
        <f>IF(B947="", "", "human-skin")</f>
        <v>0</v>
      </c>
      <c r="E947" s="1">
        <f>IF(B947="", "", "human skin metagenome")</f>
        <v>0</v>
      </c>
      <c r="F947" s="1">
        <f>IF(B947="", "", "539655")</f>
        <v>0</v>
      </c>
    </row>
    <row r="948" spans="1:6">
      <c r="A948">
        <f>IF(COUNTBLANK(B948:F948)&lt;&gt;COLUMNS(B948:F948),947,"")</f>
        <v>0</v>
      </c>
      <c r="C948" s="1">
        <f>IF(B948="", "", "human-skin")</f>
        <v>0</v>
      </c>
      <c r="E948" s="1">
        <f>IF(B948="", "", "human skin metagenome")</f>
        <v>0</v>
      </c>
      <c r="F948" s="1">
        <f>IF(B948="", "", "539655")</f>
        <v>0</v>
      </c>
    </row>
    <row r="949" spans="1:6">
      <c r="A949">
        <f>IF(COUNTBLANK(B949:F949)&lt;&gt;COLUMNS(B949:F949),948,"")</f>
        <v>0</v>
      </c>
      <c r="C949" s="1">
        <f>IF(B949="", "", "human-skin")</f>
        <v>0</v>
      </c>
      <c r="E949" s="1">
        <f>IF(B949="", "", "human skin metagenome")</f>
        <v>0</v>
      </c>
      <c r="F949" s="1">
        <f>IF(B949="", "", "539655")</f>
        <v>0</v>
      </c>
    </row>
    <row r="950" spans="1:6">
      <c r="A950">
        <f>IF(COUNTBLANK(B950:F950)&lt;&gt;COLUMNS(B950:F950),949,"")</f>
        <v>0</v>
      </c>
      <c r="C950" s="1">
        <f>IF(B950="", "", "human-skin")</f>
        <v>0</v>
      </c>
      <c r="E950" s="1">
        <f>IF(B950="", "", "human skin metagenome")</f>
        <v>0</v>
      </c>
      <c r="F950" s="1">
        <f>IF(B950="", "", "539655")</f>
        <v>0</v>
      </c>
    </row>
    <row r="951" spans="1:6">
      <c r="A951">
        <f>IF(COUNTBLANK(B951:F951)&lt;&gt;COLUMNS(B951:F951),950,"")</f>
        <v>0</v>
      </c>
      <c r="C951" s="1">
        <f>IF(B951="", "", "human-skin")</f>
        <v>0</v>
      </c>
      <c r="E951" s="1">
        <f>IF(B951="", "", "human skin metagenome")</f>
        <v>0</v>
      </c>
      <c r="F951" s="1">
        <f>IF(B951="", "", "539655")</f>
        <v>0</v>
      </c>
    </row>
    <row r="952" spans="1:6">
      <c r="A952">
        <f>IF(COUNTBLANK(B952:F952)&lt;&gt;COLUMNS(B952:F952),951,"")</f>
        <v>0</v>
      </c>
      <c r="C952" s="1">
        <f>IF(B952="", "", "human-skin")</f>
        <v>0</v>
      </c>
      <c r="E952" s="1">
        <f>IF(B952="", "", "human skin metagenome")</f>
        <v>0</v>
      </c>
      <c r="F952" s="1">
        <f>IF(B952="", "", "539655")</f>
        <v>0</v>
      </c>
    </row>
    <row r="953" spans="1:6">
      <c r="A953">
        <f>IF(COUNTBLANK(B953:F953)&lt;&gt;COLUMNS(B953:F953),952,"")</f>
        <v>0</v>
      </c>
      <c r="C953" s="1">
        <f>IF(B953="", "", "human-skin")</f>
        <v>0</v>
      </c>
      <c r="E953" s="1">
        <f>IF(B953="", "", "human skin metagenome")</f>
        <v>0</v>
      </c>
      <c r="F953" s="1">
        <f>IF(B953="", "", "539655")</f>
        <v>0</v>
      </c>
    </row>
    <row r="954" spans="1:6">
      <c r="A954">
        <f>IF(COUNTBLANK(B954:F954)&lt;&gt;COLUMNS(B954:F954),953,"")</f>
        <v>0</v>
      </c>
      <c r="C954" s="1">
        <f>IF(B954="", "", "human-skin")</f>
        <v>0</v>
      </c>
      <c r="E954" s="1">
        <f>IF(B954="", "", "human skin metagenome")</f>
        <v>0</v>
      </c>
      <c r="F954" s="1">
        <f>IF(B954="", "", "539655")</f>
        <v>0</v>
      </c>
    </row>
    <row r="955" spans="1:6">
      <c r="A955">
        <f>IF(COUNTBLANK(B955:F955)&lt;&gt;COLUMNS(B955:F955),954,"")</f>
        <v>0</v>
      </c>
      <c r="C955" s="1">
        <f>IF(B955="", "", "human-skin")</f>
        <v>0</v>
      </c>
      <c r="E955" s="1">
        <f>IF(B955="", "", "human skin metagenome")</f>
        <v>0</v>
      </c>
      <c r="F955" s="1">
        <f>IF(B955="", "", "539655")</f>
        <v>0</v>
      </c>
    </row>
    <row r="956" spans="1:6">
      <c r="A956">
        <f>IF(COUNTBLANK(B956:F956)&lt;&gt;COLUMNS(B956:F956),955,"")</f>
        <v>0</v>
      </c>
      <c r="C956" s="1">
        <f>IF(B956="", "", "human-skin")</f>
        <v>0</v>
      </c>
      <c r="E956" s="1">
        <f>IF(B956="", "", "human skin metagenome")</f>
        <v>0</v>
      </c>
      <c r="F956" s="1">
        <f>IF(B956="", "", "539655")</f>
        <v>0</v>
      </c>
    </row>
    <row r="957" spans="1:6">
      <c r="A957">
        <f>IF(COUNTBLANK(B957:F957)&lt;&gt;COLUMNS(B957:F957),956,"")</f>
        <v>0</v>
      </c>
      <c r="C957" s="1">
        <f>IF(B957="", "", "human-skin")</f>
        <v>0</v>
      </c>
      <c r="E957" s="1">
        <f>IF(B957="", "", "human skin metagenome")</f>
        <v>0</v>
      </c>
      <c r="F957" s="1">
        <f>IF(B957="", "", "539655")</f>
        <v>0</v>
      </c>
    </row>
    <row r="958" spans="1:6">
      <c r="A958">
        <f>IF(COUNTBLANK(B958:F958)&lt;&gt;COLUMNS(B958:F958),957,"")</f>
        <v>0</v>
      </c>
      <c r="C958" s="1">
        <f>IF(B958="", "", "human-skin")</f>
        <v>0</v>
      </c>
      <c r="E958" s="1">
        <f>IF(B958="", "", "human skin metagenome")</f>
        <v>0</v>
      </c>
      <c r="F958" s="1">
        <f>IF(B958="", "", "539655")</f>
        <v>0</v>
      </c>
    </row>
    <row r="959" spans="1:6">
      <c r="A959">
        <f>IF(COUNTBLANK(B959:F959)&lt;&gt;COLUMNS(B959:F959),958,"")</f>
        <v>0</v>
      </c>
      <c r="C959" s="1">
        <f>IF(B959="", "", "human-skin")</f>
        <v>0</v>
      </c>
      <c r="E959" s="1">
        <f>IF(B959="", "", "human skin metagenome")</f>
        <v>0</v>
      </c>
      <c r="F959" s="1">
        <f>IF(B959="", "", "539655")</f>
        <v>0</v>
      </c>
    </row>
    <row r="960" spans="1:6">
      <c r="A960">
        <f>IF(COUNTBLANK(B960:F960)&lt;&gt;COLUMNS(B960:F960),959,"")</f>
        <v>0</v>
      </c>
      <c r="C960" s="1">
        <f>IF(B960="", "", "human-skin")</f>
        <v>0</v>
      </c>
      <c r="E960" s="1">
        <f>IF(B960="", "", "human skin metagenome")</f>
        <v>0</v>
      </c>
      <c r="F960" s="1">
        <f>IF(B960="", "", "539655")</f>
        <v>0</v>
      </c>
    </row>
    <row r="961" spans="1:6">
      <c r="A961">
        <f>IF(COUNTBLANK(B961:F961)&lt;&gt;COLUMNS(B961:F961),960,"")</f>
        <v>0</v>
      </c>
      <c r="C961" s="1">
        <f>IF(B961="", "", "human-skin")</f>
        <v>0</v>
      </c>
      <c r="E961" s="1">
        <f>IF(B961="", "", "human skin metagenome")</f>
        <v>0</v>
      </c>
      <c r="F961" s="1">
        <f>IF(B961="", "", "539655")</f>
        <v>0</v>
      </c>
    </row>
    <row r="962" spans="1:6">
      <c r="A962">
        <f>IF(COUNTBLANK(B962:F962)&lt;&gt;COLUMNS(B962:F962),961,"")</f>
        <v>0</v>
      </c>
      <c r="C962" s="1">
        <f>IF(B962="", "", "human-skin")</f>
        <v>0</v>
      </c>
      <c r="E962" s="1">
        <f>IF(B962="", "", "human skin metagenome")</f>
        <v>0</v>
      </c>
      <c r="F962" s="1">
        <f>IF(B962="", "", "539655")</f>
        <v>0</v>
      </c>
    </row>
    <row r="963" spans="1:6">
      <c r="A963">
        <f>IF(COUNTBLANK(B963:F963)&lt;&gt;COLUMNS(B963:F963),962,"")</f>
        <v>0</v>
      </c>
      <c r="C963" s="1">
        <f>IF(B963="", "", "human-skin")</f>
        <v>0</v>
      </c>
      <c r="E963" s="1">
        <f>IF(B963="", "", "human skin metagenome")</f>
        <v>0</v>
      </c>
      <c r="F963" s="1">
        <f>IF(B963="", "", "539655")</f>
        <v>0</v>
      </c>
    </row>
    <row r="964" spans="1:6">
      <c r="A964">
        <f>IF(COUNTBLANK(B964:F964)&lt;&gt;COLUMNS(B964:F964),963,"")</f>
        <v>0</v>
      </c>
      <c r="C964" s="1">
        <f>IF(B964="", "", "human-skin")</f>
        <v>0</v>
      </c>
      <c r="E964" s="1">
        <f>IF(B964="", "", "human skin metagenome")</f>
        <v>0</v>
      </c>
      <c r="F964" s="1">
        <f>IF(B964="", "", "539655")</f>
        <v>0</v>
      </c>
    </row>
    <row r="965" spans="1:6">
      <c r="A965">
        <f>IF(COUNTBLANK(B965:F965)&lt;&gt;COLUMNS(B965:F965),964,"")</f>
        <v>0</v>
      </c>
      <c r="C965" s="1">
        <f>IF(B965="", "", "human-skin")</f>
        <v>0</v>
      </c>
      <c r="E965" s="1">
        <f>IF(B965="", "", "human skin metagenome")</f>
        <v>0</v>
      </c>
      <c r="F965" s="1">
        <f>IF(B965="", "", "539655")</f>
        <v>0</v>
      </c>
    </row>
    <row r="966" spans="1:6">
      <c r="A966">
        <f>IF(COUNTBLANK(B966:F966)&lt;&gt;COLUMNS(B966:F966),965,"")</f>
        <v>0</v>
      </c>
      <c r="C966" s="1">
        <f>IF(B966="", "", "human-skin")</f>
        <v>0</v>
      </c>
      <c r="E966" s="1">
        <f>IF(B966="", "", "human skin metagenome")</f>
        <v>0</v>
      </c>
      <c r="F966" s="1">
        <f>IF(B966="", "", "539655")</f>
        <v>0</v>
      </c>
    </row>
    <row r="967" spans="1:6">
      <c r="A967">
        <f>IF(COUNTBLANK(B967:F967)&lt;&gt;COLUMNS(B967:F967),966,"")</f>
        <v>0</v>
      </c>
      <c r="C967" s="1">
        <f>IF(B967="", "", "human-skin")</f>
        <v>0</v>
      </c>
      <c r="E967" s="1">
        <f>IF(B967="", "", "human skin metagenome")</f>
        <v>0</v>
      </c>
      <c r="F967" s="1">
        <f>IF(B967="", "", "539655")</f>
        <v>0</v>
      </c>
    </row>
    <row r="968" spans="1:6">
      <c r="A968">
        <f>IF(COUNTBLANK(B968:F968)&lt;&gt;COLUMNS(B968:F968),967,"")</f>
        <v>0</v>
      </c>
      <c r="C968" s="1">
        <f>IF(B968="", "", "human-skin")</f>
        <v>0</v>
      </c>
      <c r="E968" s="1">
        <f>IF(B968="", "", "human skin metagenome")</f>
        <v>0</v>
      </c>
      <c r="F968" s="1">
        <f>IF(B968="", "", "539655")</f>
        <v>0</v>
      </c>
    </row>
    <row r="969" spans="1:6">
      <c r="A969">
        <f>IF(COUNTBLANK(B969:F969)&lt;&gt;COLUMNS(B969:F969),968,"")</f>
        <v>0</v>
      </c>
      <c r="C969" s="1">
        <f>IF(B969="", "", "human-skin")</f>
        <v>0</v>
      </c>
      <c r="E969" s="1">
        <f>IF(B969="", "", "human skin metagenome")</f>
        <v>0</v>
      </c>
      <c r="F969" s="1">
        <f>IF(B969="", "", "539655")</f>
        <v>0</v>
      </c>
    </row>
    <row r="970" spans="1:6">
      <c r="A970">
        <f>IF(COUNTBLANK(B970:F970)&lt;&gt;COLUMNS(B970:F970),969,"")</f>
        <v>0</v>
      </c>
      <c r="C970" s="1">
        <f>IF(B970="", "", "human-skin")</f>
        <v>0</v>
      </c>
      <c r="E970" s="1">
        <f>IF(B970="", "", "human skin metagenome")</f>
        <v>0</v>
      </c>
      <c r="F970" s="1">
        <f>IF(B970="", "", "539655")</f>
        <v>0</v>
      </c>
    </row>
    <row r="971" spans="1:6">
      <c r="A971">
        <f>IF(COUNTBLANK(B971:F971)&lt;&gt;COLUMNS(B971:F971),970,"")</f>
        <v>0</v>
      </c>
      <c r="C971" s="1">
        <f>IF(B971="", "", "human-skin")</f>
        <v>0</v>
      </c>
      <c r="E971" s="1">
        <f>IF(B971="", "", "human skin metagenome")</f>
        <v>0</v>
      </c>
      <c r="F971" s="1">
        <f>IF(B971="", "", "539655")</f>
        <v>0</v>
      </c>
    </row>
    <row r="972" spans="1:6">
      <c r="A972">
        <f>IF(COUNTBLANK(B972:F972)&lt;&gt;COLUMNS(B972:F972),971,"")</f>
        <v>0</v>
      </c>
      <c r="C972" s="1">
        <f>IF(B972="", "", "human-skin")</f>
        <v>0</v>
      </c>
      <c r="E972" s="1">
        <f>IF(B972="", "", "human skin metagenome")</f>
        <v>0</v>
      </c>
      <c r="F972" s="1">
        <f>IF(B972="", "", "539655")</f>
        <v>0</v>
      </c>
    </row>
    <row r="973" spans="1:6">
      <c r="A973">
        <f>IF(COUNTBLANK(B973:F973)&lt;&gt;COLUMNS(B973:F973),972,"")</f>
        <v>0</v>
      </c>
      <c r="C973" s="1">
        <f>IF(B973="", "", "human-skin")</f>
        <v>0</v>
      </c>
      <c r="E973" s="1">
        <f>IF(B973="", "", "human skin metagenome")</f>
        <v>0</v>
      </c>
      <c r="F973" s="1">
        <f>IF(B973="", "", "539655")</f>
        <v>0</v>
      </c>
    </row>
    <row r="974" spans="1:6">
      <c r="A974">
        <f>IF(COUNTBLANK(B974:F974)&lt;&gt;COLUMNS(B974:F974),973,"")</f>
        <v>0</v>
      </c>
      <c r="C974" s="1">
        <f>IF(B974="", "", "human-skin")</f>
        <v>0</v>
      </c>
      <c r="E974" s="1">
        <f>IF(B974="", "", "human skin metagenome")</f>
        <v>0</v>
      </c>
      <c r="F974" s="1">
        <f>IF(B974="", "", "539655")</f>
        <v>0</v>
      </c>
    </row>
    <row r="975" spans="1:6">
      <c r="A975">
        <f>IF(COUNTBLANK(B975:F975)&lt;&gt;COLUMNS(B975:F975),974,"")</f>
        <v>0</v>
      </c>
      <c r="C975" s="1">
        <f>IF(B975="", "", "human-skin")</f>
        <v>0</v>
      </c>
      <c r="E975" s="1">
        <f>IF(B975="", "", "human skin metagenome")</f>
        <v>0</v>
      </c>
      <c r="F975" s="1">
        <f>IF(B975="", "", "539655")</f>
        <v>0</v>
      </c>
    </row>
    <row r="976" spans="1:6">
      <c r="A976">
        <f>IF(COUNTBLANK(B976:F976)&lt;&gt;COLUMNS(B976:F976),975,"")</f>
        <v>0</v>
      </c>
      <c r="C976" s="1">
        <f>IF(B976="", "", "human-skin")</f>
        <v>0</v>
      </c>
      <c r="E976" s="1">
        <f>IF(B976="", "", "human skin metagenome")</f>
        <v>0</v>
      </c>
      <c r="F976" s="1">
        <f>IF(B976="", "", "539655")</f>
        <v>0</v>
      </c>
    </row>
    <row r="977" spans="1:6">
      <c r="A977">
        <f>IF(COUNTBLANK(B977:F977)&lt;&gt;COLUMNS(B977:F977),976,"")</f>
        <v>0</v>
      </c>
      <c r="C977" s="1">
        <f>IF(B977="", "", "human-skin")</f>
        <v>0</v>
      </c>
      <c r="E977" s="1">
        <f>IF(B977="", "", "human skin metagenome")</f>
        <v>0</v>
      </c>
      <c r="F977" s="1">
        <f>IF(B977="", "", "539655")</f>
        <v>0</v>
      </c>
    </row>
    <row r="978" spans="1:6">
      <c r="A978">
        <f>IF(COUNTBLANK(B978:F978)&lt;&gt;COLUMNS(B978:F978),977,"")</f>
        <v>0</v>
      </c>
      <c r="C978" s="1">
        <f>IF(B978="", "", "human-skin")</f>
        <v>0</v>
      </c>
      <c r="E978" s="1">
        <f>IF(B978="", "", "human skin metagenome")</f>
        <v>0</v>
      </c>
      <c r="F978" s="1">
        <f>IF(B978="", "", "539655")</f>
        <v>0</v>
      </c>
    </row>
    <row r="979" spans="1:6">
      <c r="A979">
        <f>IF(COUNTBLANK(B979:F979)&lt;&gt;COLUMNS(B979:F979),978,"")</f>
        <v>0</v>
      </c>
      <c r="C979" s="1">
        <f>IF(B979="", "", "human-skin")</f>
        <v>0</v>
      </c>
      <c r="E979" s="1">
        <f>IF(B979="", "", "human skin metagenome")</f>
        <v>0</v>
      </c>
      <c r="F979" s="1">
        <f>IF(B979="", "", "539655")</f>
        <v>0</v>
      </c>
    </row>
    <row r="980" spans="1:6">
      <c r="A980">
        <f>IF(COUNTBLANK(B980:F980)&lt;&gt;COLUMNS(B980:F980),979,"")</f>
        <v>0</v>
      </c>
      <c r="C980" s="1">
        <f>IF(B980="", "", "human-skin")</f>
        <v>0</v>
      </c>
      <c r="E980" s="1">
        <f>IF(B980="", "", "human skin metagenome")</f>
        <v>0</v>
      </c>
      <c r="F980" s="1">
        <f>IF(B980="", "", "539655")</f>
        <v>0</v>
      </c>
    </row>
    <row r="981" spans="1:6">
      <c r="A981">
        <f>IF(COUNTBLANK(B981:F981)&lt;&gt;COLUMNS(B981:F981),980,"")</f>
        <v>0</v>
      </c>
      <c r="C981" s="1">
        <f>IF(B981="", "", "human-skin")</f>
        <v>0</v>
      </c>
      <c r="E981" s="1">
        <f>IF(B981="", "", "human skin metagenome")</f>
        <v>0</v>
      </c>
      <c r="F981" s="1">
        <f>IF(B981="", "", "539655")</f>
        <v>0</v>
      </c>
    </row>
    <row r="982" spans="1:6">
      <c r="A982">
        <f>IF(COUNTBLANK(B982:F982)&lt;&gt;COLUMNS(B982:F982),981,"")</f>
        <v>0</v>
      </c>
      <c r="C982" s="1">
        <f>IF(B982="", "", "human-skin")</f>
        <v>0</v>
      </c>
      <c r="E982" s="1">
        <f>IF(B982="", "", "human skin metagenome")</f>
        <v>0</v>
      </c>
      <c r="F982" s="1">
        <f>IF(B982="", "", "539655")</f>
        <v>0</v>
      </c>
    </row>
    <row r="983" spans="1:6">
      <c r="A983">
        <f>IF(COUNTBLANK(B983:F983)&lt;&gt;COLUMNS(B983:F983),982,"")</f>
        <v>0</v>
      </c>
      <c r="C983" s="1">
        <f>IF(B983="", "", "human-skin")</f>
        <v>0</v>
      </c>
      <c r="E983" s="1">
        <f>IF(B983="", "", "human skin metagenome")</f>
        <v>0</v>
      </c>
      <c r="F983" s="1">
        <f>IF(B983="", "", "539655")</f>
        <v>0</v>
      </c>
    </row>
    <row r="984" spans="1:6">
      <c r="A984">
        <f>IF(COUNTBLANK(B984:F984)&lt;&gt;COLUMNS(B984:F984),983,"")</f>
        <v>0</v>
      </c>
      <c r="C984" s="1">
        <f>IF(B984="", "", "human-skin")</f>
        <v>0</v>
      </c>
      <c r="E984" s="1">
        <f>IF(B984="", "", "human skin metagenome")</f>
        <v>0</v>
      </c>
      <c r="F984" s="1">
        <f>IF(B984="", "", "539655")</f>
        <v>0</v>
      </c>
    </row>
    <row r="985" spans="1:6">
      <c r="A985">
        <f>IF(COUNTBLANK(B985:F985)&lt;&gt;COLUMNS(B985:F985),984,"")</f>
        <v>0</v>
      </c>
      <c r="C985" s="1">
        <f>IF(B985="", "", "human-skin")</f>
        <v>0</v>
      </c>
      <c r="E985" s="1">
        <f>IF(B985="", "", "human skin metagenome")</f>
        <v>0</v>
      </c>
      <c r="F985" s="1">
        <f>IF(B985="", "", "539655")</f>
        <v>0</v>
      </c>
    </row>
    <row r="986" spans="1:6">
      <c r="A986">
        <f>IF(COUNTBLANK(B986:F986)&lt;&gt;COLUMNS(B986:F986),985,"")</f>
        <v>0</v>
      </c>
      <c r="C986" s="1">
        <f>IF(B986="", "", "human-skin")</f>
        <v>0</v>
      </c>
      <c r="E986" s="1">
        <f>IF(B986="", "", "human skin metagenome")</f>
        <v>0</v>
      </c>
      <c r="F986" s="1">
        <f>IF(B986="", "", "539655")</f>
        <v>0</v>
      </c>
    </row>
    <row r="987" spans="1:6">
      <c r="A987">
        <f>IF(COUNTBLANK(B987:F987)&lt;&gt;COLUMNS(B987:F987),986,"")</f>
        <v>0</v>
      </c>
      <c r="C987" s="1">
        <f>IF(B987="", "", "human-skin")</f>
        <v>0</v>
      </c>
      <c r="E987" s="1">
        <f>IF(B987="", "", "human skin metagenome")</f>
        <v>0</v>
      </c>
      <c r="F987" s="1">
        <f>IF(B987="", "", "539655")</f>
        <v>0</v>
      </c>
    </row>
    <row r="988" spans="1:6">
      <c r="A988">
        <f>IF(COUNTBLANK(B988:F988)&lt;&gt;COLUMNS(B988:F988),987,"")</f>
        <v>0</v>
      </c>
      <c r="C988" s="1">
        <f>IF(B988="", "", "human-skin")</f>
        <v>0</v>
      </c>
      <c r="E988" s="1">
        <f>IF(B988="", "", "human skin metagenome")</f>
        <v>0</v>
      </c>
      <c r="F988" s="1">
        <f>IF(B988="", "", "539655")</f>
        <v>0</v>
      </c>
    </row>
    <row r="989" spans="1:6">
      <c r="A989">
        <f>IF(COUNTBLANK(B989:F989)&lt;&gt;COLUMNS(B989:F989),988,"")</f>
        <v>0</v>
      </c>
      <c r="C989" s="1">
        <f>IF(B989="", "", "human-skin")</f>
        <v>0</v>
      </c>
      <c r="E989" s="1">
        <f>IF(B989="", "", "human skin metagenome")</f>
        <v>0</v>
      </c>
      <c r="F989" s="1">
        <f>IF(B989="", "", "539655")</f>
        <v>0</v>
      </c>
    </row>
    <row r="990" spans="1:6">
      <c r="A990">
        <f>IF(COUNTBLANK(B990:F990)&lt;&gt;COLUMNS(B990:F990),989,"")</f>
        <v>0</v>
      </c>
      <c r="C990" s="1">
        <f>IF(B990="", "", "human-skin")</f>
        <v>0</v>
      </c>
      <c r="E990" s="1">
        <f>IF(B990="", "", "human skin metagenome")</f>
        <v>0</v>
      </c>
      <c r="F990" s="1">
        <f>IF(B990="", "", "539655")</f>
        <v>0</v>
      </c>
    </row>
    <row r="991" spans="1:6">
      <c r="A991">
        <f>IF(COUNTBLANK(B991:F991)&lt;&gt;COLUMNS(B991:F991),990,"")</f>
        <v>0</v>
      </c>
      <c r="C991" s="1">
        <f>IF(B991="", "", "human-skin")</f>
        <v>0</v>
      </c>
      <c r="E991" s="1">
        <f>IF(B991="", "", "human skin metagenome")</f>
        <v>0</v>
      </c>
      <c r="F991" s="1">
        <f>IF(B991="", "", "539655")</f>
        <v>0</v>
      </c>
    </row>
    <row r="992" spans="1:6">
      <c r="A992">
        <f>IF(COUNTBLANK(B992:F992)&lt;&gt;COLUMNS(B992:F992),991,"")</f>
        <v>0</v>
      </c>
      <c r="C992" s="1">
        <f>IF(B992="", "", "human-skin")</f>
        <v>0</v>
      </c>
      <c r="E992" s="1">
        <f>IF(B992="", "", "human skin metagenome")</f>
        <v>0</v>
      </c>
      <c r="F992" s="1">
        <f>IF(B992="", "", "539655")</f>
        <v>0</v>
      </c>
    </row>
    <row r="993" spans="1:6">
      <c r="A993">
        <f>IF(COUNTBLANK(B993:F993)&lt;&gt;COLUMNS(B993:F993),992,"")</f>
        <v>0</v>
      </c>
      <c r="C993" s="1">
        <f>IF(B993="", "", "human-skin")</f>
        <v>0</v>
      </c>
      <c r="E993" s="1">
        <f>IF(B993="", "", "human skin metagenome")</f>
        <v>0</v>
      </c>
      <c r="F993" s="1">
        <f>IF(B993="", "", "539655")</f>
        <v>0</v>
      </c>
    </row>
    <row r="994" spans="1:6">
      <c r="A994">
        <f>IF(COUNTBLANK(B994:F994)&lt;&gt;COLUMNS(B994:F994),993,"")</f>
        <v>0</v>
      </c>
      <c r="C994" s="1">
        <f>IF(B994="", "", "human-skin")</f>
        <v>0</v>
      </c>
      <c r="E994" s="1">
        <f>IF(B994="", "", "human skin metagenome")</f>
        <v>0</v>
      </c>
      <c r="F994" s="1">
        <f>IF(B994="", "", "539655")</f>
        <v>0</v>
      </c>
    </row>
    <row r="995" spans="1:6">
      <c r="A995">
        <f>IF(COUNTBLANK(B995:F995)&lt;&gt;COLUMNS(B995:F995),994,"")</f>
        <v>0</v>
      </c>
      <c r="C995" s="1">
        <f>IF(B995="", "", "human-skin")</f>
        <v>0</v>
      </c>
      <c r="E995" s="1">
        <f>IF(B995="", "", "human skin metagenome")</f>
        <v>0</v>
      </c>
      <c r="F995" s="1">
        <f>IF(B995="", "", "539655")</f>
        <v>0</v>
      </c>
    </row>
    <row r="996" spans="1:6">
      <c r="A996">
        <f>IF(COUNTBLANK(B996:F996)&lt;&gt;COLUMNS(B996:F996),995,"")</f>
        <v>0</v>
      </c>
      <c r="C996" s="1">
        <f>IF(B996="", "", "human-skin")</f>
        <v>0</v>
      </c>
      <c r="E996" s="1">
        <f>IF(B996="", "", "human skin metagenome")</f>
        <v>0</v>
      </c>
      <c r="F996" s="1">
        <f>IF(B996="", "", "539655")</f>
        <v>0</v>
      </c>
    </row>
    <row r="997" spans="1:6">
      <c r="A997">
        <f>IF(COUNTBLANK(B997:F997)&lt;&gt;COLUMNS(B997:F997),996,"")</f>
        <v>0</v>
      </c>
      <c r="C997" s="1">
        <f>IF(B997="", "", "human-skin")</f>
        <v>0</v>
      </c>
      <c r="E997" s="1">
        <f>IF(B997="", "", "human skin metagenome")</f>
        <v>0</v>
      </c>
      <c r="F997" s="1">
        <f>IF(B997="", "", "539655")</f>
        <v>0</v>
      </c>
    </row>
    <row r="998" spans="1:6">
      <c r="A998">
        <f>IF(COUNTBLANK(B998:F998)&lt;&gt;COLUMNS(B998:F998),997,"")</f>
        <v>0</v>
      </c>
      <c r="C998" s="1">
        <f>IF(B998="", "", "human-skin")</f>
        <v>0</v>
      </c>
      <c r="E998" s="1">
        <f>IF(B998="", "", "human skin metagenome")</f>
        <v>0</v>
      </c>
      <c r="F998" s="1">
        <f>IF(B998="", "", "539655")</f>
        <v>0</v>
      </c>
    </row>
    <row r="999" spans="1:6">
      <c r="A999">
        <f>IF(COUNTBLANK(B999:F999)&lt;&gt;COLUMNS(B999:F999),998,"")</f>
        <v>0</v>
      </c>
      <c r="C999" s="1">
        <f>IF(B999="", "", "human-skin")</f>
        <v>0</v>
      </c>
      <c r="E999" s="1">
        <f>IF(B999="", "", "human skin metagenome")</f>
        <v>0</v>
      </c>
      <c r="F999" s="1">
        <f>IF(B999="", "", "539655")</f>
        <v>0</v>
      </c>
    </row>
    <row r="1000" spans="1:6">
      <c r="A1000">
        <f>IF(COUNTBLANK(B1000:F1000)&lt;&gt;COLUMNS(B1000:F1000),999,"")</f>
        <v>0</v>
      </c>
      <c r="C1000" s="1">
        <f>IF(B1000="", "", "human-skin")</f>
        <v>0</v>
      </c>
      <c r="E1000" s="1">
        <f>IF(B1000="", "", "human skin metagenome")</f>
        <v>0</v>
      </c>
      <c r="F1000" s="1">
        <f>IF(B1000="", "", "539655")</f>
        <v>0</v>
      </c>
    </row>
    <row r="1001" spans="1:6">
      <c r="A1001">
        <f>IF(COUNTBLANK(B1001:F1001)&lt;&gt;COLUMNS(B1001:F1001),1000,"")</f>
        <v>0</v>
      </c>
      <c r="C1001" s="1">
        <f>IF(B1001="", "", "human-skin")</f>
        <v>0</v>
      </c>
      <c r="E1001" s="1">
        <f>IF(B1001="", "", "human skin metagenome")</f>
        <v>0</v>
      </c>
      <c r="F1001" s="1">
        <f>IF(B1001="", "", "539655")</f>
        <v>0</v>
      </c>
    </row>
    <row r="1002" spans="1:6">
      <c r="B1002" s="2" t="s">
        <v>2</v>
      </c>
    </row>
  </sheetData>
  <sheetProtection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skin&quot;. The default value is human-skin." promptTitle="Enter env_package" prompt="The value must be a string and must equal &quot;human-skin&quot;. The default value is human-skin." sqref="C2:C1001">
      <formula1>"human-skin"</formula1>
    </dataValidation>
    <dataValidation type="list" allowBlank="1" showInputMessage="1" showErrorMessage="1" errorTitle="Invalid host_body_site" error="The host_body_site value entered is not valid. The value must be a string and must equal &quot;missing: not collected&quot; or must equal &quot;missing: not provided&quot; or the value must be a st[text truncated: please refer to Data Dictionary sheet for full requirements]." promptTitle="Enter host_body_site" prompt="The value must be a string and must equal &quot;missing: not collected&quot; or must equal &quot;missing: not provided&quot; or the value must be a string and must equal &quot;UBERON:zone of skin&quot; or must equal &quot;UBERON:skin of hand&quot; or must equal &quot;UBERON:skin of forehead&quot;." sqref="D2:D1001">
      <formula1>"missing: not collected,missing: not provided,UBERON:zone of skin,UBERON:skin of hand,UBERON:skin of forehead"</formula1>
    </dataValidation>
    <dataValidation type="list" allowBlank="1" showInputMessage="1" showErrorMessage="1" errorTitle="Invalid scientific_name" error="The scientific_name value entered is not valid. The value must be a string and must equal &quot;human skin metagenome&quot;. The default value is human skin metagenome." promptTitle="Enter scientific_name" prompt="The value must be a string and must equal &quot;human skin metagenome&quot;. The default value is human skin metagenome." sqref="E2:E1001">
      <formula1>"human skin metagenome"</formula1>
    </dataValidation>
    <dataValidation type="list" allowBlank="1" showInputMessage="1" showErrorMessage="1" errorTitle="Invalid taxon_id" error="The taxon_id value entered is not valid. The value must be a string and must equal &quot;539655&quot;. The default value is 539655." promptTitle="Enter taxon_id" prompt="The value must be a string and must equal &quot;539655&quot;. The default value is 539655." sqref="F2:F1001">
      <formula1>"539655"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10" max="16" width="0" hidden="1" customWidth="1"/>
    <col min="17" max="21" width="0" hidden="1" customWidth="1"/>
  </cols>
  <sheetData>
    <row r="1" spans="1:21">
      <c r="A1" s="2" t="s">
        <v>1</v>
      </c>
      <c r="B1" s="2">
        <f>IF(B2=" ", " ", INDEX($Q$1:$U$1, 1, MATCH(COLUMNS($Q$1006:Q1006),$Q$1006:$U$1006,0)))</f>
        <v>0</v>
      </c>
      <c r="C1" s="2">
        <f>IF(C2=" ", " ", INDEX($Q$1:$U$1, 1, MATCH(COLUMNS($Q$1006:R1006),$Q$1006:$U$1006,0)))</f>
        <v>0</v>
      </c>
      <c r="D1" s="2">
        <f>IF(D2=" ", " ", INDEX($Q$1:$U$1, 1, MATCH(COLUMNS($Q$1006:S1006),$Q$1006:$U$1006,0)))</f>
        <v>0</v>
      </c>
      <c r="E1" s="2">
        <f>IF(E2=" ", " ", INDEX($Q$1:$U$1, 1, MATCH(COLUMNS($Q$1006:T1006),$Q$1006:$U$1006,0)))</f>
        <v>0</v>
      </c>
      <c r="F1" s="2">
        <f>IF(F2=" ", " ", INDEX($Q$1:$U$1, 1, MATCH(COLUMNS($Q$1006:U1006),$Q$1006:$U$1006,0)))</f>
        <v>0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4">
        <f>IF(B2=" "," ",HYPERLINK(CONCATENATE("#metadata!",ADDRESS(INDEX($L$2:$L$1001,MATCH(ROWS($J$2:J2),$J$2:$J$1001,0),0),1)),INDEX($O$2:$O$1001,MATCH(ROWS($J$2:J2),$J$2:$J$1001,0),0)))</f>
        <v>0</v>
      </c>
      <c r="B2" s="3">
        <f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>0</v>
      </c>
      <c r="C2" s="3">
        <f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>0</v>
      </c>
      <c r="D2" s="3">
        <f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>0</v>
      </c>
      <c r="E2" s="3">
        <f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>0</v>
      </c>
      <c r="F2" s="3">
        <f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>0</v>
      </c>
      <c r="J2">
        <f t="array" ref="J2:J1001">COUNTIF(K$2:K$1001,"&lt;="&amp;$K2:$K1001)</f>
        <v>0</v>
      </c>
      <c r="K2">
        <f t="array" ref="K2:K1001">INT(M2:M1001)*100000+$L$2:$L$1001</f>
        <v>0</v>
      </c>
      <c r="L2">
        <f t="array" ref="L2:L1001">ROW(Metadata!B2:B1001)</f>
        <v>0</v>
      </c>
      <c r="M2">
        <f>IF(N2,TRUE,AND(Q2:U2))</f>
        <v>0</v>
      </c>
      <c r="N2">
        <f>COUNTBLANK(Metadata!B2:F2)=COLUMNS(Metadata!B2:F2)</f>
        <v>0</v>
      </c>
      <c r="O2">
        <f t="array" ref="O2:O1001">IF(Metadata!B2:B1001="","",Metadata!B2:B1001)</f>
        <v>0</v>
      </c>
      <c r="Q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R2">
        <f>AND(IF(Metadata!C2="",FALSE,TRUE),exact(Metadata!C2,"human-skin"))</f>
        <v>0</v>
      </c>
      <c r="S2">
        <f>OR(AND(IF(Metadata!D2="",FALSE,TRUE),OR(exact(Metadata!D2,"missing: not collected"),exact(Metadata!D2,"missing: not provided"))),AND(IF(Metadata!D2="",FALSE,TRUE),OR(exact(Metadata!D2,"UBERON:zone of skin"),exact(Metadata!D2,"UBERON:skin of hand"),exact(Metadata!D2,"UBERON:skin of forehead"))))</f>
        <v>0</v>
      </c>
      <c r="T2">
        <f>AND(IF(Metadata!E2="",FALSE,TRUE),exact(Metadata!E2,"human skin metagenome"))</f>
        <v>0</v>
      </c>
      <c r="U2">
        <f>AND(IF(Metadata!F2="",FALSE,TRUE),exact(Metadata!F2,"539655"))</f>
        <v>0</v>
      </c>
    </row>
    <row r="3" spans="1:21">
      <c r="A3" s="4">
        <f>IF(B3=" "," ",HYPERLINK(CONCATENATE("#metadata!",ADDRESS(INDEX($L$2:$L$1001,MATCH(ROWS($J$2:J3),$J$2:$J$1001,0),0),1)),INDEX($O$2:$O$1001,MATCH(ROWS($J$2:J3),$J$2:$J$1001,0),0)))</f>
        <v>0</v>
      </c>
      <c r="B3" s="3">
        <f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>0</v>
      </c>
      <c r="C3" s="3">
        <f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>0</v>
      </c>
      <c r="D3" s="3">
        <f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>0</v>
      </c>
      <c r="E3" s="3">
        <f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>0</v>
      </c>
      <c r="F3" s="3">
        <f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>0</v>
      </c>
      <c r="J3">
        <v>0</v>
      </c>
      <c r="K3">
        <v>0</v>
      </c>
      <c r="L3">
        <v>0</v>
      </c>
      <c r="M3">
        <f>IF(N3,TRUE,AND(Q3:U3))</f>
        <v>0</v>
      </c>
      <c r="N3">
        <f>COUNTBLANK(Metadata!B3:F3)=COLUMNS(Metadata!B3:F3)</f>
        <v>0</v>
      </c>
      <c r="O3">
        <v>0</v>
      </c>
      <c r="Q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R3">
        <f>AND(IF(Metadata!C3="",FALSE,TRUE),exact(Metadata!C3,"human-skin"))</f>
        <v>0</v>
      </c>
      <c r="S3">
        <f>OR(AND(IF(Metadata!D3="",FALSE,TRUE),OR(exact(Metadata!D3,"missing: not collected"),exact(Metadata!D3,"missing: not provided"))),AND(IF(Metadata!D3="",FALSE,TRUE),OR(exact(Metadata!D3,"UBERON:zone of skin"),exact(Metadata!D3,"UBERON:skin of hand"),exact(Metadata!D3,"UBERON:skin of forehead"))))</f>
        <v>0</v>
      </c>
      <c r="T3">
        <f>AND(IF(Metadata!E3="",FALSE,TRUE),exact(Metadata!E3,"human skin metagenome"))</f>
        <v>0</v>
      </c>
      <c r="U3">
        <f>AND(IF(Metadata!F3="",FALSE,TRUE),exact(Metadata!F3,"539655"))</f>
        <v>0</v>
      </c>
    </row>
    <row r="4" spans="1:21">
      <c r="A4" s="4">
        <f>IF(B4=" "," ",HYPERLINK(CONCATENATE("#metadata!",ADDRESS(INDEX($L$2:$L$1001,MATCH(ROWS($J$2:J4),$J$2:$J$1001,0),0),1)),INDEX($O$2:$O$1001,MATCH(ROWS($J$2:J4),$J$2:$J$1001,0),0)))</f>
        <v>0</v>
      </c>
      <c r="B4" s="3">
        <f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>0</v>
      </c>
      <c r="C4" s="3">
        <f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>0</v>
      </c>
      <c r="D4" s="3">
        <f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>0</v>
      </c>
      <c r="E4" s="3">
        <f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>0</v>
      </c>
      <c r="F4" s="3">
        <f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>0</v>
      </c>
      <c r="J4">
        <v>0</v>
      </c>
      <c r="K4">
        <v>0</v>
      </c>
      <c r="L4">
        <v>0</v>
      </c>
      <c r="M4">
        <f>IF(N4,TRUE,AND(Q4:U4))</f>
        <v>0</v>
      </c>
      <c r="N4">
        <f>COUNTBLANK(Metadata!B4:F4)=COLUMNS(Metadata!B4:F4)</f>
        <v>0</v>
      </c>
      <c r="O4">
        <v>0</v>
      </c>
      <c r="Q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>
        <f>AND(IF(Metadata!C4="",FALSE,TRUE),exact(Metadata!C4,"human-skin"))</f>
        <v>0</v>
      </c>
      <c r="S4">
        <f>OR(AND(IF(Metadata!D4="",FALSE,TRUE),OR(exact(Metadata!D4,"missing: not collected"),exact(Metadata!D4,"missing: not provided"))),AND(IF(Metadata!D4="",FALSE,TRUE),OR(exact(Metadata!D4,"UBERON:zone of skin"),exact(Metadata!D4,"UBERON:skin of hand"),exact(Metadata!D4,"UBERON:skin of forehead"))))</f>
        <v>0</v>
      </c>
      <c r="T4">
        <f>AND(IF(Metadata!E4="",FALSE,TRUE),exact(Metadata!E4,"human skin metagenome"))</f>
        <v>0</v>
      </c>
      <c r="U4">
        <f>AND(IF(Metadata!F4="",FALSE,TRUE),exact(Metadata!F4,"539655"))</f>
        <v>0</v>
      </c>
    </row>
    <row r="5" spans="1:21">
      <c r="A5" s="4">
        <f>IF(B5=" "," ",HYPERLINK(CONCATENATE("#metadata!",ADDRESS(INDEX($L$2:$L$1001,MATCH(ROWS($J$2:J5),$J$2:$J$1001,0),0),1)),INDEX($O$2:$O$1001,MATCH(ROWS($J$2:J5),$J$2:$J$1001,0),0)))</f>
        <v>0</v>
      </c>
      <c r="B5" s="3">
        <f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>0</v>
      </c>
      <c r="C5" s="3">
        <f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>0</v>
      </c>
      <c r="D5" s="3">
        <f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>0</v>
      </c>
      <c r="E5" s="3">
        <f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>0</v>
      </c>
      <c r="F5" s="3">
        <f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>0</v>
      </c>
      <c r="J5">
        <v>0</v>
      </c>
      <c r="K5">
        <v>0</v>
      </c>
      <c r="L5">
        <v>0</v>
      </c>
      <c r="M5">
        <f>IF(N5,TRUE,AND(Q5:U5))</f>
        <v>0</v>
      </c>
      <c r="N5">
        <f>COUNTBLANK(Metadata!B5:F5)=COLUMNS(Metadata!B5:F5)</f>
        <v>0</v>
      </c>
      <c r="O5">
        <v>0</v>
      </c>
      <c r="Q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>
        <f>AND(IF(Metadata!C5="",FALSE,TRUE),exact(Metadata!C5,"human-skin"))</f>
        <v>0</v>
      </c>
      <c r="S5">
        <f>OR(AND(IF(Metadata!D5="",FALSE,TRUE),OR(exact(Metadata!D5,"missing: not collected"),exact(Metadata!D5,"missing: not provided"))),AND(IF(Metadata!D5="",FALSE,TRUE),OR(exact(Metadata!D5,"UBERON:zone of skin"),exact(Metadata!D5,"UBERON:skin of hand"),exact(Metadata!D5,"UBERON:skin of forehead"))))</f>
        <v>0</v>
      </c>
      <c r="T5">
        <f>AND(IF(Metadata!E5="",FALSE,TRUE),exact(Metadata!E5,"human skin metagenome"))</f>
        <v>0</v>
      </c>
      <c r="U5">
        <f>AND(IF(Metadata!F5="",FALSE,TRUE),exact(Metadata!F5,"539655"))</f>
        <v>0</v>
      </c>
    </row>
    <row r="6" spans="1:21">
      <c r="A6" s="4">
        <f>IF(B6=" "," ",HYPERLINK(CONCATENATE("#metadata!",ADDRESS(INDEX($L$2:$L$1001,MATCH(ROWS($J$2:J6),$J$2:$J$1001,0),0),1)),INDEX($O$2:$O$1001,MATCH(ROWS($J$2:J6),$J$2:$J$1001,0),0)))</f>
        <v>0</v>
      </c>
      <c r="B6" s="3">
        <f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>0</v>
      </c>
      <c r="C6" s="3">
        <f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>0</v>
      </c>
      <c r="D6" s="3">
        <f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>0</v>
      </c>
      <c r="E6" s="3">
        <f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>0</v>
      </c>
      <c r="F6" s="3">
        <f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>0</v>
      </c>
      <c r="J6">
        <v>0</v>
      </c>
      <c r="K6">
        <v>0</v>
      </c>
      <c r="L6">
        <v>0</v>
      </c>
      <c r="M6">
        <f>IF(N6,TRUE,AND(Q6:U6))</f>
        <v>0</v>
      </c>
      <c r="N6">
        <f>COUNTBLANK(Metadata!B6:F6)=COLUMNS(Metadata!B6:F6)</f>
        <v>0</v>
      </c>
      <c r="O6">
        <v>0</v>
      </c>
      <c r="Q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>
        <f>AND(IF(Metadata!C6="",FALSE,TRUE),exact(Metadata!C6,"human-skin"))</f>
        <v>0</v>
      </c>
      <c r="S6">
        <f>OR(AND(IF(Metadata!D6="",FALSE,TRUE),OR(exact(Metadata!D6,"missing: not collected"),exact(Metadata!D6,"missing: not provided"))),AND(IF(Metadata!D6="",FALSE,TRUE),OR(exact(Metadata!D6,"UBERON:zone of skin"),exact(Metadata!D6,"UBERON:skin of hand"),exact(Metadata!D6,"UBERON:skin of forehead"))))</f>
        <v>0</v>
      </c>
      <c r="T6">
        <f>AND(IF(Metadata!E6="",FALSE,TRUE),exact(Metadata!E6,"human skin metagenome"))</f>
        <v>0</v>
      </c>
      <c r="U6">
        <f>AND(IF(Metadata!F6="",FALSE,TRUE),exact(Metadata!F6,"539655"))</f>
        <v>0</v>
      </c>
    </row>
    <row r="7" spans="1:21">
      <c r="A7" s="4">
        <f>IF(B7=" "," ",HYPERLINK(CONCATENATE("#metadata!",ADDRESS(INDEX($L$2:$L$1001,MATCH(ROWS($J$2:J7),$J$2:$J$1001,0),0),1)),INDEX($O$2:$O$1001,MATCH(ROWS($J$2:J7),$J$2:$J$1001,0),0)))</f>
        <v>0</v>
      </c>
      <c r="B7" s="3">
        <f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>0</v>
      </c>
      <c r="C7" s="3">
        <f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>0</v>
      </c>
      <c r="D7" s="3">
        <f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>0</v>
      </c>
      <c r="E7" s="3">
        <f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>0</v>
      </c>
      <c r="F7" s="3">
        <f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>0</v>
      </c>
      <c r="J7">
        <v>0</v>
      </c>
      <c r="K7">
        <v>0</v>
      </c>
      <c r="L7">
        <v>0</v>
      </c>
      <c r="M7">
        <f>IF(N7,TRUE,AND(Q7:U7))</f>
        <v>0</v>
      </c>
      <c r="N7">
        <f>COUNTBLANK(Metadata!B7:F7)=COLUMNS(Metadata!B7:F7)</f>
        <v>0</v>
      </c>
      <c r="O7">
        <v>0</v>
      </c>
      <c r="Q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>
        <f>AND(IF(Metadata!C7="",FALSE,TRUE),exact(Metadata!C7,"human-skin"))</f>
        <v>0</v>
      </c>
      <c r="S7">
        <f>OR(AND(IF(Metadata!D7="",FALSE,TRUE),OR(exact(Metadata!D7,"missing: not collected"),exact(Metadata!D7,"missing: not provided"))),AND(IF(Metadata!D7="",FALSE,TRUE),OR(exact(Metadata!D7,"UBERON:zone of skin"),exact(Metadata!D7,"UBERON:skin of hand"),exact(Metadata!D7,"UBERON:skin of forehead"))))</f>
        <v>0</v>
      </c>
      <c r="T7">
        <f>AND(IF(Metadata!E7="",FALSE,TRUE),exact(Metadata!E7,"human skin metagenome"))</f>
        <v>0</v>
      </c>
      <c r="U7">
        <f>AND(IF(Metadata!F7="",FALSE,TRUE),exact(Metadata!F7,"539655"))</f>
        <v>0</v>
      </c>
    </row>
    <row r="8" spans="1:21">
      <c r="A8" s="4">
        <f>IF(B8=" "," ",HYPERLINK(CONCATENATE("#metadata!",ADDRESS(INDEX($L$2:$L$1001,MATCH(ROWS($J$2:J8),$J$2:$J$1001,0),0),1)),INDEX($O$2:$O$1001,MATCH(ROWS($J$2:J8),$J$2:$J$1001,0),0)))</f>
        <v>0</v>
      </c>
      <c r="B8" s="3">
        <f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>0</v>
      </c>
      <c r="C8" s="3">
        <f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>0</v>
      </c>
      <c r="D8" s="3">
        <f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>0</v>
      </c>
      <c r="E8" s="3">
        <f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>0</v>
      </c>
      <c r="F8" s="3">
        <f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>0</v>
      </c>
      <c r="J8">
        <v>0</v>
      </c>
      <c r="K8">
        <v>0</v>
      </c>
      <c r="L8">
        <v>0</v>
      </c>
      <c r="M8">
        <f>IF(N8,TRUE,AND(Q8:U8))</f>
        <v>0</v>
      </c>
      <c r="N8">
        <f>COUNTBLANK(Metadata!B8:F8)=COLUMNS(Metadata!B8:F8)</f>
        <v>0</v>
      </c>
      <c r="O8">
        <v>0</v>
      </c>
      <c r="Q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>
        <f>AND(IF(Metadata!C8="",FALSE,TRUE),exact(Metadata!C8,"human-skin"))</f>
        <v>0</v>
      </c>
      <c r="S8">
        <f>OR(AND(IF(Metadata!D8="",FALSE,TRUE),OR(exact(Metadata!D8,"missing: not collected"),exact(Metadata!D8,"missing: not provided"))),AND(IF(Metadata!D8="",FALSE,TRUE),OR(exact(Metadata!D8,"UBERON:zone of skin"),exact(Metadata!D8,"UBERON:skin of hand"),exact(Metadata!D8,"UBERON:skin of forehead"))))</f>
        <v>0</v>
      </c>
      <c r="T8">
        <f>AND(IF(Metadata!E8="",FALSE,TRUE),exact(Metadata!E8,"human skin metagenome"))</f>
        <v>0</v>
      </c>
      <c r="U8">
        <f>AND(IF(Metadata!F8="",FALSE,TRUE),exact(Metadata!F8,"539655"))</f>
        <v>0</v>
      </c>
    </row>
    <row r="9" spans="1:21">
      <c r="A9" s="4">
        <f>IF(B9=" "," ",HYPERLINK(CONCATENATE("#metadata!",ADDRESS(INDEX($L$2:$L$1001,MATCH(ROWS($J$2:J9),$J$2:$J$1001,0),0),1)),INDEX($O$2:$O$1001,MATCH(ROWS($J$2:J9),$J$2:$J$1001,0),0)))</f>
        <v>0</v>
      </c>
      <c r="B9" s="3">
        <f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>0</v>
      </c>
      <c r="C9" s="3">
        <f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>0</v>
      </c>
      <c r="D9" s="3">
        <f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>0</v>
      </c>
      <c r="E9" s="3">
        <f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>0</v>
      </c>
      <c r="F9" s="3">
        <f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>0</v>
      </c>
      <c r="J9">
        <v>0</v>
      </c>
      <c r="K9">
        <v>0</v>
      </c>
      <c r="L9">
        <v>0</v>
      </c>
      <c r="M9">
        <f>IF(N9,TRUE,AND(Q9:U9))</f>
        <v>0</v>
      </c>
      <c r="N9">
        <f>COUNTBLANK(Metadata!B9:F9)=COLUMNS(Metadata!B9:F9)</f>
        <v>0</v>
      </c>
      <c r="O9">
        <v>0</v>
      </c>
      <c r="Q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>
        <f>AND(IF(Metadata!C9="",FALSE,TRUE),exact(Metadata!C9,"human-skin"))</f>
        <v>0</v>
      </c>
      <c r="S9">
        <f>OR(AND(IF(Metadata!D9="",FALSE,TRUE),OR(exact(Metadata!D9,"missing: not collected"),exact(Metadata!D9,"missing: not provided"))),AND(IF(Metadata!D9="",FALSE,TRUE),OR(exact(Metadata!D9,"UBERON:zone of skin"),exact(Metadata!D9,"UBERON:skin of hand"),exact(Metadata!D9,"UBERON:skin of forehead"))))</f>
        <v>0</v>
      </c>
      <c r="T9">
        <f>AND(IF(Metadata!E9="",FALSE,TRUE),exact(Metadata!E9,"human skin metagenome"))</f>
        <v>0</v>
      </c>
      <c r="U9">
        <f>AND(IF(Metadata!F9="",FALSE,TRUE),exact(Metadata!F9,"539655"))</f>
        <v>0</v>
      </c>
    </row>
    <row r="10" spans="1:21">
      <c r="A10" s="4">
        <f>IF(B10=" "," ",HYPERLINK(CONCATENATE("#metadata!",ADDRESS(INDEX($L$2:$L$1001,MATCH(ROWS($J$2:J10),$J$2:$J$1001,0),0),1)),INDEX($O$2:$O$1001,MATCH(ROWS($J$2:J10),$J$2:$J$1001,0),0)))</f>
        <v>0</v>
      </c>
      <c r="B10" s="3">
        <f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>0</v>
      </c>
      <c r="C10" s="3">
        <f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>0</v>
      </c>
      <c r="D10" s="3">
        <f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>0</v>
      </c>
      <c r="E10" s="3">
        <f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>0</v>
      </c>
      <c r="F10" s="3">
        <f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>0</v>
      </c>
      <c r="J10">
        <v>0</v>
      </c>
      <c r="K10">
        <v>0</v>
      </c>
      <c r="L10">
        <v>0</v>
      </c>
      <c r="M10">
        <f>IF(N10,TRUE,AND(Q10:U10))</f>
        <v>0</v>
      </c>
      <c r="N10">
        <f>COUNTBLANK(Metadata!B10:F10)=COLUMNS(Metadata!B10:F10)</f>
        <v>0</v>
      </c>
      <c r="O10">
        <v>0</v>
      </c>
      <c r="Q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>
        <f>AND(IF(Metadata!C10="",FALSE,TRUE),exact(Metadata!C10,"human-skin"))</f>
        <v>0</v>
      </c>
      <c r="S10">
        <f>OR(AND(IF(Metadata!D10="",FALSE,TRUE),OR(exact(Metadata!D10,"missing: not collected"),exact(Metadata!D10,"missing: not provided"))),AND(IF(Metadata!D10="",FALSE,TRUE),OR(exact(Metadata!D10,"UBERON:zone of skin"),exact(Metadata!D10,"UBERON:skin of hand"),exact(Metadata!D10,"UBERON:skin of forehead"))))</f>
        <v>0</v>
      </c>
      <c r="T10">
        <f>AND(IF(Metadata!E10="",FALSE,TRUE),exact(Metadata!E10,"human skin metagenome"))</f>
        <v>0</v>
      </c>
      <c r="U10">
        <f>AND(IF(Metadata!F10="",FALSE,TRUE),exact(Metadata!F10,"539655"))</f>
        <v>0</v>
      </c>
    </row>
    <row r="11" spans="1:21">
      <c r="A11" s="4">
        <f>IF(B11=" "," ",HYPERLINK(CONCATENATE("#metadata!",ADDRESS(INDEX($L$2:$L$1001,MATCH(ROWS($J$2:J11),$J$2:$J$1001,0),0),1)),INDEX($O$2:$O$1001,MATCH(ROWS($J$2:J11),$J$2:$J$1001,0),0)))</f>
        <v>0</v>
      </c>
      <c r="B11" s="3">
        <f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>0</v>
      </c>
      <c r="C11" s="3">
        <f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>0</v>
      </c>
      <c r="D11" s="3">
        <f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>0</v>
      </c>
      <c r="E11" s="3">
        <f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>0</v>
      </c>
      <c r="F11" s="3">
        <f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>0</v>
      </c>
      <c r="J11">
        <v>0</v>
      </c>
      <c r="K11">
        <v>0</v>
      </c>
      <c r="L11">
        <v>0</v>
      </c>
      <c r="M11">
        <f>IF(N11,TRUE,AND(Q11:U11))</f>
        <v>0</v>
      </c>
      <c r="N11">
        <f>COUNTBLANK(Metadata!B11:F11)=COLUMNS(Metadata!B11:F11)</f>
        <v>0</v>
      </c>
      <c r="O11">
        <v>0</v>
      </c>
      <c r="Q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>
        <f>AND(IF(Metadata!C11="",FALSE,TRUE),exact(Metadata!C11,"human-skin"))</f>
        <v>0</v>
      </c>
      <c r="S11">
        <f>OR(AND(IF(Metadata!D11="",FALSE,TRUE),OR(exact(Metadata!D11,"missing: not collected"),exact(Metadata!D11,"missing: not provided"))),AND(IF(Metadata!D11="",FALSE,TRUE),OR(exact(Metadata!D11,"UBERON:zone of skin"),exact(Metadata!D11,"UBERON:skin of hand"),exact(Metadata!D11,"UBERON:skin of forehead"))))</f>
        <v>0</v>
      </c>
      <c r="T11">
        <f>AND(IF(Metadata!E11="",FALSE,TRUE),exact(Metadata!E11,"human skin metagenome"))</f>
        <v>0</v>
      </c>
      <c r="U11">
        <f>AND(IF(Metadata!F11="",FALSE,TRUE),exact(Metadata!F11,"539655"))</f>
        <v>0</v>
      </c>
    </row>
    <row r="12" spans="1:21">
      <c r="A12" s="4">
        <f>IF(B12=" "," ",HYPERLINK(CONCATENATE("#metadata!",ADDRESS(INDEX($L$2:$L$1001,MATCH(ROWS($J$2:J12),$J$2:$J$1001,0),0),1)),INDEX($O$2:$O$1001,MATCH(ROWS($J$2:J12),$J$2:$J$1001,0),0)))</f>
        <v>0</v>
      </c>
      <c r="B12" s="3">
        <f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>0</v>
      </c>
      <c r="C12" s="3">
        <f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>0</v>
      </c>
      <c r="D12" s="3">
        <f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>0</v>
      </c>
      <c r="E12" s="3">
        <f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>0</v>
      </c>
      <c r="F12" s="3">
        <f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>0</v>
      </c>
      <c r="J12">
        <v>0</v>
      </c>
      <c r="K12">
        <v>0</v>
      </c>
      <c r="L12">
        <v>0</v>
      </c>
      <c r="M12">
        <f>IF(N12,TRUE,AND(Q12:U12))</f>
        <v>0</v>
      </c>
      <c r="N12">
        <f>COUNTBLANK(Metadata!B12:F12)=COLUMNS(Metadata!B12:F12)</f>
        <v>0</v>
      </c>
      <c r="O12">
        <v>0</v>
      </c>
      <c r="Q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>
        <f>AND(IF(Metadata!C12="",FALSE,TRUE),exact(Metadata!C12,"human-skin"))</f>
        <v>0</v>
      </c>
      <c r="S12">
        <f>OR(AND(IF(Metadata!D12="",FALSE,TRUE),OR(exact(Metadata!D12,"missing: not collected"),exact(Metadata!D12,"missing: not provided"))),AND(IF(Metadata!D12="",FALSE,TRUE),OR(exact(Metadata!D12,"UBERON:zone of skin"),exact(Metadata!D12,"UBERON:skin of hand"),exact(Metadata!D12,"UBERON:skin of forehead"))))</f>
        <v>0</v>
      </c>
      <c r="T12">
        <f>AND(IF(Metadata!E12="",FALSE,TRUE),exact(Metadata!E12,"human skin metagenome"))</f>
        <v>0</v>
      </c>
      <c r="U12">
        <f>AND(IF(Metadata!F12="",FALSE,TRUE),exact(Metadata!F12,"539655"))</f>
        <v>0</v>
      </c>
    </row>
    <row r="13" spans="1:21">
      <c r="A13" s="4">
        <f>IF(B13=" "," ",HYPERLINK(CONCATENATE("#metadata!",ADDRESS(INDEX($L$2:$L$1001,MATCH(ROWS($J$2:J13),$J$2:$J$1001,0),0),1)),INDEX($O$2:$O$1001,MATCH(ROWS($J$2:J13),$J$2:$J$1001,0),0)))</f>
        <v>0</v>
      </c>
      <c r="B13" s="3">
        <f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>0</v>
      </c>
      <c r="C13" s="3">
        <f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>0</v>
      </c>
      <c r="D13" s="3">
        <f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>0</v>
      </c>
      <c r="E13" s="3">
        <f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>0</v>
      </c>
      <c r="F13" s="3">
        <f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>0</v>
      </c>
      <c r="J13">
        <v>0</v>
      </c>
      <c r="K13">
        <v>0</v>
      </c>
      <c r="L13">
        <v>0</v>
      </c>
      <c r="M13">
        <f>IF(N13,TRUE,AND(Q13:U13))</f>
        <v>0</v>
      </c>
      <c r="N13">
        <f>COUNTBLANK(Metadata!B13:F13)=COLUMNS(Metadata!B13:F13)</f>
        <v>0</v>
      </c>
      <c r="O13">
        <v>0</v>
      </c>
      <c r="Q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>
        <f>AND(IF(Metadata!C13="",FALSE,TRUE),exact(Metadata!C13,"human-skin"))</f>
        <v>0</v>
      </c>
      <c r="S13">
        <f>OR(AND(IF(Metadata!D13="",FALSE,TRUE),OR(exact(Metadata!D13,"missing: not collected"),exact(Metadata!D13,"missing: not provided"))),AND(IF(Metadata!D13="",FALSE,TRUE),OR(exact(Metadata!D13,"UBERON:zone of skin"),exact(Metadata!D13,"UBERON:skin of hand"),exact(Metadata!D13,"UBERON:skin of forehead"))))</f>
        <v>0</v>
      </c>
      <c r="T13">
        <f>AND(IF(Metadata!E13="",FALSE,TRUE),exact(Metadata!E13,"human skin metagenome"))</f>
        <v>0</v>
      </c>
      <c r="U13">
        <f>AND(IF(Metadata!F13="",FALSE,TRUE),exact(Metadata!F13,"539655"))</f>
        <v>0</v>
      </c>
    </row>
    <row r="14" spans="1:21">
      <c r="A14" s="4">
        <f>IF(B14=" "," ",HYPERLINK(CONCATENATE("#metadata!",ADDRESS(INDEX($L$2:$L$1001,MATCH(ROWS($J$2:J14),$J$2:$J$1001,0),0),1)),INDEX($O$2:$O$1001,MATCH(ROWS($J$2:J14),$J$2:$J$1001,0),0)))</f>
        <v>0</v>
      </c>
      <c r="B14" s="3">
        <f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>0</v>
      </c>
      <c r="C14" s="3">
        <f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>0</v>
      </c>
      <c r="D14" s="3">
        <f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>0</v>
      </c>
      <c r="E14" s="3">
        <f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>0</v>
      </c>
      <c r="F14" s="3">
        <f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>0</v>
      </c>
      <c r="J14">
        <v>0</v>
      </c>
      <c r="K14">
        <v>0</v>
      </c>
      <c r="L14">
        <v>0</v>
      </c>
      <c r="M14">
        <f>IF(N14,TRUE,AND(Q14:U14))</f>
        <v>0</v>
      </c>
      <c r="N14">
        <f>COUNTBLANK(Metadata!B14:F14)=COLUMNS(Metadata!B14:F14)</f>
        <v>0</v>
      </c>
      <c r="O14">
        <v>0</v>
      </c>
      <c r="Q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>
        <f>AND(IF(Metadata!C14="",FALSE,TRUE),exact(Metadata!C14,"human-skin"))</f>
        <v>0</v>
      </c>
      <c r="S14">
        <f>OR(AND(IF(Metadata!D14="",FALSE,TRUE),OR(exact(Metadata!D14,"missing: not collected"),exact(Metadata!D14,"missing: not provided"))),AND(IF(Metadata!D14="",FALSE,TRUE),OR(exact(Metadata!D14,"UBERON:zone of skin"),exact(Metadata!D14,"UBERON:skin of hand"),exact(Metadata!D14,"UBERON:skin of forehead"))))</f>
        <v>0</v>
      </c>
      <c r="T14">
        <f>AND(IF(Metadata!E14="",FALSE,TRUE),exact(Metadata!E14,"human skin metagenome"))</f>
        <v>0</v>
      </c>
      <c r="U14">
        <f>AND(IF(Metadata!F14="",FALSE,TRUE),exact(Metadata!F14,"539655"))</f>
        <v>0</v>
      </c>
    </row>
    <row r="15" spans="1:21">
      <c r="A15" s="4">
        <f>IF(B15=" "," ",HYPERLINK(CONCATENATE("#metadata!",ADDRESS(INDEX($L$2:$L$1001,MATCH(ROWS($J$2:J15),$J$2:$J$1001,0),0),1)),INDEX($O$2:$O$1001,MATCH(ROWS($J$2:J15),$J$2:$J$1001,0),0)))</f>
        <v>0</v>
      </c>
      <c r="B15" s="3">
        <f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>0</v>
      </c>
      <c r="C15" s="3">
        <f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>0</v>
      </c>
      <c r="D15" s="3">
        <f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>0</v>
      </c>
      <c r="E15" s="3">
        <f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>0</v>
      </c>
      <c r="F15" s="3">
        <f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>0</v>
      </c>
      <c r="J15">
        <v>0</v>
      </c>
      <c r="K15">
        <v>0</v>
      </c>
      <c r="L15">
        <v>0</v>
      </c>
      <c r="M15">
        <f>IF(N15,TRUE,AND(Q15:U15))</f>
        <v>0</v>
      </c>
      <c r="N15">
        <f>COUNTBLANK(Metadata!B15:F15)=COLUMNS(Metadata!B15:F15)</f>
        <v>0</v>
      </c>
      <c r="O15">
        <v>0</v>
      </c>
      <c r="Q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>
        <f>AND(IF(Metadata!C15="",FALSE,TRUE),exact(Metadata!C15,"human-skin"))</f>
        <v>0</v>
      </c>
      <c r="S15">
        <f>OR(AND(IF(Metadata!D15="",FALSE,TRUE),OR(exact(Metadata!D15,"missing: not collected"),exact(Metadata!D15,"missing: not provided"))),AND(IF(Metadata!D15="",FALSE,TRUE),OR(exact(Metadata!D15,"UBERON:zone of skin"),exact(Metadata!D15,"UBERON:skin of hand"),exact(Metadata!D15,"UBERON:skin of forehead"))))</f>
        <v>0</v>
      </c>
      <c r="T15">
        <f>AND(IF(Metadata!E15="",FALSE,TRUE),exact(Metadata!E15,"human skin metagenome"))</f>
        <v>0</v>
      </c>
      <c r="U15">
        <f>AND(IF(Metadata!F15="",FALSE,TRUE),exact(Metadata!F15,"539655"))</f>
        <v>0</v>
      </c>
    </row>
    <row r="16" spans="1:21">
      <c r="A16" s="4">
        <f>IF(B16=" "," ",HYPERLINK(CONCATENATE("#metadata!",ADDRESS(INDEX($L$2:$L$1001,MATCH(ROWS($J$2:J16),$J$2:$J$1001,0),0),1)),INDEX($O$2:$O$1001,MATCH(ROWS($J$2:J16),$J$2:$J$1001,0),0)))</f>
        <v>0</v>
      </c>
      <c r="B16" s="3">
        <f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>0</v>
      </c>
      <c r="C16" s="3">
        <f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>0</v>
      </c>
      <c r="D16" s="3">
        <f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>0</v>
      </c>
      <c r="E16" s="3">
        <f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>0</v>
      </c>
      <c r="F16" s="3">
        <f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>0</v>
      </c>
      <c r="J16">
        <v>0</v>
      </c>
      <c r="K16">
        <v>0</v>
      </c>
      <c r="L16">
        <v>0</v>
      </c>
      <c r="M16">
        <f>IF(N16,TRUE,AND(Q16:U16))</f>
        <v>0</v>
      </c>
      <c r="N16">
        <f>COUNTBLANK(Metadata!B16:F16)=COLUMNS(Metadata!B16:F16)</f>
        <v>0</v>
      </c>
      <c r="O16">
        <v>0</v>
      </c>
      <c r="Q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>
        <f>AND(IF(Metadata!C16="",FALSE,TRUE),exact(Metadata!C16,"human-skin"))</f>
        <v>0</v>
      </c>
      <c r="S16">
        <f>OR(AND(IF(Metadata!D16="",FALSE,TRUE),OR(exact(Metadata!D16,"missing: not collected"),exact(Metadata!D16,"missing: not provided"))),AND(IF(Metadata!D16="",FALSE,TRUE),OR(exact(Metadata!D16,"UBERON:zone of skin"),exact(Metadata!D16,"UBERON:skin of hand"),exact(Metadata!D16,"UBERON:skin of forehead"))))</f>
        <v>0</v>
      </c>
      <c r="T16">
        <f>AND(IF(Metadata!E16="",FALSE,TRUE),exact(Metadata!E16,"human skin metagenome"))</f>
        <v>0</v>
      </c>
      <c r="U16">
        <f>AND(IF(Metadata!F16="",FALSE,TRUE),exact(Metadata!F16,"539655"))</f>
        <v>0</v>
      </c>
    </row>
    <row r="17" spans="1:21">
      <c r="A17" s="4">
        <f>IF(B17=" "," ",HYPERLINK(CONCATENATE("#metadata!",ADDRESS(INDEX($L$2:$L$1001,MATCH(ROWS($J$2:J17),$J$2:$J$1001,0),0),1)),INDEX($O$2:$O$1001,MATCH(ROWS($J$2:J17),$J$2:$J$1001,0),0)))</f>
        <v>0</v>
      </c>
      <c r="B17" s="3">
        <f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>0</v>
      </c>
      <c r="C17" s="3">
        <f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>0</v>
      </c>
      <c r="D17" s="3">
        <f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>0</v>
      </c>
      <c r="E17" s="3">
        <f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>0</v>
      </c>
      <c r="F17" s="3">
        <f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>0</v>
      </c>
      <c r="J17">
        <v>0</v>
      </c>
      <c r="K17">
        <v>0</v>
      </c>
      <c r="L17">
        <v>0</v>
      </c>
      <c r="M17">
        <f>IF(N17,TRUE,AND(Q17:U17))</f>
        <v>0</v>
      </c>
      <c r="N17">
        <f>COUNTBLANK(Metadata!B17:F17)=COLUMNS(Metadata!B17:F17)</f>
        <v>0</v>
      </c>
      <c r="O17">
        <v>0</v>
      </c>
      <c r="Q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>
        <f>AND(IF(Metadata!C17="",FALSE,TRUE),exact(Metadata!C17,"human-skin"))</f>
        <v>0</v>
      </c>
      <c r="S17">
        <f>OR(AND(IF(Metadata!D17="",FALSE,TRUE),OR(exact(Metadata!D17,"missing: not collected"),exact(Metadata!D17,"missing: not provided"))),AND(IF(Metadata!D17="",FALSE,TRUE),OR(exact(Metadata!D17,"UBERON:zone of skin"),exact(Metadata!D17,"UBERON:skin of hand"),exact(Metadata!D17,"UBERON:skin of forehead"))))</f>
        <v>0</v>
      </c>
      <c r="T17">
        <f>AND(IF(Metadata!E17="",FALSE,TRUE),exact(Metadata!E17,"human skin metagenome"))</f>
        <v>0</v>
      </c>
      <c r="U17">
        <f>AND(IF(Metadata!F17="",FALSE,TRUE),exact(Metadata!F17,"539655"))</f>
        <v>0</v>
      </c>
    </row>
    <row r="18" spans="1:21">
      <c r="A18" s="4">
        <f>IF(B18=" "," ",HYPERLINK(CONCATENATE("#metadata!",ADDRESS(INDEX($L$2:$L$1001,MATCH(ROWS($J$2:J18),$J$2:$J$1001,0),0),1)),INDEX($O$2:$O$1001,MATCH(ROWS($J$2:J18),$J$2:$J$1001,0),0)))</f>
        <v>0</v>
      </c>
      <c r="B18" s="3">
        <f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>0</v>
      </c>
      <c r="C18" s="3">
        <f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>0</v>
      </c>
      <c r="D18" s="3">
        <f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>0</v>
      </c>
      <c r="E18" s="3">
        <f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>0</v>
      </c>
      <c r="F18" s="3">
        <f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>0</v>
      </c>
      <c r="J18">
        <v>0</v>
      </c>
      <c r="K18">
        <v>0</v>
      </c>
      <c r="L18">
        <v>0</v>
      </c>
      <c r="M18">
        <f>IF(N18,TRUE,AND(Q18:U18))</f>
        <v>0</v>
      </c>
      <c r="N18">
        <f>COUNTBLANK(Metadata!B18:F18)=COLUMNS(Metadata!B18:F18)</f>
        <v>0</v>
      </c>
      <c r="O18">
        <v>0</v>
      </c>
      <c r="Q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>
        <f>AND(IF(Metadata!C18="",FALSE,TRUE),exact(Metadata!C18,"human-skin"))</f>
        <v>0</v>
      </c>
      <c r="S18">
        <f>OR(AND(IF(Metadata!D18="",FALSE,TRUE),OR(exact(Metadata!D18,"missing: not collected"),exact(Metadata!D18,"missing: not provided"))),AND(IF(Metadata!D18="",FALSE,TRUE),OR(exact(Metadata!D18,"UBERON:zone of skin"),exact(Metadata!D18,"UBERON:skin of hand"),exact(Metadata!D18,"UBERON:skin of forehead"))))</f>
        <v>0</v>
      </c>
      <c r="T18">
        <f>AND(IF(Metadata!E18="",FALSE,TRUE),exact(Metadata!E18,"human skin metagenome"))</f>
        <v>0</v>
      </c>
      <c r="U18">
        <f>AND(IF(Metadata!F18="",FALSE,TRUE),exact(Metadata!F18,"539655"))</f>
        <v>0</v>
      </c>
    </row>
    <row r="19" spans="1:21">
      <c r="A19" s="4">
        <f>IF(B19=" "," ",HYPERLINK(CONCATENATE("#metadata!",ADDRESS(INDEX($L$2:$L$1001,MATCH(ROWS($J$2:J19),$J$2:$J$1001,0),0),1)),INDEX($O$2:$O$1001,MATCH(ROWS($J$2:J19),$J$2:$J$1001,0),0)))</f>
        <v>0</v>
      </c>
      <c r="B19" s="3">
        <f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>0</v>
      </c>
      <c r="C19" s="3">
        <f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>0</v>
      </c>
      <c r="D19" s="3">
        <f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>0</v>
      </c>
      <c r="E19" s="3">
        <f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>0</v>
      </c>
      <c r="F19" s="3">
        <f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>0</v>
      </c>
      <c r="J19">
        <v>0</v>
      </c>
      <c r="K19">
        <v>0</v>
      </c>
      <c r="L19">
        <v>0</v>
      </c>
      <c r="M19">
        <f>IF(N19,TRUE,AND(Q19:U19))</f>
        <v>0</v>
      </c>
      <c r="N19">
        <f>COUNTBLANK(Metadata!B19:F19)=COLUMNS(Metadata!B19:F19)</f>
        <v>0</v>
      </c>
      <c r="O19">
        <v>0</v>
      </c>
      <c r="Q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>
        <f>AND(IF(Metadata!C19="",FALSE,TRUE),exact(Metadata!C19,"human-skin"))</f>
        <v>0</v>
      </c>
      <c r="S19">
        <f>OR(AND(IF(Metadata!D19="",FALSE,TRUE),OR(exact(Metadata!D19,"missing: not collected"),exact(Metadata!D19,"missing: not provided"))),AND(IF(Metadata!D19="",FALSE,TRUE),OR(exact(Metadata!D19,"UBERON:zone of skin"),exact(Metadata!D19,"UBERON:skin of hand"),exact(Metadata!D19,"UBERON:skin of forehead"))))</f>
        <v>0</v>
      </c>
      <c r="T19">
        <f>AND(IF(Metadata!E19="",FALSE,TRUE),exact(Metadata!E19,"human skin metagenome"))</f>
        <v>0</v>
      </c>
      <c r="U19">
        <f>AND(IF(Metadata!F19="",FALSE,TRUE),exact(Metadata!F19,"539655"))</f>
        <v>0</v>
      </c>
    </row>
    <row r="20" spans="1:21">
      <c r="A20" s="4">
        <f>IF(B20=" "," ",HYPERLINK(CONCATENATE("#metadata!",ADDRESS(INDEX($L$2:$L$1001,MATCH(ROWS($J$2:J20),$J$2:$J$1001,0),0),1)),INDEX($O$2:$O$1001,MATCH(ROWS($J$2:J20),$J$2:$J$1001,0),0)))</f>
        <v>0</v>
      </c>
      <c r="B20" s="3">
        <f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>0</v>
      </c>
      <c r="C20" s="3">
        <f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>0</v>
      </c>
      <c r="D20" s="3">
        <f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>0</v>
      </c>
      <c r="E20" s="3">
        <f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>0</v>
      </c>
      <c r="F20" s="3">
        <f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>0</v>
      </c>
      <c r="J20">
        <v>0</v>
      </c>
      <c r="K20">
        <v>0</v>
      </c>
      <c r="L20">
        <v>0</v>
      </c>
      <c r="M20">
        <f>IF(N20,TRUE,AND(Q20:U20))</f>
        <v>0</v>
      </c>
      <c r="N20">
        <f>COUNTBLANK(Metadata!B20:F20)=COLUMNS(Metadata!B20:F20)</f>
        <v>0</v>
      </c>
      <c r="O20">
        <v>0</v>
      </c>
      <c r="Q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>
        <f>AND(IF(Metadata!C20="",FALSE,TRUE),exact(Metadata!C20,"human-skin"))</f>
        <v>0</v>
      </c>
      <c r="S20">
        <f>OR(AND(IF(Metadata!D20="",FALSE,TRUE),OR(exact(Metadata!D20,"missing: not collected"),exact(Metadata!D20,"missing: not provided"))),AND(IF(Metadata!D20="",FALSE,TRUE),OR(exact(Metadata!D20,"UBERON:zone of skin"),exact(Metadata!D20,"UBERON:skin of hand"),exact(Metadata!D20,"UBERON:skin of forehead"))))</f>
        <v>0</v>
      </c>
      <c r="T20">
        <f>AND(IF(Metadata!E20="",FALSE,TRUE),exact(Metadata!E20,"human skin metagenome"))</f>
        <v>0</v>
      </c>
      <c r="U20">
        <f>AND(IF(Metadata!F20="",FALSE,TRUE),exact(Metadata!F20,"539655"))</f>
        <v>0</v>
      </c>
    </row>
    <row r="21" spans="1:21">
      <c r="A21" s="4">
        <f>IF(B21=" "," ",HYPERLINK(CONCATENATE("#metadata!",ADDRESS(INDEX($L$2:$L$1001,MATCH(ROWS($J$2:J21),$J$2:$J$1001,0),0),1)),INDEX($O$2:$O$1001,MATCH(ROWS($J$2:J21),$J$2:$J$1001,0),0)))</f>
        <v>0</v>
      </c>
      <c r="B21" s="3">
        <f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>0</v>
      </c>
      <c r="C21" s="3">
        <f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>0</v>
      </c>
      <c r="D21" s="3">
        <f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>0</v>
      </c>
      <c r="E21" s="3">
        <f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>0</v>
      </c>
      <c r="F21" s="3">
        <f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>0</v>
      </c>
      <c r="J21">
        <v>0</v>
      </c>
      <c r="K21">
        <v>0</v>
      </c>
      <c r="L21">
        <v>0</v>
      </c>
      <c r="M21">
        <f>IF(N21,TRUE,AND(Q21:U21))</f>
        <v>0</v>
      </c>
      <c r="N21">
        <f>COUNTBLANK(Metadata!B21:F21)=COLUMNS(Metadata!B21:F21)</f>
        <v>0</v>
      </c>
      <c r="O21">
        <v>0</v>
      </c>
      <c r="Q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>
        <f>AND(IF(Metadata!C21="",FALSE,TRUE),exact(Metadata!C21,"human-skin"))</f>
        <v>0</v>
      </c>
      <c r="S21">
        <f>OR(AND(IF(Metadata!D21="",FALSE,TRUE),OR(exact(Metadata!D21,"missing: not collected"),exact(Metadata!D21,"missing: not provided"))),AND(IF(Metadata!D21="",FALSE,TRUE),OR(exact(Metadata!D21,"UBERON:zone of skin"),exact(Metadata!D21,"UBERON:skin of hand"),exact(Metadata!D21,"UBERON:skin of forehead"))))</f>
        <v>0</v>
      </c>
      <c r="T21">
        <f>AND(IF(Metadata!E21="",FALSE,TRUE),exact(Metadata!E21,"human skin metagenome"))</f>
        <v>0</v>
      </c>
      <c r="U21">
        <f>AND(IF(Metadata!F21="",FALSE,TRUE),exact(Metadata!F21,"539655"))</f>
        <v>0</v>
      </c>
    </row>
    <row r="22" spans="1:21">
      <c r="A22" s="4">
        <f>IF(B22=" "," ",HYPERLINK(CONCATENATE("#metadata!",ADDRESS(INDEX($L$2:$L$1001,MATCH(ROWS($J$2:J22),$J$2:$J$1001,0),0),1)),INDEX($O$2:$O$1001,MATCH(ROWS($J$2:J22),$J$2:$J$1001,0),0)))</f>
        <v>0</v>
      </c>
      <c r="B22" s="3">
        <f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>0</v>
      </c>
      <c r="C22" s="3">
        <f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>0</v>
      </c>
      <c r="D22" s="3">
        <f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>0</v>
      </c>
      <c r="E22" s="3">
        <f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>0</v>
      </c>
      <c r="F22" s="3">
        <f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>0</v>
      </c>
      <c r="J22">
        <v>0</v>
      </c>
      <c r="K22">
        <v>0</v>
      </c>
      <c r="L22">
        <v>0</v>
      </c>
      <c r="M22">
        <f>IF(N22,TRUE,AND(Q22:U22))</f>
        <v>0</v>
      </c>
      <c r="N22">
        <f>COUNTBLANK(Metadata!B22:F22)=COLUMNS(Metadata!B22:F22)</f>
        <v>0</v>
      </c>
      <c r="O22">
        <v>0</v>
      </c>
      <c r="Q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>
        <f>AND(IF(Metadata!C22="",FALSE,TRUE),exact(Metadata!C22,"human-skin"))</f>
        <v>0</v>
      </c>
      <c r="S22">
        <f>OR(AND(IF(Metadata!D22="",FALSE,TRUE),OR(exact(Metadata!D22,"missing: not collected"),exact(Metadata!D22,"missing: not provided"))),AND(IF(Metadata!D22="",FALSE,TRUE),OR(exact(Metadata!D22,"UBERON:zone of skin"),exact(Metadata!D22,"UBERON:skin of hand"),exact(Metadata!D22,"UBERON:skin of forehead"))))</f>
        <v>0</v>
      </c>
      <c r="T22">
        <f>AND(IF(Metadata!E22="",FALSE,TRUE),exact(Metadata!E22,"human skin metagenome"))</f>
        <v>0</v>
      </c>
      <c r="U22">
        <f>AND(IF(Metadata!F22="",FALSE,TRUE),exact(Metadata!F22,"539655"))</f>
        <v>0</v>
      </c>
    </row>
    <row r="23" spans="1:21">
      <c r="A23" s="4">
        <f>IF(B23=" "," ",HYPERLINK(CONCATENATE("#metadata!",ADDRESS(INDEX($L$2:$L$1001,MATCH(ROWS($J$2:J23),$J$2:$J$1001,0),0),1)),INDEX($O$2:$O$1001,MATCH(ROWS($J$2:J23),$J$2:$J$1001,0),0)))</f>
        <v>0</v>
      </c>
      <c r="B23" s="3">
        <f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>0</v>
      </c>
      <c r="C23" s="3">
        <f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>0</v>
      </c>
      <c r="D23" s="3">
        <f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>0</v>
      </c>
      <c r="E23" s="3">
        <f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>0</v>
      </c>
      <c r="F23" s="3">
        <f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>0</v>
      </c>
      <c r="J23">
        <v>0</v>
      </c>
      <c r="K23">
        <v>0</v>
      </c>
      <c r="L23">
        <v>0</v>
      </c>
      <c r="M23">
        <f>IF(N23,TRUE,AND(Q23:U23))</f>
        <v>0</v>
      </c>
      <c r="N23">
        <f>COUNTBLANK(Metadata!B23:F23)=COLUMNS(Metadata!B23:F23)</f>
        <v>0</v>
      </c>
      <c r="O23">
        <v>0</v>
      </c>
      <c r="Q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>
        <f>AND(IF(Metadata!C23="",FALSE,TRUE),exact(Metadata!C23,"human-skin"))</f>
        <v>0</v>
      </c>
      <c r="S23">
        <f>OR(AND(IF(Metadata!D23="",FALSE,TRUE),OR(exact(Metadata!D23,"missing: not collected"),exact(Metadata!D23,"missing: not provided"))),AND(IF(Metadata!D23="",FALSE,TRUE),OR(exact(Metadata!D23,"UBERON:zone of skin"),exact(Metadata!D23,"UBERON:skin of hand"),exact(Metadata!D23,"UBERON:skin of forehead"))))</f>
        <v>0</v>
      </c>
      <c r="T23">
        <f>AND(IF(Metadata!E23="",FALSE,TRUE),exact(Metadata!E23,"human skin metagenome"))</f>
        <v>0</v>
      </c>
      <c r="U23">
        <f>AND(IF(Metadata!F23="",FALSE,TRUE),exact(Metadata!F23,"539655"))</f>
        <v>0</v>
      </c>
    </row>
    <row r="24" spans="1:21">
      <c r="A24" s="4">
        <f>IF(B24=" "," ",HYPERLINK(CONCATENATE("#metadata!",ADDRESS(INDEX($L$2:$L$1001,MATCH(ROWS($J$2:J24),$J$2:$J$1001,0),0),1)),INDEX($O$2:$O$1001,MATCH(ROWS($J$2:J24),$J$2:$J$1001,0),0)))</f>
        <v>0</v>
      </c>
      <c r="B24" s="3">
        <f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>0</v>
      </c>
      <c r="C24" s="3">
        <f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>0</v>
      </c>
      <c r="D24" s="3">
        <f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>0</v>
      </c>
      <c r="E24" s="3">
        <f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>0</v>
      </c>
      <c r="F24" s="3">
        <f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>0</v>
      </c>
      <c r="J24">
        <v>0</v>
      </c>
      <c r="K24">
        <v>0</v>
      </c>
      <c r="L24">
        <v>0</v>
      </c>
      <c r="M24">
        <f>IF(N24,TRUE,AND(Q24:U24))</f>
        <v>0</v>
      </c>
      <c r="N24">
        <f>COUNTBLANK(Metadata!B24:F24)=COLUMNS(Metadata!B24:F24)</f>
        <v>0</v>
      </c>
      <c r="O24">
        <v>0</v>
      </c>
      <c r="Q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>
        <f>AND(IF(Metadata!C24="",FALSE,TRUE),exact(Metadata!C24,"human-skin"))</f>
        <v>0</v>
      </c>
      <c r="S24">
        <f>OR(AND(IF(Metadata!D24="",FALSE,TRUE),OR(exact(Metadata!D24,"missing: not collected"),exact(Metadata!D24,"missing: not provided"))),AND(IF(Metadata!D24="",FALSE,TRUE),OR(exact(Metadata!D24,"UBERON:zone of skin"),exact(Metadata!D24,"UBERON:skin of hand"),exact(Metadata!D24,"UBERON:skin of forehead"))))</f>
        <v>0</v>
      </c>
      <c r="T24">
        <f>AND(IF(Metadata!E24="",FALSE,TRUE),exact(Metadata!E24,"human skin metagenome"))</f>
        <v>0</v>
      </c>
      <c r="U24">
        <f>AND(IF(Metadata!F24="",FALSE,TRUE),exact(Metadata!F24,"539655"))</f>
        <v>0</v>
      </c>
    </row>
    <row r="25" spans="1:21">
      <c r="A25" s="4">
        <f>IF(B25=" "," ",HYPERLINK(CONCATENATE("#metadata!",ADDRESS(INDEX($L$2:$L$1001,MATCH(ROWS($J$2:J25),$J$2:$J$1001,0),0),1)),INDEX($O$2:$O$1001,MATCH(ROWS($J$2:J25),$J$2:$J$1001,0),0)))</f>
        <v>0</v>
      </c>
      <c r="B25" s="3">
        <f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>0</v>
      </c>
      <c r="C25" s="3">
        <f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>0</v>
      </c>
      <c r="D25" s="3">
        <f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>0</v>
      </c>
      <c r="E25" s="3">
        <f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>0</v>
      </c>
      <c r="F25" s="3">
        <f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>0</v>
      </c>
      <c r="J25">
        <v>0</v>
      </c>
      <c r="K25">
        <v>0</v>
      </c>
      <c r="L25">
        <v>0</v>
      </c>
      <c r="M25">
        <f>IF(N25,TRUE,AND(Q25:U25))</f>
        <v>0</v>
      </c>
      <c r="N25">
        <f>COUNTBLANK(Metadata!B25:F25)=COLUMNS(Metadata!B25:F25)</f>
        <v>0</v>
      </c>
      <c r="O25">
        <v>0</v>
      </c>
      <c r="Q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>
        <f>AND(IF(Metadata!C25="",FALSE,TRUE),exact(Metadata!C25,"human-skin"))</f>
        <v>0</v>
      </c>
      <c r="S25">
        <f>OR(AND(IF(Metadata!D25="",FALSE,TRUE),OR(exact(Metadata!D25,"missing: not collected"),exact(Metadata!D25,"missing: not provided"))),AND(IF(Metadata!D25="",FALSE,TRUE),OR(exact(Metadata!D25,"UBERON:zone of skin"),exact(Metadata!D25,"UBERON:skin of hand"),exact(Metadata!D25,"UBERON:skin of forehead"))))</f>
        <v>0</v>
      </c>
      <c r="T25">
        <f>AND(IF(Metadata!E25="",FALSE,TRUE),exact(Metadata!E25,"human skin metagenome"))</f>
        <v>0</v>
      </c>
      <c r="U25">
        <f>AND(IF(Metadata!F25="",FALSE,TRUE),exact(Metadata!F25,"539655"))</f>
        <v>0</v>
      </c>
    </row>
    <row r="26" spans="1:21">
      <c r="A26" s="4">
        <f>IF(B26=" "," ",HYPERLINK(CONCATENATE("#metadata!",ADDRESS(INDEX($L$2:$L$1001,MATCH(ROWS($J$2:J26),$J$2:$J$1001,0),0),1)),INDEX($O$2:$O$1001,MATCH(ROWS($J$2:J26),$J$2:$J$1001,0),0)))</f>
        <v>0</v>
      </c>
      <c r="B26" s="3">
        <f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>0</v>
      </c>
      <c r="C26" s="3">
        <f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>0</v>
      </c>
      <c r="D26" s="3">
        <f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>0</v>
      </c>
      <c r="E26" s="3">
        <f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>0</v>
      </c>
      <c r="F26" s="3">
        <f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>0</v>
      </c>
      <c r="J26">
        <v>0</v>
      </c>
      <c r="K26">
        <v>0</v>
      </c>
      <c r="L26">
        <v>0</v>
      </c>
      <c r="M26">
        <f>IF(N26,TRUE,AND(Q26:U26))</f>
        <v>0</v>
      </c>
      <c r="N26">
        <f>COUNTBLANK(Metadata!B26:F26)=COLUMNS(Metadata!B26:F26)</f>
        <v>0</v>
      </c>
      <c r="O26">
        <v>0</v>
      </c>
      <c r="Q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>
        <f>AND(IF(Metadata!C26="",FALSE,TRUE),exact(Metadata!C26,"human-skin"))</f>
        <v>0</v>
      </c>
      <c r="S26">
        <f>OR(AND(IF(Metadata!D26="",FALSE,TRUE),OR(exact(Metadata!D26,"missing: not collected"),exact(Metadata!D26,"missing: not provided"))),AND(IF(Metadata!D26="",FALSE,TRUE),OR(exact(Metadata!D26,"UBERON:zone of skin"),exact(Metadata!D26,"UBERON:skin of hand"),exact(Metadata!D26,"UBERON:skin of forehead"))))</f>
        <v>0</v>
      </c>
      <c r="T26">
        <f>AND(IF(Metadata!E26="",FALSE,TRUE),exact(Metadata!E26,"human skin metagenome"))</f>
        <v>0</v>
      </c>
      <c r="U26">
        <f>AND(IF(Metadata!F26="",FALSE,TRUE),exact(Metadata!F26,"539655"))</f>
        <v>0</v>
      </c>
    </row>
    <row r="27" spans="1:21">
      <c r="A27" s="4">
        <f>IF(B27=" "," ",HYPERLINK(CONCATENATE("#metadata!",ADDRESS(INDEX($L$2:$L$1001,MATCH(ROWS($J$2:J27),$J$2:$J$1001,0),0),1)),INDEX($O$2:$O$1001,MATCH(ROWS($J$2:J27),$J$2:$J$1001,0),0)))</f>
        <v>0</v>
      </c>
      <c r="B27" s="3">
        <f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>0</v>
      </c>
      <c r="C27" s="3">
        <f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>0</v>
      </c>
      <c r="D27" s="3">
        <f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>0</v>
      </c>
      <c r="E27" s="3">
        <f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>0</v>
      </c>
      <c r="F27" s="3">
        <f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>0</v>
      </c>
      <c r="J27">
        <v>0</v>
      </c>
      <c r="K27">
        <v>0</v>
      </c>
      <c r="L27">
        <v>0</v>
      </c>
      <c r="M27">
        <f>IF(N27,TRUE,AND(Q27:U27))</f>
        <v>0</v>
      </c>
      <c r="N27">
        <f>COUNTBLANK(Metadata!B27:F27)=COLUMNS(Metadata!B27:F27)</f>
        <v>0</v>
      </c>
      <c r="O27">
        <v>0</v>
      </c>
      <c r="Q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>
        <f>AND(IF(Metadata!C27="",FALSE,TRUE),exact(Metadata!C27,"human-skin"))</f>
        <v>0</v>
      </c>
      <c r="S27">
        <f>OR(AND(IF(Metadata!D27="",FALSE,TRUE),OR(exact(Metadata!D27,"missing: not collected"),exact(Metadata!D27,"missing: not provided"))),AND(IF(Metadata!D27="",FALSE,TRUE),OR(exact(Metadata!D27,"UBERON:zone of skin"),exact(Metadata!D27,"UBERON:skin of hand"),exact(Metadata!D27,"UBERON:skin of forehead"))))</f>
        <v>0</v>
      </c>
      <c r="T27">
        <f>AND(IF(Metadata!E27="",FALSE,TRUE),exact(Metadata!E27,"human skin metagenome"))</f>
        <v>0</v>
      </c>
      <c r="U27">
        <f>AND(IF(Metadata!F27="",FALSE,TRUE),exact(Metadata!F27,"539655"))</f>
        <v>0</v>
      </c>
    </row>
    <row r="28" spans="1:21">
      <c r="A28" s="4">
        <f>IF(B28=" "," ",HYPERLINK(CONCATENATE("#metadata!",ADDRESS(INDEX($L$2:$L$1001,MATCH(ROWS($J$2:J28),$J$2:$J$1001,0),0),1)),INDEX($O$2:$O$1001,MATCH(ROWS($J$2:J28),$J$2:$J$1001,0),0)))</f>
        <v>0</v>
      </c>
      <c r="B28" s="3">
        <f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>0</v>
      </c>
      <c r="C28" s="3">
        <f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>0</v>
      </c>
      <c r="D28" s="3">
        <f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>0</v>
      </c>
      <c r="E28" s="3">
        <f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>0</v>
      </c>
      <c r="F28" s="3">
        <f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>0</v>
      </c>
      <c r="J28">
        <v>0</v>
      </c>
      <c r="K28">
        <v>0</v>
      </c>
      <c r="L28">
        <v>0</v>
      </c>
      <c r="M28">
        <f>IF(N28,TRUE,AND(Q28:U28))</f>
        <v>0</v>
      </c>
      <c r="N28">
        <f>COUNTBLANK(Metadata!B28:F28)=COLUMNS(Metadata!B28:F28)</f>
        <v>0</v>
      </c>
      <c r="O28">
        <v>0</v>
      </c>
      <c r="Q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>
        <f>AND(IF(Metadata!C28="",FALSE,TRUE),exact(Metadata!C28,"human-skin"))</f>
        <v>0</v>
      </c>
      <c r="S28">
        <f>OR(AND(IF(Metadata!D28="",FALSE,TRUE),OR(exact(Metadata!D28,"missing: not collected"),exact(Metadata!D28,"missing: not provided"))),AND(IF(Metadata!D28="",FALSE,TRUE),OR(exact(Metadata!D28,"UBERON:zone of skin"),exact(Metadata!D28,"UBERON:skin of hand"),exact(Metadata!D28,"UBERON:skin of forehead"))))</f>
        <v>0</v>
      </c>
      <c r="T28">
        <f>AND(IF(Metadata!E28="",FALSE,TRUE),exact(Metadata!E28,"human skin metagenome"))</f>
        <v>0</v>
      </c>
      <c r="U28">
        <f>AND(IF(Metadata!F28="",FALSE,TRUE),exact(Metadata!F28,"539655"))</f>
        <v>0</v>
      </c>
    </row>
    <row r="29" spans="1:21">
      <c r="A29" s="4">
        <f>IF(B29=" "," ",HYPERLINK(CONCATENATE("#metadata!",ADDRESS(INDEX($L$2:$L$1001,MATCH(ROWS($J$2:J29),$J$2:$J$1001,0),0),1)),INDEX($O$2:$O$1001,MATCH(ROWS($J$2:J29),$J$2:$J$1001,0),0)))</f>
        <v>0</v>
      </c>
      <c r="B29" s="3">
        <f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>0</v>
      </c>
      <c r="C29" s="3">
        <f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>0</v>
      </c>
      <c r="D29" s="3">
        <f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>0</v>
      </c>
      <c r="E29" s="3">
        <f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>0</v>
      </c>
      <c r="F29" s="3">
        <f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>0</v>
      </c>
      <c r="J29">
        <v>0</v>
      </c>
      <c r="K29">
        <v>0</v>
      </c>
      <c r="L29">
        <v>0</v>
      </c>
      <c r="M29">
        <f>IF(N29,TRUE,AND(Q29:U29))</f>
        <v>0</v>
      </c>
      <c r="N29">
        <f>COUNTBLANK(Metadata!B29:F29)=COLUMNS(Metadata!B29:F29)</f>
        <v>0</v>
      </c>
      <c r="O29">
        <v>0</v>
      </c>
      <c r="Q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>
        <f>AND(IF(Metadata!C29="",FALSE,TRUE),exact(Metadata!C29,"human-skin"))</f>
        <v>0</v>
      </c>
      <c r="S29">
        <f>OR(AND(IF(Metadata!D29="",FALSE,TRUE),OR(exact(Metadata!D29,"missing: not collected"),exact(Metadata!D29,"missing: not provided"))),AND(IF(Metadata!D29="",FALSE,TRUE),OR(exact(Metadata!D29,"UBERON:zone of skin"),exact(Metadata!D29,"UBERON:skin of hand"),exact(Metadata!D29,"UBERON:skin of forehead"))))</f>
        <v>0</v>
      </c>
      <c r="T29">
        <f>AND(IF(Metadata!E29="",FALSE,TRUE),exact(Metadata!E29,"human skin metagenome"))</f>
        <v>0</v>
      </c>
      <c r="U29">
        <f>AND(IF(Metadata!F29="",FALSE,TRUE),exact(Metadata!F29,"539655"))</f>
        <v>0</v>
      </c>
    </row>
    <row r="30" spans="1:21">
      <c r="A30" s="4">
        <f>IF(B30=" "," ",HYPERLINK(CONCATENATE("#metadata!",ADDRESS(INDEX($L$2:$L$1001,MATCH(ROWS($J$2:J30),$J$2:$J$1001,0),0),1)),INDEX($O$2:$O$1001,MATCH(ROWS($J$2:J30),$J$2:$J$1001,0),0)))</f>
        <v>0</v>
      </c>
      <c r="B30" s="3">
        <f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>0</v>
      </c>
      <c r="C30" s="3">
        <f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>0</v>
      </c>
      <c r="D30" s="3">
        <f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>0</v>
      </c>
      <c r="E30" s="3">
        <f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>0</v>
      </c>
      <c r="F30" s="3">
        <f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>0</v>
      </c>
      <c r="J30">
        <v>0</v>
      </c>
      <c r="K30">
        <v>0</v>
      </c>
      <c r="L30">
        <v>0</v>
      </c>
      <c r="M30">
        <f>IF(N30,TRUE,AND(Q30:U30))</f>
        <v>0</v>
      </c>
      <c r="N30">
        <f>COUNTBLANK(Metadata!B30:F30)=COLUMNS(Metadata!B30:F30)</f>
        <v>0</v>
      </c>
      <c r="O30">
        <v>0</v>
      </c>
      <c r="Q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>
        <f>AND(IF(Metadata!C30="",FALSE,TRUE),exact(Metadata!C30,"human-skin"))</f>
        <v>0</v>
      </c>
      <c r="S30">
        <f>OR(AND(IF(Metadata!D30="",FALSE,TRUE),OR(exact(Metadata!D30,"missing: not collected"),exact(Metadata!D30,"missing: not provided"))),AND(IF(Metadata!D30="",FALSE,TRUE),OR(exact(Metadata!D30,"UBERON:zone of skin"),exact(Metadata!D30,"UBERON:skin of hand"),exact(Metadata!D30,"UBERON:skin of forehead"))))</f>
        <v>0</v>
      </c>
      <c r="T30">
        <f>AND(IF(Metadata!E30="",FALSE,TRUE),exact(Metadata!E30,"human skin metagenome"))</f>
        <v>0</v>
      </c>
      <c r="U30">
        <f>AND(IF(Metadata!F30="",FALSE,TRUE),exact(Metadata!F30,"539655"))</f>
        <v>0</v>
      </c>
    </row>
    <row r="31" spans="1:21">
      <c r="A31" s="4">
        <f>IF(B31=" "," ",HYPERLINK(CONCATENATE("#metadata!",ADDRESS(INDEX($L$2:$L$1001,MATCH(ROWS($J$2:J31),$J$2:$J$1001,0),0),1)),INDEX($O$2:$O$1001,MATCH(ROWS($J$2:J31),$J$2:$J$1001,0),0)))</f>
        <v>0</v>
      </c>
      <c r="B31" s="3">
        <f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>0</v>
      </c>
      <c r="C31" s="3">
        <f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>0</v>
      </c>
      <c r="D31" s="3">
        <f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>0</v>
      </c>
      <c r="E31" s="3">
        <f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>0</v>
      </c>
      <c r="F31" s="3">
        <f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>0</v>
      </c>
      <c r="J31">
        <v>0</v>
      </c>
      <c r="K31">
        <v>0</v>
      </c>
      <c r="L31">
        <v>0</v>
      </c>
      <c r="M31">
        <f>IF(N31,TRUE,AND(Q31:U31))</f>
        <v>0</v>
      </c>
      <c r="N31">
        <f>COUNTBLANK(Metadata!B31:F31)=COLUMNS(Metadata!B31:F31)</f>
        <v>0</v>
      </c>
      <c r="O31">
        <v>0</v>
      </c>
      <c r="Q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>
        <f>AND(IF(Metadata!C31="",FALSE,TRUE),exact(Metadata!C31,"human-skin"))</f>
        <v>0</v>
      </c>
      <c r="S31">
        <f>OR(AND(IF(Metadata!D31="",FALSE,TRUE),OR(exact(Metadata!D31,"missing: not collected"),exact(Metadata!D31,"missing: not provided"))),AND(IF(Metadata!D31="",FALSE,TRUE),OR(exact(Metadata!D31,"UBERON:zone of skin"),exact(Metadata!D31,"UBERON:skin of hand"),exact(Metadata!D31,"UBERON:skin of forehead"))))</f>
        <v>0</v>
      </c>
      <c r="T31">
        <f>AND(IF(Metadata!E31="",FALSE,TRUE),exact(Metadata!E31,"human skin metagenome"))</f>
        <v>0</v>
      </c>
      <c r="U31">
        <f>AND(IF(Metadata!F31="",FALSE,TRUE),exact(Metadata!F31,"539655"))</f>
        <v>0</v>
      </c>
    </row>
    <row r="32" spans="1:21">
      <c r="A32" s="4">
        <f>IF(B32=" "," ",HYPERLINK(CONCATENATE("#metadata!",ADDRESS(INDEX($L$2:$L$1001,MATCH(ROWS($J$2:J32),$J$2:$J$1001,0),0),1)),INDEX($O$2:$O$1001,MATCH(ROWS($J$2:J32),$J$2:$J$1001,0),0)))</f>
        <v>0</v>
      </c>
      <c r="B32" s="3">
        <f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>0</v>
      </c>
      <c r="C32" s="3">
        <f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>0</v>
      </c>
      <c r="D32" s="3">
        <f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>0</v>
      </c>
      <c r="E32" s="3">
        <f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>0</v>
      </c>
      <c r="F32" s="3">
        <f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>0</v>
      </c>
      <c r="J32">
        <v>0</v>
      </c>
      <c r="K32">
        <v>0</v>
      </c>
      <c r="L32">
        <v>0</v>
      </c>
      <c r="M32">
        <f>IF(N32,TRUE,AND(Q32:U32))</f>
        <v>0</v>
      </c>
      <c r="N32">
        <f>COUNTBLANK(Metadata!B32:F32)=COLUMNS(Metadata!B32:F32)</f>
        <v>0</v>
      </c>
      <c r="O32">
        <v>0</v>
      </c>
      <c r="Q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>
        <f>AND(IF(Metadata!C32="",FALSE,TRUE),exact(Metadata!C32,"human-skin"))</f>
        <v>0</v>
      </c>
      <c r="S32">
        <f>OR(AND(IF(Metadata!D32="",FALSE,TRUE),OR(exact(Metadata!D32,"missing: not collected"),exact(Metadata!D32,"missing: not provided"))),AND(IF(Metadata!D32="",FALSE,TRUE),OR(exact(Metadata!D32,"UBERON:zone of skin"),exact(Metadata!D32,"UBERON:skin of hand"),exact(Metadata!D32,"UBERON:skin of forehead"))))</f>
        <v>0</v>
      </c>
      <c r="T32">
        <f>AND(IF(Metadata!E32="",FALSE,TRUE),exact(Metadata!E32,"human skin metagenome"))</f>
        <v>0</v>
      </c>
      <c r="U32">
        <f>AND(IF(Metadata!F32="",FALSE,TRUE),exact(Metadata!F32,"539655"))</f>
        <v>0</v>
      </c>
    </row>
    <row r="33" spans="1:21">
      <c r="A33" s="4">
        <f>IF(B33=" "," ",HYPERLINK(CONCATENATE("#metadata!",ADDRESS(INDEX($L$2:$L$1001,MATCH(ROWS($J$2:J33),$J$2:$J$1001,0),0),1)),INDEX($O$2:$O$1001,MATCH(ROWS($J$2:J33),$J$2:$J$1001,0),0)))</f>
        <v>0</v>
      </c>
      <c r="B33" s="3">
        <f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>0</v>
      </c>
      <c r="C33" s="3">
        <f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>0</v>
      </c>
      <c r="D33" s="3">
        <f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>0</v>
      </c>
      <c r="E33" s="3">
        <f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>0</v>
      </c>
      <c r="F33" s="3">
        <f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>0</v>
      </c>
      <c r="J33">
        <v>0</v>
      </c>
      <c r="K33">
        <v>0</v>
      </c>
      <c r="L33">
        <v>0</v>
      </c>
      <c r="M33">
        <f>IF(N33,TRUE,AND(Q33:U33))</f>
        <v>0</v>
      </c>
      <c r="N33">
        <f>COUNTBLANK(Metadata!B33:F33)=COLUMNS(Metadata!B33:F33)</f>
        <v>0</v>
      </c>
      <c r="O33">
        <v>0</v>
      </c>
      <c r="Q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>
        <f>AND(IF(Metadata!C33="",FALSE,TRUE),exact(Metadata!C33,"human-skin"))</f>
        <v>0</v>
      </c>
      <c r="S33">
        <f>OR(AND(IF(Metadata!D33="",FALSE,TRUE),OR(exact(Metadata!D33,"missing: not collected"),exact(Metadata!D33,"missing: not provided"))),AND(IF(Metadata!D33="",FALSE,TRUE),OR(exact(Metadata!D33,"UBERON:zone of skin"),exact(Metadata!D33,"UBERON:skin of hand"),exact(Metadata!D33,"UBERON:skin of forehead"))))</f>
        <v>0</v>
      </c>
      <c r="T33">
        <f>AND(IF(Metadata!E33="",FALSE,TRUE),exact(Metadata!E33,"human skin metagenome"))</f>
        <v>0</v>
      </c>
      <c r="U33">
        <f>AND(IF(Metadata!F33="",FALSE,TRUE),exact(Metadata!F33,"539655"))</f>
        <v>0</v>
      </c>
    </row>
    <row r="34" spans="1:21">
      <c r="A34" s="4">
        <f>IF(B34=" "," ",HYPERLINK(CONCATENATE("#metadata!",ADDRESS(INDEX($L$2:$L$1001,MATCH(ROWS($J$2:J34),$J$2:$J$1001,0),0),1)),INDEX($O$2:$O$1001,MATCH(ROWS($J$2:J34),$J$2:$J$1001,0),0)))</f>
        <v>0</v>
      </c>
      <c r="B34" s="3">
        <f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>0</v>
      </c>
      <c r="C34" s="3">
        <f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>0</v>
      </c>
      <c r="D34" s="3">
        <f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>0</v>
      </c>
      <c r="E34" s="3">
        <f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>0</v>
      </c>
      <c r="F34" s="3">
        <f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>0</v>
      </c>
      <c r="J34">
        <v>0</v>
      </c>
      <c r="K34">
        <v>0</v>
      </c>
      <c r="L34">
        <v>0</v>
      </c>
      <c r="M34">
        <f>IF(N34,TRUE,AND(Q34:U34))</f>
        <v>0</v>
      </c>
      <c r="N34">
        <f>COUNTBLANK(Metadata!B34:F34)=COLUMNS(Metadata!B34:F34)</f>
        <v>0</v>
      </c>
      <c r="O34">
        <v>0</v>
      </c>
      <c r="Q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>
        <f>AND(IF(Metadata!C34="",FALSE,TRUE),exact(Metadata!C34,"human-skin"))</f>
        <v>0</v>
      </c>
      <c r="S34">
        <f>OR(AND(IF(Metadata!D34="",FALSE,TRUE),OR(exact(Metadata!D34,"missing: not collected"),exact(Metadata!D34,"missing: not provided"))),AND(IF(Metadata!D34="",FALSE,TRUE),OR(exact(Metadata!D34,"UBERON:zone of skin"),exact(Metadata!D34,"UBERON:skin of hand"),exact(Metadata!D34,"UBERON:skin of forehead"))))</f>
        <v>0</v>
      </c>
      <c r="T34">
        <f>AND(IF(Metadata!E34="",FALSE,TRUE),exact(Metadata!E34,"human skin metagenome"))</f>
        <v>0</v>
      </c>
      <c r="U34">
        <f>AND(IF(Metadata!F34="",FALSE,TRUE),exact(Metadata!F34,"539655"))</f>
        <v>0</v>
      </c>
    </row>
    <row r="35" spans="1:21">
      <c r="A35" s="4">
        <f>IF(B35=" "," ",HYPERLINK(CONCATENATE("#metadata!",ADDRESS(INDEX($L$2:$L$1001,MATCH(ROWS($J$2:J35),$J$2:$J$1001,0),0),1)),INDEX($O$2:$O$1001,MATCH(ROWS($J$2:J35),$J$2:$J$1001,0),0)))</f>
        <v>0</v>
      </c>
      <c r="B35" s="3">
        <f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>0</v>
      </c>
      <c r="C35" s="3">
        <f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>0</v>
      </c>
      <c r="D35" s="3">
        <f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>0</v>
      </c>
      <c r="E35" s="3">
        <f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>0</v>
      </c>
      <c r="F35" s="3">
        <f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>0</v>
      </c>
      <c r="J35">
        <v>0</v>
      </c>
      <c r="K35">
        <v>0</v>
      </c>
      <c r="L35">
        <v>0</v>
      </c>
      <c r="M35">
        <f>IF(N35,TRUE,AND(Q35:U35))</f>
        <v>0</v>
      </c>
      <c r="N35">
        <f>COUNTBLANK(Metadata!B35:F35)=COLUMNS(Metadata!B35:F35)</f>
        <v>0</v>
      </c>
      <c r="O35">
        <v>0</v>
      </c>
      <c r="Q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>
        <f>AND(IF(Metadata!C35="",FALSE,TRUE),exact(Metadata!C35,"human-skin"))</f>
        <v>0</v>
      </c>
      <c r="S35">
        <f>OR(AND(IF(Metadata!D35="",FALSE,TRUE),OR(exact(Metadata!D35,"missing: not collected"),exact(Metadata!D35,"missing: not provided"))),AND(IF(Metadata!D35="",FALSE,TRUE),OR(exact(Metadata!D35,"UBERON:zone of skin"),exact(Metadata!D35,"UBERON:skin of hand"),exact(Metadata!D35,"UBERON:skin of forehead"))))</f>
        <v>0</v>
      </c>
      <c r="T35">
        <f>AND(IF(Metadata!E35="",FALSE,TRUE),exact(Metadata!E35,"human skin metagenome"))</f>
        <v>0</v>
      </c>
      <c r="U35">
        <f>AND(IF(Metadata!F35="",FALSE,TRUE),exact(Metadata!F35,"539655"))</f>
        <v>0</v>
      </c>
    </row>
    <row r="36" spans="1:21">
      <c r="A36" s="4">
        <f>IF(B36=" "," ",HYPERLINK(CONCATENATE("#metadata!",ADDRESS(INDEX($L$2:$L$1001,MATCH(ROWS($J$2:J36),$J$2:$J$1001,0),0),1)),INDEX($O$2:$O$1001,MATCH(ROWS($J$2:J36),$J$2:$J$1001,0),0)))</f>
        <v>0</v>
      </c>
      <c r="B36" s="3">
        <f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>0</v>
      </c>
      <c r="C36" s="3">
        <f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>0</v>
      </c>
      <c r="D36" s="3">
        <f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>0</v>
      </c>
      <c r="E36" s="3">
        <f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>0</v>
      </c>
      <c r="F36" s="3">
        <f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>0</v>
      </c>
      <c r="J36">
        <v>0</v>
      </c>
      <c r="K36">
        <v>0</v>
      </c>
      <c r="L36">
        <v>0</v>
      </c>
      <c r="M36">
        <f>IF(N36,TRUE,AND(Q36:U36))</f>
        <v>0</v>
      </c>
      <c r="N36">
        <f>COUNTBLANK(Metadata!B36:F36)=COLUMNS(Metadata!B36:F36)</f>
        <v>0</v>
      </c>
      <c r="O36">
        <v>0</v>
      </c>
      <c r="Q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>
        <f>AND(IF(Metadata!C36="",FALSE,TRUE),exact(Metadata!C36,"human-skin"))</f>
        <v>0</v>
      </c>
      <c r="S36">
        <f>OR(AND(IF(Metadata!D36="",FALSE,TRUE),OR(exact(Metadata!D36,"missing: not collected"),exact(Metadata!D36,"missing: not provided"))),AND(IF(Metadata!D36="",FALSE,TRUE),OR(exact(Metadata!D36,"UBERON:zone of skin"),exact(Metadata!D36,"UBERON:skin of hand"),exact(Metadata!D36,"UBERON:skin of forehead"))))</f>
        <v>0</v>
      </c>
      <c r="T36">
        <f>AND(IF(Metadata!E36="",FALSE,TRUE),exact(Metadata!E36,"human skin metagenome"))</f>
        <v>0</v>
      </c>
      <c r="U36">
        <f>AND(IF(Metadata!F36="",FALSE,TRUE),exact(Metadata!F36,"539655"))</f>
        <v>0</v>
      </c>
    </row>
    <row r="37" spans="1:21">
      <c r="A37" s="4">
        <f>IF(B37=" "," ",HYPERLINK(CONCATENATE("#metadata!",ADDRESS(INDEX($L$2:$L$1001,MATCH(ROWS($J$2:J37),$J$2:$J$1001,0),0),1)),INDEX($O$2:$O$1001,MATCH(ROWS($J$2:J37),$J$2:$J$1001,0),0)))</f>
        <v>0</v>
      </c>
      <c r="B37" s="3">
        <f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>0</v>
      </c>
      <c r="C37" s="3">
        <f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>0</v>
      </c>
      <c r="D37" s="3">
        <f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>0</v>
      </c>
      <c r="E37" s="3">
        <f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>0</v>
      </c>
      <c r="F37" s="3">
        <f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>0</v>
      </c>
      <c r="J37">
        <v>0</v>
      </c>
      <c r="K37">
        <v>0</v>
      </c>
      <c r="L37">
        <v>0</v>
      </c>
      <c r="M37">
        <f>IF(N37,TRUE,AND(Q37:U37))</f>
        <v>0</v>
      </c>
      <c r="N37">
        <f>COUNTBLANK(Metadata!B37:F37)=COLUMNS(Metadata!B37:F37)</f>
        <v>0</v>
      </c>
      <c r="O37">
        <v>0</v>
      </c>
      <c r="Q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>
        <f>AND(IF(Metadata!C37="",FALSE,TRUE),exact(Metadata!C37,"human-skin"))</f>
        <v>0</v>
      </c>
      <c r="S37">
        <f>OR(AND(IF(Metadata!D37="",FALSE,TRUE),OR(exact(Metadata!D37,"missing: not collected"),exact(Metadata!D37,"missing: not provided"))),AND(IF(Metadata!D37="",FALSE,TRUE),OR(exact(Metadata!D37,"UBERON:zone of skin"),exact(Metadata!D37,"UBERON:skin of hand"),exact(Metadata!D37,"UBERON:skin of forehead"))))</f>
        <v>0</v>
      </c>
      <c r="T37">
        <f>AND(IF(Metadata!E37="",FALSE,TRUE),exact(Metadata!E37,"human skin metagenome"))</f>
        <v>0</v>
      </c>
      <c r="U37">
        <f>AND(IF(Metadata!F37="",FALSE,TRUE),exact(Metadata!F37,"539655"))</f>
        <v>0</v>
      </c>
    </row>
    <row r="38" spans="1:21">
      <c r="A38" s="4">
        <f>IF(B38=" "," ",HYPERLINK(CONCATENATE("#metadata!",ADDRESS(INDEX($L$2:$L$1001,MATCH(ROWS($J$2:J38),$J$2:$J$1001,0),0),1)),INDEX($O$2:$O$1001,MATCH(ROWS($J$2:J38),$J$2:$J$1001,0),0)))</f>
        <v>0</v>
      </c>
      <c r="B38" s="3">
        <f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>0</v>
      </c>
      <c r="C38" s="3">
        <f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>0</v>
      </c>
      <c r="D38" s="3">
        <f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>0</v>
      </c>
      <c r="E38" s="3">
        <f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>0</v>
      </c>
      <c r="F38" s="3">
        <f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>0</v>
      </c>
      <c r="J38">
        <v>0</v>
      </c>
      <c r="K38">
        <v>0</v>
      </c>
      <c r="L38">
        <v>0</v>
      </c>
      <c r="M38">
        <f>IF(N38,TRUE,AND(Q38:U38))</f>
        <v>0</v>
      </c>
      <c r="N38">
        <f>COUNTBLANK(Metadata!B38:F38)=COLUMNS(Metadata!B38:F38)</f>
        <v>0</v>
      </c>
      <c r="O38">
        <v>0</v>
      </c>
      <c r="Q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>
        <f>AND(IF(Metadata!C38="",FALSE,TRUE),exact(Metadata!C38,"human-skin"))</f>
        <v>0</v>
      </c>
      <c r="S38">
        <f>OR(AND(IF(Metadata!D38="",FALSE,TRUE),OR(exact(Metadata!D38,"missing: not collected"),exact(Metadata!D38,"missing: not provided"))),AND(IF(Metadata!D38="",FALSE,TRUE),OR(exact(Metadata!D38,"UBERON:zone of skin"),exact(Metadata!D38,"UBERON:skin of hand"),exact(Metadata!D38,"UBERON:skin of forehead"))))</f>
        <v>0</v>
      </c>
      <c r="T38">
        <f>AND(IF(Metadata!E38="",FALSE,TRUE),exact(Metadata!E38,"human skin metagenome"))</f>
        <v>0</v>
      </c>
      <c r="U38">
        <f>AND(IF(Metadata!F38="",FALSE,TRUE),exact(Metadata!F38,"539655"))</f>
        <v>0</v>
      </c>
    </row>
    <row r="39" spans="1:21">
      <c r="A39" s="4">
        <f>IF(B39=" "," ",HYPERLINK(CONCATENATE("#metadata!",ADDRESS(INDEX($L$2:$L$1001,MATCH(ROWS($J$2:J39),$J$2:$J$1001,0),0),1)),INDEX($O$2:$O$1001,MATCH(ROWS($J$2:J39),$J$2:$J$1001,0),0)))</f>
        <v>0</v>
      </c>
      <c r="B39" s="3">
        <f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>0</v>
      </c>
      <c r="C39" s="3">
        <f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>0</v>
      </c>
      <c r="D39" s="3">
        <f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>0</v>
      </c>
      <c r="E39" s="3">
        <f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>0</v>
      </c>
      <c r="F39" s="3">
        <f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>0</v>
      </c>
      <c r="J39">
        <v>0</v>
      </c>
      <c r="K39">
        <v>0</v>
      </c>
      <c r="L39">
        <v>0</v>
      </c>
      <c r="M39">
        <f>IF(N39,TRUE,AND(Q39:U39))</f>
        <v>0</v>
      </c>
      <c r="N39">
        <f>COUNTBLANK(Metadata!B39:F39)=COLUMNS(Metadata!B39:F39)</f>
        <v>0</v>
      </c>
      <c r="O39">
        <v>0</v>
      </c>
      <c r="Q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>
        <f>AND(IF(Metadata!C39="",FALSE,TRUE),exact(Metadata!C39,"human-skin"))</f>
        <v>0</v>
      </c>
      <c r="S39">
        <f>OR(AND(IF(Metadata!D39="",FALSE,TRUE),OR(exact(Metadata!D39,"missing: not collected"),exact(Metadata!D39,"missing: not provided"))),AND(IF(Metadata!D39="",FALSE,TRUE),OR(exact(Metadata!D39,"UBERON:zone of skin"),exact(Metadata!D39,"UBERON:skin of hand"),exact(Metadata!D39,"UBERON:skin of forehead"))))</f>
        <v>0</v>
      </c>
      <c r="T39">
        <f>AND(IF(Metadata!E39="",FALSE,TRUE),exact(Metadata!E39,"human skin metagenome"))</f>
        <v>0</v>
      </c>
      <c r="U39">
        <f>AND(IF(Metadata!F39="",FALSE,TRUE),exact(Metadata!F39,"539655"))</f>
        <v>0</v>
      </c>
    </row>
    <row r="40" spans="1:21">
      <c r="A40" s="4">
        <f>IF(B40=" "," ",HYPERLINK(CONCATENATE("#metadata!",ADDRESS(INDEX($L$2:$L$1001,MATCH(ROWS($J$2:J40),$J$2:$J$1001,0),0),1)),INDEX($O$2:$O$1001,MATCH(ROWS($J$2:J40),$J$2:$J$1001,0),0)))</f>
        <v>0</v>
      </c>
      <c r="B40" s="3">
        <f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>0</v>
      </c>
      <c r="C40" s="3">
        <f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>0</v>
      </c>
      <c r="D40" s="3">
        <f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>0</v>
      </c>
      <c r="E40" s="3">
        <f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>0</v>
      </c>
      <c r="F40" s="3">
        <f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>0</v>
      </c>
      <c r="J40">
        <v>0</v>
      </c>
      <c r="K40">
        <v>0</v>
      </c>
      <c r="L40">
        <v>0</v>
      </c>
      <c r="M40">
        <f>IF(N40,TRUE,AND(Q40:U40))</f>
        <v>0</v>
      </c>
      <c r="N40">
        <f>COUNTBLANK(Metadata!B40:F40)=COLUMNS(Metadata!B40:F40)</f>
        <v>0</v>
      </c>
      <c r="O40">
        <v>0</v>
      </c>
      <c r="Q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>
        <f>AND(IF(Metadata!C40="",FALSE,TRUE),exact(Metadata!C40,"human-skin"))</f>
        <v>0</v>
      </c>
      <c r="S40">
        <f>OR(AND(IF(Metadata!D40="",FALSE,TRUE),OR(exact(Metadata!D40,"missing: not collected"),exact(Metadata!D40,"missing: not provided"))),AND(IF(Metadata!D40="",FALSE,TRUE),OR(exact(Metadata!D40,"UBERON:zone of skin"),exact(Metadata!D40,"UBERON:skin of hand"),exact(Metadata!D40,"UBERON:skin of forehead"))))</f>
        <v>0</v>
      </c>
      <c r="T40">
        <f>AND(IF(Metadata!E40="",FALSE,TRUE),exact(Metadata!E40,"human skin metagenome"))</f>
        <v>0</v>
      </c>
      <c r="U40">
        <f>AND(IF(Metadata!F40="",FALSE,TRUE),exact(Metadata!F40,"539655"))</f>
        <v>0</v>
      </c>
    </row>
    <row r="41" spans="1:21">
      <c r="A41" s="4">
        <f>IF(B41=" "," ",HYPERLINK(CONCATENATE("#metadata!",ADDRESS(INDEX($L$2:$L$1001,MATCH(ROWS($J$2:J41),$J$2:$J$1001,0),0),1)),INDEX($O$2:$O$1001,MATCH(ROWS($J$2:J41),$J$2:$J$1001,0),0)))</f>
        <v>0</v>
      </c>
      <c r="B41" s="3">
        <f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>0</v>
      </c>
      <c r="C41" s="3">
        <f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>0</v>
      </c>
      <c r="D41" s="3">
        <f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>0</v>
      </c>
      <c r="E41" s="3">
        <f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>0</v>
      </c>
      <c r="F41" s="3">
        <f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>0</v>
      </c>
      <c r="J41">
        <v>0</v>
      </c>
      <c r="K41">
        <v>0</v>
      </c>
      <c r="L41">
        <v>0</v>
      </c>
      <c r="M41">
        <f>IF(N41,TRUE,AND(Q41:U41))</f>
        <v>0</v>
      </c>
      <c r="N41">
        <f>COUNTBLANK(Metadata!B41:F41)=COLUMNS(Metadata!B41:F41)</f>
        <v>0</v>
      </c>
      <c r="O41">
        <v>0</v>
      </c>
      <c r="Q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>
        <f>AND(IF(Metadata!C41="",FALSE,TRUE),exact(Metadata!C41,"human-skin"))</f>
        <v>0</v>
      </c>
      <c r="S41">
        <f>OR(AND(IF(Metadata!D41="",FALSE,TRUE),OR(exact(Metadata!D41,"missing: not collected"),exact(Metadata!D41,"missing: not provided"))),AND(IF(Metadata!D41="",FALSE,TRUE),OR(exact(Metadata!D41,"UBERON:zone of skin"),exact(Metadata!D41,"UBERON:skin of hand"),exact(Metadata!D41,"UBERON:skin of forehead"))))</f>
        <v>0</v>
      </c>
      <c r="T41">
        <f>AND(IF(Metadata!E41="",FALSE,TRUE),exact(Metadata!E41,"human skin metagenome"))</f>
        <v>0</v>
      </c>
      <c r="U41">
        <f>AND(IF(Metadata!F41="",FALSE,TRUE),exact(Metadata!F41,"539655"))</f>
        <v>0</v>
      </c>
    </row>
    <row r="42" spans="1:21">
      <c r="A42" s="4">
        <f>IF(B42=" "," ",HYPERLINK(CONCATENATE("#metadata!",ADDRESS(INDEX($L$2:$L$1001,MATCH(ROWS($J$2:J42),$J$2:$J$1001,0),0),1)),INDEX($O$2:$O$1001,MATCH(ROWS($J$2:J42),$J$2:$J$1001,0),0)))</f>
        <v>0</v>
      </c>
      <c r="B42" s="3">
        <f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>0</v>
      </c>
      <c r="C42" s="3">
        <f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>0</v>
      </c>
      <c r="D42" s="3">
        <f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>0</v>
      </c>
      <c r="E42" s="3">
        <f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>0</v>
      </c>
      <c r="F42" s="3">
        <f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>0</v>
      </c>
      <c r="J42">
        <v>0</v>
      </c>
      <c r="K42">
        <v>0</v>
      </c>
      <c r="L42">
        <v>0</v>
      </c>
      <c r="M42">
        <f>IF(N42,TRUE,AND(Q42:U42))</f>
        <v>0</v>
      </c>
      <c r="N42">
        <f>COUNTBLANK(Metadata!B42:F42)=COLUMNS(Metadata!B42:F42)</f>
        <v>0</v>
      </c>
      <c r="O42">
        <v>0</v>
      </c>
      <c r="Q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>
        <f>AND(IF(Metadata!C42="",FALSE,TRUE),exact(Metadata!C42,"human-skin"))</f>
        <v>0</v>
      </c>
      <c r="S42">
        <f>OR(AND(IF(Metadata!D42="",FALSE,TRUE),OR(exact(Metadata!D42,"missing: not collected"),exact(Metadata!D42,"missing: not provided"))),AND(IF(Metadata!D42="",FALSE,TRUE),OR(exact(Metadata!D42,"UBERON:zone of skin"),exact(Metadata!D42,"UBERON:skin of hand"),exact(Metadata!D42,"UBERON:skin of forehead"))))</f>
        <v>0</v>
      </c>
      <c r="T42">
        <f>AND(IF(Metadata!E42="",FALSE,TRUE),exact(Metadata!E42,"human skin metagenome"))</f>
        <v>0</v>
      </c>
      <c r="U42">
        <f>AND(IF(Metadata!F42="",FALSE,TRUE),exact(Metadata!F42,"539655"))</f>
        <v>0</v>
      </c>
    </row>
    <row r="43" spans="1:21">
      <c r="A43" s="4">
        <f>IF(B43=" "," ",HYPERLINK(CONCATENATE("#metadata!",ADDRESS(INDEX($L$2:$L$1001,MATCH(ROWS($J$2:J43),$J$2:$J$1001,0),0),1)),INDEX($O$2:$O$1001,MATCH(ROWS($J$2:J43),$J$2:$J$1001,0),0)))</f>
        <v>0</v>
      </c>
      <c r="B43" s="3">
        <f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>0</v>
      </c>
      <c r="C43" s="3">
        <f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>0</v>
      </c>
      <c r="D43" s="3">
        <f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>0</v>
      </c>
      <c r="E43" s="3">
        <f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>0</v>
      </c>
      <c r="F43" s="3">
        <f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>0</v>
      </c>
      <c r="J43">
        <v>0</v>
      </c>
      <c r="K43">
        <v>0</v>
      </c>
      <c r="L43">
        <v>0</v>
      </c>
      <c r="M43">
        <f>IF(N43,TRUE,AND(Q43:U43))</f>
        <v>0</v>
      </c>
      <c r="N43">
        <f>COUNTBLANK(Metadata!B43:F43)=COLUMNS(Metadata!B43:F43)</f>
        <v>0</v>
      </c>
      <c r="O43">
        <v>0</v>
      </c>
      <c r="Q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>
        <f>AND(IF(Metadata!C43="",FALSE,TRUE),exact(Metadata!C43,"human-skin"))</f>
        <v>0</v>
      </c>
      <c r="S43">
        <f>OR(AND(IF(Metadata!D43="",FALSE,TRUE),OR(exact(Metadata!D43,"missing: not collected"),exact(Metadata!D43,"missing: not provided"))),AND(IF(Metadata!D43="",FALSE,TRUE),OR(exact(Metadata!D43,"UBERON:zone of skin"),exact(Metadata!D43,"UBERON:skin of hand"),exact(Metadata!D43,"UBERON:skin of forehead"))))</f>
        <v>0</v>
      </c>
      <c r="T43">
        <f>AND(IF(Metadata!E43="",FALSE,TRUE),exact(Metadata!E43,"human skin metagenome"))</f>
        <v>0</v>
      </c>
      <c r="U43">
        <f>AND(IF(Metadata!F43="",FALSE,TRUE),exact(Metadata!F43,"539655"))</f>
        <v>0</v>
      </c>
    </row>
    <row r="44" spans="1:21">
      <c r="A44" s="4">
        <f>IF(B44=" "," ",HYPERLINK(CONCATENATE("#metadata!",ADDRESS(INDEX($L$2:$L$1001,MATCH(ROWS($J$2:J44),$J$2:$J$1001,0),0),1)),INDEX($O$2:$O$1001,MATCH(ROWS($J$2:J44),$J$2:$J$1001,0),0)))</f>
        <v>0</v>
      </c>
      <c r="B44" s="3">
        <f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>0</v>
      </c>
      <c r="C44" s="3">
        <f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>0</v>
      </c>
      <c r="D44" s="3">
        <f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>0</v>
      </c>
      <c r="E44" s="3">
        <f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>0</v>
      </c>
      <c r="F44" s="3">
        <f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>0</v>
      </c>
      <c r="J44">
        <v>0</v>
      </c>
      <c r="K44">
        <v>0</v>
      </c>
      <c r="L44">
        <v>0</v>
      </c>
      <c r="M44">
        <f>IF(N44,TRUE,AND(Q44:U44))</f>
        <v>0</v>
      </c>
      <c r="N44">
        <f>COUNTBLANK(Metadata!B44:F44)=COLUMNS(Metadata!B44:F44)</f>
        <v>0</v>
      </c>
      <c r="O44">
        <v>0</v>
      </c>
      <c r="Q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>
        <f>AND(IF(Metadata!C44="",FALSE,TRUE),exact(Metadata!C44,"human-skin"))</f>
        <v>0</v>
      </c>
      <c r="S44">
        <f>OR(AND(IF(Metadata!D44="",FALSE,TRUE),OR(exact(Metadata!D44,"missing: not collected"),exact(Metadata!D44,"missing: not provided"))),AND(IF(Metadata!D44="",FALSE,TRUE),OR(exact(Metadata!D44,"UBERON:zone of skin"),exact(Metadata!D44,"UBERON:skin of hand"),exact(Metadata!D44,"UBERON:skin of forehead"))))</f>
        <v>0</v>
      </c>
      <c r="T44">
        <f>AND(IF(Metadata!E44="",FALSE,TRUE),exact(Metadata!E44,"human skin metagenome"))</f>
        <v>0</v>
      </c>
      <c r="U44">
        <f>AND(IF(Metadata!F44="",FALSE,TRUE),exact(Metadata!F44,"539655"))</f>
        <v>0</v>
      </c>
    </row>
    <row r="45" spans="1:21">
      <c r="A45" s="4">
        <f>IF(B45=" "," ",HYPERLINK(CONCATENATE("#metadata!",ADDRESS(INDEX($L$2:$L$1001,MATCH(ROWS($J$2:J45),$J$2:$J$1001,0),0),1)),INDEX($O$2:$O$1001,MATCH(ROWS($J$2:J45),$J$2:$J$1001,0),0)))</f>
        <v>0</v>
      </c>
      <c r="B45" s="3">
        <f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>0</v>
      </c>
      <c r="C45" s="3">
        <f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>0</v>
      </c>
      <c r="D45" s="3">
        <f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>0</v>
      </c>
      <c r="E45" s="3">
        <f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>0</v>
      </c>
      <c r="F45" s="3">
        <f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>0</v>
      </c>
      <c r="J45">
        <v>0</v>
      </c>
      <c r="K45">
        <v>0</v>
      </c>
      <c r="L45">
        <v>0</v>
      </c>
      <c r="M45">
        <f>IF(N45,TRUE,AND(Q45:U45))</f>
        <v>0</v>
      </c>
      <c r="N45">
        <f>COUNTBLANK(Metadata!B45:F45)=COLUMNS(Metadata!B45:F45)</f>
        <v>0</v>
      </c>
      <c r="O45">
        <v>0</v>
      </c>
      <c r="Q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>
        <f>AND(IF(Metadata!C45="",FALSE,TRUE),exact(Metadata!C45,"human-skin"))</f>
        <v>0</v>
      </c>
      <c r="S45">
        <f>OR(AND(IF(Metadata!D45="",FALSE,TRUE),OR(exact(Metadata!D45,"missing: not collected"),exact(Metadata!D45,"missing: not provided"))),AND(IF(Metadata!D45="",FALSE,TRUE),OR(exact(Metadata!D45,"UBERON:zone of skin"),exact(Metadata!D45,"UBERON:skin of hand"),exact(Metadata!D45,"UBERON:skin of forehead"))))</f>
        <v>0</v>
      </c>
      <c r="T45">
        <f>AND(IF(Metadata!E45="",FALSE,TRUE),exact(Metadata!E45,"human skin metagenome"))</f>
        <v>0</v>
      </c>
      <c r="U45">
        <f>AND(IF(Metadata!F45="",FALSE,TRUE),exact(Metadata!F45,"539655"))</f>
        <v>0</v>
      </c>
    </row>
    <row r="46" spans="1:21">
      <c r="A46" s="4">
        <f>IF(B46=" "," ",HYPERLINK(CONCATENATE("#metadata!",ADDRESS(INDEX($L$2:$L$1001,MATCH(ROWS($J$2:J46),$J$2:$J$1001,0),0),1)),INDEX($O$2:$O$1001,MATCH(ROWS($J$2:J46),$J$2:$J$1001,0),0)))</f>
        <v>0</v>
      </c>
      <c r="B46" s="3">
        <f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>0</v>
      </c>
      <c r="C46" s="3">
        <f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>0</v>
      </c>
      <c r="D46" s="3">
        <f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>0</v>
      </c>
      <c r="E46" s="3">
        <f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>0</v>
      </c>
      <c r="F46" s="3">
        <f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>0</v>
      </c>
      <c r="J46">
        <v>0</v>
      </c>
      <c r="K46">
        <v>0</v>
      </c>
      <c r="L46">
        <v>0</v>
      </c>
      <c r="M46">
        <f>IF(N46,TRUE,AND(Q46:U46))</f>
        <v>0</v>
      </c>
      <c r="N46">
        <f>COUNTBLANK(Metadata!B46:F46)=COLUMNS(Metadata!B46:F46)</f>
        <v>0</v>
      </c>
      <c r="O46">
        <v>0</v>
      </c>
      <c r="Q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>
        <f>AND(IF(Metadata!C46="",FALSE,TRUE),exact(Metadata!C46,"human-skin"))</f>
        <v>0</v>
      </c>
      <c r="S46">
        <f>OR(AND(IF(Metadata!D46="",FALSE,TRUE),OR(exact(Metadata!D46,"missing: not collected"),exact(Metadata!D46,"missing: not provided"))),AND(IF(Metadata!D46="",FALSE,TRUE),OR(exact(Metadata!D46,"UBERON:zone of skin"),exact(Metadata!D46,"UBERON:skin of hand"),exact(Metadata!D46,"UBERON:skin of forehead"))))</f>
        <v>0</v>
      </c>
      <c r="T46">
        <f>AND(IF(Metadata!E46="",FALSE,TRUE),exact(Metadata!E46,"human skin metagenome"))</f>
        <v>0</v>
      </c>
      <c r="U46">
        <f>AND(IF(Metadata!F46="",FALSE,TRUE),exact(Metadata!F46,"539655"))</f>
        <v>0</v>
      </c>
    </row>
    <row r="47" spans="1:21">
      <c r="A47" s="4">
        <f>IF(B47=" "," ",HYPERLINK(CONCATENATE("#metadata!",ADDRESS(INDEX($L$2:$L$1001,MATCH(ROWS($J$2:J47),$J$2:$J$1001,0),0),1)),INDEX($O$2:$O$1001,MATCH(ROWS($J$2:J47),$J$2:$J$1001,0),0)))</f>
        <v>0</v>
      </c>
      <c r="B47" s="3">
        <f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>0</v>
      </c>
      <c r="C47" s="3">
        <f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>0</v>
      </c>
      <c r="D47" s="3">
        <f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>0</v>
      </c>
      <c r="E47" s="3">
        <f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>0</v>
      </c>
      <c r="F47" s="3">
        <f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>0</v>
      </c>
      <c r="J47">
        <v>0</v>
      </c>
      <c r="K47">
        <v>0</v>
      </c>
      <c r="L47">
        <v>0</v>
      </c>
      <c r="M47">
        <f>IF(N47,TRUE,AND(Q47:U47))</f>
        <v>0</v>
      </c>
      <c r="N47">
        <f>COUNTBLANK(Metadata!B47:F47)=COLUMNS(Metadata!B47:F47)</f>
        <v>0</v>
      </c>
      <c r="O47">
        <v>0</v>
      </c>
      <c r="Q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>
        <f>AND(IF(Metadata!C47="",FALSE,TRUE),exact(Metadata!C47,"human-skin"))</f>
        <v>0</v>
      </c>
      <c r="S47">
        <f>OR(AND(IF(Metadata!D47="",FALSE,TRUE),OR(exact(Metadata!D47,"missing: not collected"),exact(Metadata!D47,"missing: not provided"))),AND(IF(Metadata!D47="",FALSE,TRUE),OR(exact(Metadata!D47,"UBERON:zone of skin"),exact(Metadata!D47,"UBERON:skin of hand"),exact(Metadata!D47,"UBERON:skin of forehead"))))</f>
        <v>0</v>
      </c>
      <c r="T47">
        <f>AND(IF(Metadata!E47="",FALSE,TRUE),exact(Metadata!E47,"human skin metagenome"))</f>
        <v>0</v>
      </c>
      <c r="U47">
        <f>AND(IF(Metadata!F47="",FALSE,TRUE),exact(Metadata!F47,"539655"))</f>
        <v>0</v>
      </c>
    </row>
    <row r="48" spans="1:21">
      <c r="A48" s="4">
        <f>IF(B48=" "," ",HYPERLINK(CONCATENATE("#metadata!",ADDRESS(INDEX($L$2:$L$1001,MATCH(ROWS($J$2:J48),$J$2:$J$1001,0),0),1)),INDEX($O$2:$O$1001,MATCH(ROWS($J$2:J48),$J$2:$J$1001,0),0)))</f>
        <v>0</v>
      </c>
      <c r="B48" s="3">
        <f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>0</v>
      </c>
      <c r="C48" s="3">
        <f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>0</v>
      </c>
      <c r="D48" s="3">
        <f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>0</v>
      </c>
      <c r="E48" s="3">
        <f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>0</v>
      </c>
      <c r="F48" s="3">
        <f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>0</v>
      </c>
      <c r="J48">
        <v>0</v>
      </c>
      <c r="K48">
        <v>0</v>
      </c>
      <c r="L48">
        <v>0</v>
      </c>
      <c r="M48">
        <f>IF(N48,TRUE,AND(Q48:U48))</f>
        <v>0</v>
      </c>
      <c r="N48">
        <f>COUNTBLANK(Metadata!B48:F48)=COLUMNS(Metadata!B48:F48)</f>
        <v>0</v>
      </c>
      <c r="O48">
        <v>0</v>
      </c>
      <c r="Q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>
        <f>AND(IF(Metadata!C48="",FALSE,TRUE),exact(Metadata!C48,"human-skin"))</f>
        <v>0</v>
      </c>
      <c r="S48">
        <f>OR(AND(IF(Metadata!D48="",FALSE,TRUE),OR(exact(Metadata!D48,"missing: not collected"),exact(Metadata!D48,"missing: not provided"))),AND(IF(Metadata!D48="",FALSE,TRUE),OR(exact(Metadata!D48,"UBERON:zone of skin"),exact(Metadata!D48,"UBERON:skin of hand"),exact(Metadata!D48,"UBERON:skin of forehead"))))</f>
        <v>0</v>
      </c>
      <c r="T48">
        <f>AND(IF(Metadata!E48="",FALSE,TRUE),exact(Metadata!E48,"human skin metagenome"))</f>
        <v>0</v>
      </c>
      <c r="U48">
        <f>AND(IF(Metadata!F48="",FALSE,TRUE),exact(Metadata!F48,"539655"))</f>
        <v>0</v>
      </c>
    </row>
    <row r="49" spans="1:21">
      <c r="A49" s="4">
        <f>IF(B49=" "," ",HYPERLINK(CONCATENATE("#metadata!",ADDRESS(INDEX($L$2:$L$1001,MATCH(ROWS($J$2:J49),$J$2:$J$1001,0),0),1)),INDEX($O$2:$O$1001,MATCH(ROWS($J$2:J49),$J$2:$J$1001,0),0)))</f>
        <v>0</v>
      </c>
      <c r="B49" s="3">
        <f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>0</v>
      </c>
      <c r="C49" s="3">
        <f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>0</v>
      </c>
      <c r="D49" s="3">
        <f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>0</v>
      </c>
      <c r="E49" s="3">
        <f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>0</v>
      </c>
      <c r="F49" s="3">
        <f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>0</v>
      </c>
      <c r="J49">
        <v>0</v>
      </c>
      <c r="K49">
        <v>0</v>
      </c>
      <c r="L49">
        <v>0</v>
      </c>
      <c r="M49">
        <f>IF(N49,TRUE,AND(Q49:U49))</f>
        <v>0</v>
      </c>
      <c r="N49">
        <f>COUNTBLANK(Metadata!B49:F49)=COLUMNS(Metadata!B49:F49)</f>
        <v>0</v>
      </c>
      <c r="O49">
        <v>0</v>
      </c>
      <c r="Q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>
        <f>AND(IF(Metadata!C49="",FALSE,TRUE),exact(Metadata!C49,"human-skin"))</f>
        <v>0</v>
      </c>
      <c r="S49">
        <f>OR(AND(IF(Metadata!D49="",FALSE,TRUE),OR(exact(Metadata!D49,"missing: not collected"),exact(Metadata!D49,"missing: not provided"))),AND(IF(Metadata!D49="",FALSE,TRUE),OR(exact(Metadata!D49,"UBERON:zone of skin"),exact(Metadata!D49,"UBERON:skin of hand"),exact(Metadata!D49,"UBERON:skin of forehead"))))</f>
        <v>0</v>
      </c>
      <c r="T49">
        <f>AND(IF(Metadata!E49="",FALSE,TRUE),exact(Metadata!E49,"human skin metagenome"))</f>
        <v>0</v>
      </c>
      <c r="U49">
        <f>AND(IF(Metadata!F49="",FALSE,TRUE),exact(Metadata!F49,"539655"))</f>
        <v>0</v>
      </c>
    </row>
    <row r="50" spans="1:21">
      <c r="A50" s="4">
        <f>IF(B50=" "," ",HYPERLINK(CONCATENATE("#metadata!",ADDRESS(INDEX($L$2:$L$1001,MATCH(ROWS($J$2:J50),$J$2:$J$1001,0),0),1)),INDEX($O$2:$O$1001,MATCH(ROWS($J$2:J50),$J$2:$J$1001,0),0)))</f>
        <v>0</v>
      </c>
      <c r="B50" s="3">
        <f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>0</v>
      </c>
      <c r="C50" s="3">
        <f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>0</v>
      </c>
      <c r="D50" s="3">
        <f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>0</v>
      </c>
      <c r="E50" s="3">
        <f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>0</v>
      </c>
      <c r="F50" s="3">
        <f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>0</v>
      </c>
      <c r="J50">
        <v>0</v>
      </c>
      <c r="K50">
        <v>0</v>
      </c>
      <c r="L50">
        <v>0</v>
      </c>
      <c r="M50">
        <f>IF(N50,TRUE,AND(Q50:U50))</f>
        <v>0</v>
      </c>
      <c r="N50">
        <f>COUNTBLANK(Metadata!B50:F50)=COLUMNS(Metadata!B50:F50)</f>
        <v>0</v>
      </c>
      <c r="O50">
        <v>0</v>
      </c>
      <c r="Q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>
        <f>AND(IF(Metadata!C50="",FALSE,TRUE),exact(Metadata!C50,"human-skin"))</f>
        <v>0</v>
      </c>
      <c r="S50">
        <f>OR(AND(IF(Metadata!D50="",FALSE,TRUE),OR(exact(Metadata!D50,"missing: not collected"),exact(Metadata!D50,"missing: not provided"))),AND(IF(Metadata!D50="",FALSE,TRUE),OR(exact(Metadata!D50,"UBERON:zone of skin"),exact(Metadata!D50,"UBERON:skin of hand"),exact(Metadata!D50,"UBERON:skin of forehead"))))</f>
        <v>0</v>
      </c>
      <c r="T50">
        <f>AND(IF(Metadata!E50="",FALSE,TRUE),exact(Metadata!E50,"human skin metagenome"))</f>
        <v>0</v>
      </c>
      <c r="U50">
        <f>AND(IF(Metadata!F50="",FALSE,TRUE),exact(Metadata!F50,"539655"))</f>
        <v>0</v>
      </c>
    </row>
    <row r="51" spans="1:21">
      <c r="A51" s="4">
        <f>IF(B51=" "," ",HYPERLINK(CONCATENATE("#metadata!",ADDRESS(INDEX($L$2:$L$1001,MATCH(ROWS($J$2:J51),$J$2:$J$1001,0),0),1)),INDEX($O$2:$O$1001,MATCH(ROWS($J$2:J51),$J$2:$J$1001,0),0)))</f>
        <v>0</v>
      </c>
      <c r="B51" s="3">
        <f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>0</v>
      </c>
      <c r="C51" s="3">
        <f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>0</v>
      </c>
      <c r="D51" s="3">
        <f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>0</v>
      </c>
      <c r="E51" s="3">
        <f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>0</v>
      </c>
      <c r="F51" s="3">
        <f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>0</v>
      </c>
      <c r="J51">
        <v>0</v>
      </c>
      <c r="K51">
        <v>0</v>
      </c>
      <c r="L51">
        <v>0</v>
      </c>
      <c r="M51">
        <f>IF(N51,TRUE,AND(Q51:U51))</f>
        <v>0</v>
      </c>
      <c r="N51">
        <f>COUNTBLANK(Metadata!B51:F51)=COLUMNS(Metadata!B51:F51)</f>
        <v>0</v>
      </c>
      <c r="O51">
        <v>0</v>
      </c>
      <c r="Q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>
        <f>AND(IF(Metadata!C51="",FALSE,TRUE),exact(Metadata!C51,"human-skin"))</f>
        <v>0</v>
      </c>
      <c r="S51">
        <f>OR(AND(IF(Metadata!D51="",FALSE,TRUE),OR(exact(Metadata!D51,"missing: not collected"),exact(Metadata!D51,"missing: not provided"))),AND(IF(Metadata!D51="",FALSE,TRUE),OR(exact(Metadata!D51,"UBERON:zone of skin"),exact(Metadata!D51,"UBERON:skin of hand"),exact(Metadata!D51,"UBERON:skin of forehead"))))</f>
        <v>0</v>
      </c>
      <c r="T51">
        <f>AND(IF(Metadata!E51="",FALSE,TRUE),exact(Metadata!E51,"human skin metagenome"))</f>
        <v>0</v>
      </c>
      <c r="U51">
        <f>AND(IF(Metadata!F51="",FALSE,TRUE),exact(Metadata!F51,"539655"))</f>
        <v>0</v>
      </c>
    </row>
    <row r="52" spans="1:21">
      <c r="A52" s="4">
        <f>IF(B52=" "," ",HYPERLINK(CONCATENATE("#metadata!",ADDRESS(INDEX($L$2:$L$1001,MATCH(ROWS($J$2:J52),$J$2:$J$1001,0),0),1)),INDEX($O$2:$O$1001,MATCH(ROWS($J$2:J52),$J$2:$J$1001,0),0)))</f>
        <v>0</v>
      </c>
      <c r="B52" s="3">
        <f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>0</v>
      </c>
      <c r="C52" s="3">
        <f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>0</v>
      </c>
      <c r="D52" s="3">
        <f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>0</v>
      </c>
      <c r="E52" s="3">
        <f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>0</v>
      </c>
      <c r="F52" s="3">
        <f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>0</v>
      </c>
      <c r="J52">
        <v>0</v>
      </c>
      <c r="K52">
        <v>0</v>
      </c>
      <c r="L52">
        <v>0</v>
      </c>
      <c r="M52">
        <f>IF(N52,TRUE,AND(Q52:U52))</f>
        <v>0</v>
      </c>
      <c r="N52">
        <f>COUNTBLANK(Metadata!B52:F52)=COLUMNS(Metadata!B52:F52)</f>
        <v>0</v>
      </c>
      <c r="O52">
        <v>0</v>
      </c>
      <c r="Q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>
        <f>AND(IF(Metadata!C52="",FALSE,TRUE),exact(Metadata!C52,"human-skin"))</f>
        <v>0</v>
      </c>
      <c r="S52">
        <f>OR(AND(IF(Metadata!D52="",FALSE,TRUE),OR(exact(Metadata!D52,"missing: not collected"),exact(Metadata!D52,"missing: not provided"))),AND(IF(Metadata!D52="",FALSE,TRUE),OR(exact(Metadata!D52,"UBERON:zone of skin"),exact(Metadata!D52,"UBERON:skin of hand"),exact(Metadata!D52,"UBERON:skin of forehead"))))</f>
        <v>0</v>
      </c>
      <c r="T52">
        <f>AND(IF(Metadata!E52="",FALSE,TRUE),exact(Metadata!E52,"human skin metagenome"))</f>
        <v>0</v>
      </c>
      <c r="U52">
        <f>AND(IF(Metadata!F52="",FALSE,TRUE),exact(Metadata!F52,"539655"))</f>
        <v>0</v>
      </c>
    </row>
    <row r="53" spans="1:21">
      <c r="A53" s="4">
        <f>IF(B53=" "," ",HYPERLINK(CONCATENATE("#metadata!",ADDRESS(INDEX($L$2:$L$1001,MATCH(ROWS($J$2:J53),$J$2:$J$1001,0),0),1)),INDEX($O$2:$O$1001,MATCH(ROWS($J$2:J53),$J$2:$J$1001,0),0)))</f>
        <v>0</v>
      </c>
      <c r="B53" s="3">
        <f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>0</v>
      </c>
      <c r="C53" s="3">
        <f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>0</v>
      </c>
      <c r="D53" s="3">
        <f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>0</v>
      </c>
      <c r="E53" s="3">
        <f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>0</v>
      </c>
      <c r="F53" s="3">
        <f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>0</v>
      </c>
      <c r="J53">
        <v>0</v>
      </c>
      <c r="K53">
        <v>0</v>
      </c>
      <c r="L53">
        <v>0</v>
      </c>
      <c r="M53">
        <f>IF(N53,TRUE,AND(Q53:U53))</f>
        <v>0</v>
      </c>
      <c r="N53">
        <f>COUNTBLANK(Metadata!B53:F53)=COLUMNS(Metadata!B53:F53)</f>
        <v>0</v>
      </c>
      <c r="O53">
        <v>0</v>
      </c>
      <c r="Q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>
        <f>AND(IF(Metadata!C53="",FALSE,TRUE),exact(Metadata!C53,"human-skin"))</f>
        <v>0</v>
      </c>
      <c r="S53">
        <f>OR(AND(IF(Metadata!D53="",FALSE,TRUE),OR(exact(Metadata!D53,"missing: not collected"),exact(Metadata!D53,"missing: not provided"))),AND(IF(Metadata!D53="",FALSE,TRUE),OR(exact(Metadata!D53,"UBERON:zone of skin"),exact(Metadata!D53,"UBERON:skin of hand"),exact(Metadata!D53,"UBERON:skin of forehead"))))</f>
        <v>0</v>
      </c>
      <c r="T53">
        <f>AND(IF(Metadata!E53="",FALSE,TRUE),exact(Metadata!E53,"human skin metagenome"))</f>
        <v>0</v>
      </c>
      <c r="U53">
        <f>AND(IF(Metadata!F53="",FALSE,TRUE),exact(Metadata!F53,"539655"))</f>
        <v>0</v>
      </c>
    </row>
    <row r="54" spans="1:21">
      <c r="A54" s="4">
        <f>IF(B54=" "," ",HYPERLINK(CONCATENATE("#metadata!",ADDRESS(INDEX($L$2:$L$1001,MATCH(ROWS($J$2:J54),$J$2:$J$1001,0),0),1)),INDEX($O$2:$O$1001,MATCH(ROWS($J$2:J54),$J$2:$J$1001,0),0)))</f>
        <v>0</v>
      </c>
      <c r="B54" s="3">
        <f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>0</v>
      </c>
      <c r="C54" s="3">
        <f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>0</v>
      </c>
      <c r="D54" s="3">
        <f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>0</v>
      </c>
      <c r="E54" s="3">
        <f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>0</v>
      </c>
      <c r="F54" s="3">
        <f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>0</v>
      </c>
      <c r="J54">
        <v>0</v>
      </c>
      <c r="K54">
        <v>0</v>
      </c>
      <c r="L54">
        <v>0</v>
      </c>
      <c r="M54">
        <f>IF(N54,TRUE,AND(Q54:U54))</f>
        <v>0</v>
      </c>
      <c r="N54">
        <f>COUNTBLANK(Metadata!B54:F54)=COLUMNS(Metadata!B54:F54)</f>
        <v>0</v>
      </c>
      <c r="O54">
        <v>0</v>
      </c>
      <c r="Q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>
        <f>AND(IF(Metadata!C54="",FALSE,TRUE),exact(Metadata!C54,"human-skin"))</f>
        <v>0</v>
      </c>
      <c r="S54">
        <f>OR(AND(IF(Metadata!D54="",FALSE,TRUE),OR(exact(Metadata!D54,"missing: not collected"),exact(Metadata!D54,"missing: not provided"))),AND(IF(Metadata!D54="",FALSE,TRUE),OR(exact(Metadata!D54,"UBERON:zone of skin"),exact(Metadata!D54,"UBERON:skin of hand"),exact(Metadata!D54,"UBERON:skin of forehead"))))</f>
        <v>0</v>
      </c>
      <c r="T54">
        <f>AND(IF(Metadata!E54="",FALSE,TRUE),exact(Metadata!E54,"human skin metagenome"))</f>
        <v>0</v>
      </c>
      <c r="U54">
        <f>AND(IF(Metadata!F54="",FALSE,TRUE),exact(Metadata!F54,"539655"))</f>
        <v>0</v>
      </c>
    </row>
    <row r="55" spans="1:21">
      <c r="A55" s="4">
        <f>IF(B55=" "," ",HYPERLINK(CONCATENATE("#metadata!",ADDRESS(INDEX($L$2:$L$1001,MATCH(ROWS($J$2:J55),$J$2:$J$1001,0),0),1)),INDEX($O$2:$O$1001,MATCH(ROWS($J$2:J55),$J$2:$J$1001,0),0)))</f>
        <v>0</v>
      </c>
      <c r="B55" s="3">
        <f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>0</v>
      </c>
      <c r="C55" s="3">
        <f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>0</v>
      </c>
      <c r="D55" s="3">
        <f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>0</v>
      </c>
      <c r="E55" s="3">
        <f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>0</v>
      </c>
      <c r="F55" s="3">
        <f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>0</v>
      </c>
      <c r="J55">
        <v>0</v>
      </c>
      <c r="K55">
        <v>0</v>
      </c>
      <c r="L55">
        <v>0</v>
      </c>
      <c r="M55">
        <f>IF(N55,TRUE,AND(Q55:U55))</f>
        <v>0</v>
      </c>
      <c r="N55">
        <f>COUNTBLANK(Metadata!B55:F55)=COLUMNS(Metadata!B55:F55)</f>
        <v>0</v>
      </c>
      <c r="O55">
        <v>0</v>
      </c>
      <c r="Q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>
        <f>AND(IF(Metadata!C55="",FALSE,TRUE),exact(Metadata!C55,"human-skin"))</f>
        <v>0</v>
      </c>
      <c r="S55">
        <f>OR(AND(IF(Metadata!D55="",FALSE,TRUE),OR(exact(Metadata!D55,"missing: not collected"),exact(Metadata!D55,"missing: not provided"))),AND(IF(Metadata!D55="",FALSE,TRUE),OR(exact(Metadata!D55,"UBERON:zone of skin"),exact(Metadata!D55,"UBERON:skin of hand"),exact(Metadata!D55,"UBERON:skin of forehead"))))</f>
        <v>0</v>
      </c>
      <c r="T55">
        <f>AND(IF(Metadata!E55="",FALSE,TRUE),exact(Metadata!E55,"human skin metagenome"))</f>
        <v>0</v>
      </c>
      <c r="U55">
        <f>AND(IF(Metadata!F55="",FALSE,TRUE),exact(Metadata!F55,"539655"))</f>
        <v>0</v>
      </c>
    </row>
    <row r="56" spans="1:21">
      <c r="A56" s="4">
        <f>IF(B56=" "," ",HYPERLINK(CONCATENATE("#metadata!",ADDRESS(INDEX($L$2:$L$1001,MATCH(ROWS($J$2:J56),$J$2:$J$1001,0),0),1)),INDEX($O$2:$O$1001,MATCH(ROWS($J$2:J56),$J$2:$J$1001,0),0)))</f>
        <v>0</v>
      </c>
      <c r="B56" s="3">
        <f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>0</v>
      </c>
      <c r="C56" s="3">
        <f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>0</v>
      </c>
      <c r="D56" s="3">
        <f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>0</v>
      </c>
      <c r="E56" s="3">
        <f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>0</v>
      </c>
      <c r="F56" s="3">
        <f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>0</v>
      </c>
      <c r="J56">
        <v>0</v>
      </c>
      <c r="K56">
        <v>0</v>
      </c>
      <c r="L56">
        <v>0</v>
      </c>
      <c r="M56">
        <f>IF(N56,TRUE,AND(Q56:U56))</f>
        <v>0</v>
      </c>
      <c r="N56">
        <f>COUNTBLANK(Metadata!B56:F56)=COLUMNS(Metadata!B56:F56)</f>
        <v>0</v>
      </c>
      <c r="O56">
        <v>0</v>
      </c>
      <c r="Q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>
        <f>AND(IF(Metadata!C56="",FALSE,TRUE),exact(Metadata!C56,"human-skin"))</f>
        <v>0</v>
      </c>
      <c r="S56">
        <f>OR(AND(IF(Metadata!D56="",FALSE,TRUE),OR(exact(Metadata!D56,"missing: not collected"),exact(Metadata!D56,"missing: not provided"))),AND(IF(Metadata!D56="",FALSE,TRUE),OR(exact(Metadata!D56,"UBERON:zone of skin"),exact(Metadata!D56,"UBERON:skin of hand"),exact(Metadata!D56,"UBERON:skin of forehead"))))</f>
        <v>0</v>
      </c>
      <c r="T56">
        <f>AND(IF(Metadata!E56="",FALSE,TRUE),exact(Metadata!E56,"human skin metagenome"))</f>
        <v>0</v>
      </c>
      <c r="U56">
        <f>AND(IF(Metadata!F56="",FALSE,TRUE),exact(Metadata!F56,"539655"))</f>
        <v>0</v>
      </c>
    </row>
    <row r="57" spans="1:21">
      <c r="A57" s="4">
        <f>IF(B57=" "," ",HYPERLINK(CONCATENATE("#metadata!",ADDRESS(INDEX($L$2:$L$1001,MATCH(ROWS($J$2:J57),$J$2:$J$1001,0),0),1)),INDEX($O$2:$O$1001,MATCH(ROWS($J$2:J57),$J$2:$J$1001,0),0)))</f>
        <v>0</v>
      </c>
      <c r="B57" s="3">
        <f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>0</v>
      </c>
      <c r="C57" s="3">
        <f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>0</v>
      </c>
      <c r="D57" s="3">
        <f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>0</v>
      </c>
      <c r="E57" s="3">
        <f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>0</v>
      </c>
      <c r="F57" s="3">
        <f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>0</v>
      </c>
      <c r="J57">
        <v>0</v>
      </c>
      <c r="K57">
        <v>0</v>
      </c>
      <c r="L57">
        <v>0</v>
      </c>
      <c r="M57">
        <f>IF(N57,TRUE,AND(Q57:U57))</f>
        <v>0</v>
      </c>
      <c r="N57">
        <f>COUNTBLANK(Metadata!B57:F57)=COLUMNS(Metadata!B57:F57)</f>
        <v>0</v>
      </c>
      <c r="O57">
        <v>0</v>
      </c>
      <c r="Q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>
        <f>AND(IF(Metadata!C57="",FALSE,TRUE),exact(Metadata!C57,"human-skin"))</f>
        <v>0</v>
      </c>
      <c r="S57">
        <f>OR(AND(IF(Metadata!D57="",FALSE,TRUE),OR(exact(Metadata!D57,"missing: not collected"),exact(Metadata!D57,"missing: not provided"))),AND(IF(Metadata!D57="",FALSE,TRUE),OR(exact(Metadata!D57,"UBERON:zone of skin"),exact(Metadata!D57,"UBERON:skin of hand"),exact(Metadata!D57,"UBERON:skin of forehead"))))</f>
        <v>0</v>
      </c>
      <c r="T57">
        <f>AND(IF(Metadata!E57="",FALSE,TRUE),exact(Metadata!E57,"human skin metagenome"))</f>
        <v>0</v>
      </c>
      <c r="U57">
        <f>AND(IF(Metadata!F57="",FALSE,TRUE),exact(Metadata!F57,"539655"))</f>
        <v>0</v>
      </c>
    </row>
    <row r="58" spans="1:21">
      <c r="A58" s="4">
        <f>IF(B58=" "," ",HYPERLINK(CONCATENATE("#metadata!",ADDRESS(INDEX($L$2:$L$1001,MATCH(ROWS($J$2:J58),$J$2:$J$1001,0),0),1)),INDEX($O$2:$O$1001,MATCH(ROWS($J$2:J58),$J$2:$J$1001,0),0)))</f>
        <v>0</v>
      </c>
      <c r="B58" s="3">
        <f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>0</v>
      </c>
      <c r="C58" s="3">
        <f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>0</v>
      </c>
      <c r="D58" s="3">
        <f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>0</v>
      </c>
      <c r="E58" s="3">
        <f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>0</v>
      </c>
      <c r="F58" s="3">
        <f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>0</v>
      </c>
      <c r="J58">
        <v>0</v>
      </c>
      <c r="K58">
        <v>0</v>
      </c>
      <c r="L58">
        <v>0</v>
      </c>
      <c r="M58">
        <f>IF(N58,TRUE,AND(Q58:U58))</f>
        <v>0</v>
      </c>
      <c r="N58">
        <f>COUNTBLANK(Metadata!B58:F58)=COLUMNS(Metadata!B58:F58)</f>
        <v>0</v>
      </c>
      <c r="O58">
        <v>0</v>
      </c>
      <c r="Q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>
        <f>AND(IF(Metadata!C58="",FALSE,TRUE),exact(Metadata!C58,"human-skin"))</f>
        <v>0</v>
      </c>
      <c r="S58">
        <f>OR(AND(IF(Metadata!D58="",FALSE,TRUE),OR(exact(Metadata!D58,"missing: not collected"),exact(Metadata!D58,"missing: not provided"))),AND(IF(Metadata!D58="",FALSE,TRUE),OR(exact(Metadata!D58,"UBERON:zone of skin"),exact(Metadata!D58,"UBERON:skin of hand"),exact(Metadata!D58,"UBERON:skin of forehead"))))</f>
        <v>0</v>
      </c>
      <c r="T58">
        <f>AND(IF(Metadata!E58="",FALSE,TRUE),exact(Metadata!E58,"human skin metagenome"))</f>
        <v>0</v>
      </c>
      <c r="U58">
        <f>AND(IF(Metadata!F58="",FALSE,TRUE),exact(Metadata!F58,"539655"))</f>
        <v>0</v>
      </c>
    </row>
    <row r="59" spans="1:21">
      <c r="A59" s="4">
        <f>IF(B59=" "," ",HYPERLINK(CONCATENATE("#metadata!",ADDRESS(INDEX($L$2:$L$1001,MATCH(ROWS($J$2:J59),$J$2:$J$1001,0),0),1)),INDEX($O$2:$O$1001,MATCH(ROWS($J$2:J59),$J$2:$J$1001,0),0)))</f>
        <v>0</v>
      </c>
      <c r="B59" s="3">
        <f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>0</v>
      </c>
      <c r="C59" s="3">
        <f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>0</v>
      </c>
      <c r="D59" s="3">
        <f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>0</v>
      </c>
      <c r="E59" s="3">
        <f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>0</v>
      </c>
      <c r="F59" s="3">
        <f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>0</v>
      </c>
      <c r="J59">
        <v>0</v>
      </c>
      <c r="K59">
        <v>0</v>
      </c>
      <c r="L59">
        <v>0</v>
      </c>
      <c r="M59">
        <f>IF(N59,TRUE,AND(Q59:U59))</f>
        <v>0</v>
      </c>
      <c r="N59">
        <f>COUNTBLANK(Metadata!B59:F59)=COLUMNS(Metadata!B59:F59)</f>
        <v>0</v>
      </c>
      <c r="O59">
        <v>0</v>
      </c>
      <c r="Q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>
        <f>AND(IF(Metadata!C59="",FALSE,TRUE),exact(Metadata!C59,"human-skin"))</f>
        <v>0</v>
      </c>
      <c r="S59">
        <f>OR(AND(IF(Metadata!D59="",FALSE,TRUE),OR(exact(Metadata!D59,"missing: not collected"),exact(Metadata!D59,"missing: not provided"))),AND(IF(Metadata!D59="",FALSE,TRUE),OR(exact(Metadata!D59,"UBERON:zone of skin"),exact(Metadata!D59,"UBERON:skin of hand"),exact(Metadata!D59,"UBERON:skin of forehead"))))</f>
        <v>0</v>
      </c>
      <c r="T59">
        <f>AND(IF(Metadata!E59="",FALSE,TRUE),exact(Metadata!E59,"human skin metagenome"))</f>
        <v>0</v>
      </c>
      <c r="U59">
        <f>AND(IF(Metadata!F59="",FALSE,TRUE),exact(Metadata!F59,"539655"))</f>
        <v>0</v>
      </c>
    </row>
    <row r="60" spans="1:21">
      <c r="A60" s="4">
        <f>IF(B60=" "," ",HYPERLINK(CONCATENATE("#metadata!",ADDRESS(INDEX($L$2:$L$1001,MATCH(ROWS($J$2:J60),$J$2:$J$1001,0),0),1)),INDEX($O$2:$O$1001,MATCH(ROWS($J$2:J60),$J$2:$J$1001,0),0)))</f>
        <v>0</v>
      </c>
      <c r="B60" s="3">
        <f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>0</v>
      </c>
      <c r="C60" s="3">
        <f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>0</v>
      </c>
      <c r="D60" s="3">
        <f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>0</v>
      </c>
      <c r="E60" s="3">
        <f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>0</v>
      </c>
      <c r="F60" s="3">
        <f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>0</v>
      </c>
      <c r="J60">
        <v>0</v>
      </c>
      <c r="K60">
        <v>0</v>
      </c>
      <c r="L60">
        <v>0</v>
      </c>
      <c r="M60">
        <f>IF(N60,TRUE,AND(Q60:U60))</f>
        <v>0</v>
      </c>
      <c r="N60">
        <f>COUNTBLANK(Metadata!B60:F60)=COLUMNS(Metadata!B60:F60)</f>
        <v>0</v>
      </c>
      <c r="O60">
        <v>0</v>
      </c>
      <c r="Q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>
        <f>AND(IF(Metadata!C60="",FALSE,TRUE),exact(Metadata!C60,"human-skin"))</f>
        <v>0</v>
      </c>
      <c r="S60">
        <f>OR(AND(IF(Metadata!D60="",FALSE,TRUE),OR(exact(Metadata!D60,"missing: not collected"),exact(Metadata!D60,"missing: not provided"))),AND(IF(Metadata!D60="",FALSE,TRUE),OR(exact(Metadata!D60,"UBERON:zone of skin"),exact(Metadata!D60,"UBERON:skin of hand"),exact(Metadata!D60,"UBERON:skin of forehead"))))</f>
        <v>0</v>
      </c>
      <c r="T60">
        <f>AND(IF(Metadata!E60="",FALSE,TRUE),exact(Metadata!E60,"human skin metagenome"))</f>
        <v>0</v>
      </c>
      <c r="U60">
        <f>AND(IF(Metadata!F60="",FALSE,TRUE),exact(Metadata!F60,"539655"))</f>
        <v>0</v>
      </c>
    </row>
    <row r="61" spans="1:21">
      <c r="A61" s="4">
        <f>IF(B61=" "," ",HYPERLINK(CONCATENATE("#metadata!",ADDRESS(INDEX($L$2:$L$1001,MATCH(ROWS($J$2:J61),$J$2:$J$1001,0),0),1)),INDEX($O$2:$O$1001,MATCH(ROWS($J$2:J61),$J$2:$J$1001,0),0)))</f>
        <v>0</v>
      </c>
      <c r="B61" s="3">
        <f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>0</v>
      </c>
      <c r="C61" s="3">
        <f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>0</v>
      </c>
      <c r="D61" s="3">
        <f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>0</v>
      </c>
      <c r="E61" s="3">
        <f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>0</v>
      </c>
      <c r="F61" s="3">
        <f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>0</v>
      </c>
      <c r="J61">
        <v>0</v>
      </c>
      <c r="K61">
        <v>0</v>
      </c>
      <c r="L61">
        <v>0</v>
      </c>
      <c r="M61">
        <f>IF(N61,TRUE,AND(Q61:U61))</f>
        <v>0</v>
      </c>
      <c r="N61">
        <f>COUNTBLANK(Metadata!B61:F61)=COLUMNS(Metadata!B61:F61)</f>
        <v>0</v>
      </c>
      <c r="O61">
        <v>0</v>
      </c>
      <c r="Q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>
        <f>AND(IF(Metadata!C61="",FALSE,TRUE),exact(Metadata!C61,"human-skin"))</f>
        <v>0</v>
      </c>
      <c r="S61">
        <f>OR(AND(IF(Metadata!D61="",FALSE,TRUE),OR(exact(Metadata!D61,"missing: not collected"),exact(Metadata!D61,"missing: not provided"))),AND(IF(Metadata!D61="",FALSE,TRUE),OR(exact(Metadata!D61,"UBERON:zone of skin"),exact(Metadata!D61,"UBERON:skin of hand"),exact(Metadata!D61,"UBERON:skin of forehead"))))</f>
        <v>0</v>
      </c>
      <c r="T61">
        <f>AND(IF(Metadata!E61="",FALSE,TRUE),exact(Metadata!E61,"human skin metagenome"))</f>
        <v>0</v>
      </c>
      <c r="U61">
        <f>AND(IF(Metadata!F61="",FALSE,TRUE),exact(Metadata!F61,"539655"))</f>
        <v>0</v>
      </c>
    </row>
    <row r="62" spans="1:21">
      <c r="A62" s="4">
        <f>IF(B62=" "," ",HYPERLINK(CONCATENATE("#metadata!",ADDRESS(INDEX($L$2:$L$1001,MATCH(ROWS($J$2:J62),$J$2:$J$1001,0),0),1)),INDEX($O$2:$O$1001,MATCH(ROWS($J$2:J62),$J$2:$J$1001,0),0)))</f>
        <v>0</v>
      </c>
      <c r="B62" s="3">
        <f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>0</v>
      </c>
      <c r="C62" s="3">
        <f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>0</v>
      </c>
      <c r="D62" s="3">
        <f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>0</v>
      </c>
      <c r="E62" s="3">
        <f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>0</v>
      </c>
      <c r="F62" s="3">
        <f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>0</v>
      </c>
      <c r="J62">
        <v>0</v>
      </c>
      <c r="K62">
        <v>0</v>
      </c>
      <c r="L62">
        <v>0</v>
      </c>
      <c r="M62">
        <f>IF(N62,TRUE,AND(Q62:U62))</f>
        <v>0</v>
      </c>
      <c r="N62">
        <f>COUNTBLANK(Metadata!B62:F62)=COLUMNS(Metadata!B62:F62)</f>
        <v>0</v>
      </c>
      <c r="O62">
        <v>0</v>
      </c>
      <c r="Q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>
        <f>AND(IF(Metadata!C62="",FALSE,TRUE),exact(Metadata!C62,"human-skin"))</f>
        <v>0</v>
      </c>
      <c r="S62">
        <f>OR(AND(IF(Metadata!D62="",FALSE,TRUE),OR(exact(Metadata!D62,"missing: not collected"),exact(Metadata!D62,"missing: not provided"))),AND(IF(Metadata!D62="",FALSE,TRUE),OR(exact(Metadata!D62,"UBERON:zone of skin"),exact(Metadata!D62,"UBERON:skin of hand"),exact(Metadata!D62,"UBERON:skin of forehead"))))</f>
        <v>0</v>
      </c>
      <c r="T62">
        <f>AND(IF(Metadata!E62="",FALSE,TRUE),exact(Metadata!E62,"human skin metagenome"))</f>
        <v>0</v>
      </c>
      <c r="U62">
        <f>AND(IF(Metadata!F62="",FALSE,TRUE),exact(Metadata!F62,"539655"))</f>
        <v>0</v>
      </c>
    </row>
    <row r="63" spans="1:21">
      <c r="A63" s="4">
        <f>IF(B63=" "," ",HYPERLINK(CONCATENATE("#metadata!",ADDRESS(INDEX($L$2:$L$1001,MATCH(ROWS($J$2:J63),$J$2:$J$1001,0),0),1)),INDEX($O$2:$O$1001,MATCH(ROWS($J$2:J63),$J$2:$J$1001,0),0)))</f>
        <v>0</v>
      </c>
      <c r="B63" s="3">
        <f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>0</v>
      </c>
      <c r="C63" s="3">
        <f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>0</v>
      </c>
      <c r="D63" s="3">
        <f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>0</v>
      </c>
      <c r="E63" s="3">
        <f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>0</v>
      </c>
      <c r="F63" s="3">
        <f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>0</v>
      </c>
      <c r="J63">
        <v>0</v>
      </c>
      <c r="K63">
        <v>0</v>
      </c>
      <c r="L63">
        <v>0</v>
      </c>
      <c r="M63">
        <f>IF(N63,TRUE,AND(Q63:U63))</f>
        <v>0</v>
      </c>
      <c r="N63">
        <f>COUNTBLANK(Metadata!B63:F63)=COLUMNS(Metadata!B63:F63)</f>
        <v>0</v>
      </c>
      <c r="O63">
        <v>0</v>
      </c>
      <c r="Q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>
        <f>AND(IF(Metadata!C63="",FALSE,TRUE),exact(Metadata!C63,"human-skin"))</f>
        <v>0</v>
      </c>
      <c r="S63">
        <f>OR(AND(IF(Metadata!D63="",FALSE,TRUE),OR(exact(Metadata!D63,"missing: not collected"),exact(Metadata!D63,"missing: not provided"))),AND(IF(Metadata!D63="",FALSE,TRUE),OR(exact(Metadata!D63,"UBERON:zone of skin"),exact(Metadata!D63,"UBERON:skin of hand"),exact(Metadata!D63,"UBERON:skin of forehead"))))</f>
        <v>0</v>
      </c>
      <c r="T63">
        <f>AND(IF(Metadata!E63="",FALSE,TRUE),exact(Metadata!E63,"human skin metagenome"))</f>
        <v>0</v>
      </c>
      <c r="U63">
        <f>AND(IF(Metadata!F63="",FALSE,TRUE),exact(Metadata!F63,"539655"))</f>
        <v>0</v>
      </c>
    </row>
    <row r="64" spans="1:21">
      <c r="A64" s="4">
        <f>IF(B64=" "," ",HYPERLINK(CONCATENATE("#metadata!",ADDRESS(INDEX($L$2:$L$1001,MATCH(ROWS($J$2:J64),$J$2:$J$1001,0),0),1)),INDEX($O$2:$O$1001,MATCH(ROWS($J$2:J64),$J$2:$J$1001,0),0)))</f>
        <v>0</v>
      </c>
      <c r="B64" s="3">
        <f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>0</v>
      </c>
      <c r="C64" s="3">
        <f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>0</v>
      </c>
      <c r="D64" s="3">
        <f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>0</v>
      </c>
      <c r="E64" s="3">
        <f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>0</v>
      </c>
      <c r="F64" s="3">
        <f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>0</v>
      </c>
      <c r="J64">
        <v>0</v>
      </c>
      <c r="K64">
        <v>0</v>
      </c>
      <c r="L64">
        <v>0</v>
      </c>
      <c r="M64">
        <f>IF(N64,TRUE,AND(Q64:U64))</f>
        <v>0</v>
      </c>
      <c r="N64">
        <f>COUNTBLANK(Metadata!B64:F64)=COLUMNS(Metadata!B64:F64)</f>
        <v>0</v>
      </c>
      <c r="O64">
        <v>0</v>
      </c>
      <c r="Q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>
        <f>AND(IF(Metadata!C64="",FALSE,TRUE),exact(Metadata!C64,"human-skin"))</f>
        <v>0</v>
      </c>
      <c r="S64">
        <f>OR(AND(IF(Metadata!D64="",FALSE,TRUE),OR(exact(Metadata!D64,"missing: not collected"),exact(Metadata!D64,"missing: not provided"))),AND(IF(Metadata!D64="",FALSE,TRUE),OR(exact(Metadata!D64,"UBERON:zone of skin"),exact(Metadata!D64,"UBERON:skin of hand"),exact(Metadata!D64,"UBERON:skin of forehead"))))</f>
        <v>0</v>
      </c>
      <c r="T64">
        <f>AND(IF(Metadata!E64="",FALSE,TRUE),exact(Metadata!E64,"human skin metagenome"))</f>
        <v>0</v>
      </c>
      <c r="U64">
        <f>AND(IF(Metadata!F64="",FALSE,TRUE),exact(Metadata!F64,"539655"))</f>
        <v>0</v>
      </c>
    </row>
    <row r="65" spans="1:21">
      <c r="A65" s="4">
        <f>IF(B65=" "," ",HYPERLINK(CONCATENATE("#metadata!",ADDRESS(INDEX($L$2:$L$1001,MATCH(ROWS($J$2:J65),$J$2:$J$1001,0),0),1)),INDEX($O$2:$O$1001,MATCH(ROWS($J$2:J65),$J$2:$J$1001,0),0)))</f>
        <v>0</v>
      </c>
      <c r="B65" s="3">
        <f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>0</v>
      </c>
      <c r="C65" s="3">
        <f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>0</v>
      </c>
      <c r="D65" s="3">
        <f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>0</v>
      </c>
      <c r="E65" s="3">
        <f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>0</v>
      </c>
      <c r="F65" s="3">
        <f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>0</v>
      </c>
      <c r="J65">
        <v>0</v>
      </c>
      <c r="K65">
        <v>0</v>
      </c>
      <c r="L65">
        <v>0</v>
      </c>
      <c r="M65">
        <f>IF(N65,TRUE,AND(Q65:U65))</f>
        <v>0</v>
      </c>
      <c r="N65">
        <f>COUNTBLANK(Metadata!B65:F65)=COLUMNS(Metadata!B65:F65)</f>
        <v>0</v>
      </c>
      <c r="O65">
        <v>0</v>
      </c>
      <c r="Q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>
        <f>AND(IF(Metadata!C65="",FALSE,TRUE),exact(Metadata!C65,"human-skin"))</f>
        <v>0</v>
      </c>
      <c r="S65">
        <f>OR(AND(IF(Metadata!D65="",FALSE,TRUE),OR(exact(Metadata!D65,"missing: not collected"),exact(Metadata!D65,"missing: not provided"))),AND(IF(Metadata!D65="",FALSE,TRUE),OR(exact(Metadata!D65,"UBERON:zone of skin"),exact(Metadata!D65,"UBERON:skin of hand"),exact(Metadata!D65,"UBERON:skin of forehead"))))</f>
        <v>0</v>
      </c>
      <c r="T65">
        <f>AND(IF(Metadata!E65="",FALSE,TRUE),exact(Metadata!E65,"human skin metagenome"))</f>
        <v>0</v>
      </c>
      <c r="U65">
        <f>AND(IF(Metadata!F65="",FALSE,TRUE),exact(Metadata!F65,"539655"))</f>
        <v>0</v>
      </c>
    </row>
    <row r="66" spans="1:21">
      <c r="A66" s="4">
        <f>IF(B66=" "," ",HYPERLINK(CONCATENATE("#metadata!",ADDRESS(INDEX($L$2:$L$1001,MATCH(ROWS($J$2:J66),$J$2:$J$1001,0),0),1)),INDEX($O$2:$O$1001,MATCH(ROWS($J$2:J66),$J$2:$J$1001,0),0)))</f>
        <v>0</v>
      </c>
      <c r="B66" s="3">
        <f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>0</v>
      </c>
      <c r="C66" s="3">
        <f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>0</v>
      </c>
      <c r="D66" s="3">
        <f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>0</v>
      </c>
      <c r="E66" s="3">
        <f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>0</v>
      </c>
      <c r="F66" s="3">
        <f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>0</v>
      </c>
      <c r="J66">
        <v>0</v>
      </c>
      <c r="K66">
        <v>0</v>
      </c>
      <c r="L66">
        <v>0</v>
      </c>
      <c r="M66">
        <f>IF(N66,TRUE,AND(Q66:U66))</f>
        <v>0</v>
      </c>
      <c r="N66">
        <f>COUNTBLANK(Metadata!B66:F66)=COLUMNS(Metadata!B66:F66)</f>
        <v>0</v>
      </c>
      <c r="O66">
        <v>0</v>
      </c>
      <c r="Q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>
        <f>AND(IF(Metadata!C66="",FALSE,TRUE),exact(Metadata!C66,"human-skin"))</f>
        <v>0</v>
      </c>
      <c r="S66">
        <f>OR(AND(IF(Metadata!D66="",FALSE,TRUE),OR(exact(Metadata!D66,"missing: not collected"),exact(Metadata!D66,"missing: not provided"))),AND(IF(Metadata!D66="",FALSE,TRUE),OR(exact(Metadata!D66,"UBERON:zone of skin"),exact(Metadata!D66,"UBERON:skin of hand"),exact(Metadata!D66,"UBERON:skin of forehead"))))</f>
        <v>0</v>
      </c>
      <c r="T66">
        <f>AND(IF(Metadata!E66="",FALSE,TRUE),exact(Metadata!E66,"human skin metagenome"))</f>
        <v>0</v>
      </c>
      <c r="U66">
        <f>AND(IF(Metadata!F66="",FALSE,TRUE),exact(Metadata!F66,"539655"))</f>
        <v>0</v>
      </c>
    </row>
    <row r="67" spans="1:21">
      <c r="A67" s="4">
        <f>IF(B67=" "," ",HYPERLINK(CONCATENATE("#metadata!",ADDRESS(INDEX($L$2:$L$1001,MATCH(ROWS($J$2:J67),$J$2:$J$1001,0),0),1)),INDEX($O$2:$O$1001,MATCH(ROWS($J$2:J67),$J$2:$J$1001,0),0)))</f>
        <v>0</v>
      </c>
      <c r="B67" s="3">
        <f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>0</v>
      </c>
      <c r="C67" s="3">
        <f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>0</v>
      </c>
      <c r="D67" s="3">
        <f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>0</v>
      </c>
      <c r="E67" s="3">
        <f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>0</v>
      </c>
      <c r="F67" s="3">
        <f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>0</v>
      </c>
      <c r="J67">
        <v>0</v>
      </c>
      <c r="K67">
        <v>0</v>
      </c>
      <c r="L67">
        <v>0</v>
      </c>
      <c r="M67">
        <f>IF(N67,TRUE,AND(Q67:U67))</f>
        <v>0</v>
      </c>
      <c r="N67">
        <f>COUNTBLANK(Metadata!B67:F67)=COLUMNS(Metadata!B67:F67)</f>
        <v>0</v>
      </c>
      <c r="O67">
        <v>0</v>
      </c>
      <c r="Q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>
        <f>AND(IF(Metadata!C67="",FALSE,TRUE),exact(Metadata!C67,"human-skin"))</f>
        <v>0</v>
      </c>
      <c r="S67">
        <f>OR(AND(IF(Metadata!D67="",FALSE,TRUE),OR(exact(Metadata!D67,"missing: not collected"),exact(Metadata!D67,"missing: not provided"))),AND(IF(Metadata!D67="",FALSE,TRUE),OR(exact(Metadata!D67,"UBERON:zone of skin"),exact(Metadata!D67,"UBERON:skin of hand"),exact(Metadata!D67,"UBERON:skin of forehead"))))</f>
        <v>0</v>
      </c>
      <c r="T67">
        <f>AND(IF(Metadata!E67="",FALSE,TRUE),exact(Metadata!E67,"human skin metagenome"))</f>
        <v>0</v>
      </c>
      <c r="U67">
        <f>AND(IF(Metadata!F67="",FALSE,TRUE),exact(Metadata!F67,"539655"))</f>
        <v>0</v>
      </c>
    </row>
    <row r="68" spans="1:21">
      <c r="A68" s="4">
        <f>IF(B68=" "," ",HYPERLINK(CONCATENATE("#metadata!",ADDRESS(INDEX($L$2:$L$1001,MATCH(ROWS($J$2:J68),$J$2:$J$1001,0),0),1)),INDEX($O$2:$O$1001,MATCH(ROWS($J$2:J68),$J$2:$J$1001,0),0)))</f>
        <v>0</v>
      </c>
      <c r="B68" s="3">
        <f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>0</v>
      </c>
      <c r="C68" s="3">
        <f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>0</v>
      </c>
      <c r="D68" s="3">
        <f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>0</v>
      </c>
      <c r="E68" s="3">
        <f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>0</v>
      </c>
      <c r="F68" s="3">
        <f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>0</v>
      </c>
      <c r="J68">
        <v>0</v>
      </c>
      <c r="K68">
        <v>0</v>
      </c>
      <c r="L68">
        <v>0</v>
      </c>
      <c r="M68">
        <f>IF(N68,TRUE,AND(Q68:U68))</f>
        <v>0</v>
      </c>
      <c r="N68">
        <f>COUNTBLANK(Metadata!B68:F68)=COLUMNS(Metadata!B68:F68)</f>
        <v>0</v>
      </c>
      <c r="O68">
        <v>0</v>
      </c>
      <c r="Q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>
        <f>AND(IF(Metadata!C68="",FALSE,TRUE),exact(Metadata!C68,"human-skin"))</f>
        <v>0</v>
      </c>
      <c r="S68">
        <f>OR(AND(IF(Metadata!D68="",FALSE,TRUE),OR(exact(Metadata!D68,"missing: not collected"),exact(Metadata!D68,"missing: not provided"))),AND(IF(Metadata!D68="",FALSE,TRUE),OR(exact(Metadata!D68,"UBERON:zone of skin"),exact(Metadata!D68,"UBERON:skin of hand"),exact(Metadata!D68,"UBERON:skin of forehead"))))</f>
        <v>0</v>
      </c>
      <c r="T68">
        <f>AND(IF(Metadata!E68="",FALSE,TRUE),exact(Metadata!E68,"human skin metagenome"))</f>
        <v>0</v>
      </c>
      <c r="U68">
        <f>AND(IF(Metadata!F68="",FALSE,TRUE),exact(Metadata!F68,"539655"))</f>
        <v>0</v>
      </c>
    </row>
    <row r="69" spans="1:21">
      <c r="A69" s="4">
        <f>IF(B69=" "," ",HYPERLINK(CONCATENATE("#metadata!",ADDRESS(INDEX($L$2:$L$1001,MATCH(ROWS($J$2:J69),$J$2:$J$1001,0),0),1)),INDEX($O$2:$O$1001,MATCH(ROWS($J$2:J69),$J$2:$J$1001,0),0)))</f>
        <v>0</v>
      </c>
      <c r="B69" s="3">
        <f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>0</v>
      </c>
      <c r="C69" s="3">
        <f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>0</v>
      </c>
      <c r="D69" s="3">
        <f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>0</v>
      </c>
      <c r="E69" s="3">
        <f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>0</v>
      </c>
      <c r="F69" s="3">
        <f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>0</v>
      </c>
      <c r="J69">
        <v>0</v>
      </c>
      <c r="K69">
        <v>0</v>
      </c>
      <c r="L69">
        <v>0</v>
      </c>
      <c r="M69">
        <f>IF(N69,TRUE,AND(Q69:U69))</f>
        <v>0</v>
      </c>
      <c r="N69">
        <f>COUNTBLANK(Metadata!B69:F69)=COLUMNS(Metadata!B69:F69)</f>
        <v>0</v>
      </c>
      <c r="O69">
        <v>0</v>
      </c>
      <c r="Q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>
        <f>AND(IF(Metadata!C69="",FALSE,TRUE),exact(Metadata!C69,"human-skin"))</f>
        <v>0</v>
      </c>
      <c r="S69">
        <f>OR(AND(IF(Metadata!D69="",FALSE,TRUE),OR(exact(Metadata!D69,"missing: not collected"),exact(Metadata!D69,"missing: not provided"))),AND(IF(Metadata!D69="",FALSE,TRUE),OR(exact(Metadata!D69,"UBERON:zone of skin"),exact(Metadata!D69,"UBERON:skin of hand"),exact(Metadata!D69,"UBERON:skin of forehead"))))</f>
        <v>0</v>
      </c>
      <c r="T69">
        <f>AND(IF(Metadata!E69="",FALSE,TRUE),exact(Metadata!E69,"human skin metagenome"))</f>
        <v>0</v>
      </c>
      <c r="U69">
        <f>AND(IF(Metadata!F69="",FALSE,TRUE),exact(Metadata!F69,"539655"))</f>
        <v>0</v>
      </c>
    </row>
    <row r="70" spans="1:21">
      <c r="A70" s="4">
        <f>IF(B70=" "," ",HYPERLINK(CONCATENATE("#metadata!",ADDRESS(INDEX($L$2:$L$1001,MATCH(ROWS($J$2:J70),$J$2:$J$1001,0),0),1)),INDEX($O$2:$O$1001,MATCH(ROWS($J$2:J70),$J$2:$J$1001,0),0)))</f>
        <v>0</v>
      </c>
      <c r="B70" s="3">
        <f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>0</v>
      </c>
      <c r="C70" s="3">
        <f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>0</v>
      </c>
      <c r="D70" s="3">
        <f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>0</v>
      </c>
      <c r="E70" s="3">
        <f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>0</v>
      </c>
      <c r="F70" s="3">
        <f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>0</v>
      </c>
      <c r="J70">
        <v>0</v>
      </c>
      <c r="K70">
        <v>0</v>
      </c>
      <c r="L70">
        <v>0</v>
      </c>
      <c r="M70">
        <f>IF(N70,TRUE,AND(Q70:U70))</f>
        <v>0</v>
      </c>
      <c r="N70">
        <f>COUNTBLANK(Metadata!B70:F70)=COLUMNS(Metadata!B70:F70)</f>
        <v>0</v>
      </c>
      <c r="O70">
        <v>0</v>
      </c>
      <c r="Q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>
        <f>AND(IF(Metadata!C70="",FALSE,TRUE),exact(Metadata!C70,"human-skin"))</f>
        <v>0</v>
      </c>
      <c r="S70">
        <f>OR(AND(IF(Metadata!D70="",FALSE,TRUE),OR(exact(Metadata!D70,"missing: not collected"),exact(Metadata!D70,"missing: not provided"))),AND(IF(Metadata!D70="",FALSE,TRUE),OR(exact(Metadata!D70,"UBERON:zone of skin"),exact(Metadata!D70,"UBERON:skin of hand"),exact(Metadata!D70,"UBERON:skin of forehead"))))</f>
        <v>0</v>
      </c>
      <c r="T70">
        <f>AND(IF(Metadata!E70="",FALSE,TRUE),exact(Metadata!E70,"human skin metagenome"))</f>
        <v>0</v>
      </c>
      <c r="U70">
        <f>AND(IF(Metadata!F70="",FALSE,TRUE),exact(Metadata!F70,"539655"))</f>
        <v>0</v>
      </c>
    </row>
    <row r="71" spans="1:21">
      <c r="A71" s="4">
        <f>IF(B71=" "," ",HYPERLINK(CONCATENATE("#metadata!",ADDRESS(INDEX($L$2:$L$1001,MATCH(ROWS($J$2:J71),$J$2:$J$1001,0),0),1)),INDEX($O$2:$O$1001,MATCH(ROWS($J$2:J71),$J$2:$J$1001,0),0)))</f>
        <v>0</v>
      </c>
      <c r="B71" s="3">
        <f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>0</v>
      </c>
      <c r="C71" s="3">
        <f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>0</v>
      </c>
      <c r="D71" s="3">
        <f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>0</v>
      </c>
      <c r="E71" s="3">
        <f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>0</v>
      </c>
      <c r="F71" s="3">
        <f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>0</v>
      </c>
      <c r="J71">
        <v>0</v>
      </c>
      <c r="K71">
        <v>0</v>
      </c>
      <c r="L71">
        <v>0</v>
      </c>
      <c r="M71">
        <f>IF(N71,TRUE,AND(Q71:U71))</f>
        <v>0</v>
      </c>
      <c r="N71">
        <f>COUNTBLANK(Metadata!B71:F71)=COLUMNS(Metadata!B71:F71)</f>
        <v>0</v>
      </c>
      <c r="O71">
        <v>0</v>
      </c>
      <c r="Q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>
        <f>AND(IF(Metadata!C71="",FALSE,TRUE),exact(Metadata!C71,"human-skin"))</f>
        <v>0</v>
      </c>
      <c r="S71">
        <f>OR(AND(IF(Metadata!D71="",FALSE,TRUE),OR(exact(Metadata!D71,"missing: not collected"),exact(Metadata!D71,"missing: not provided"))),AND(IF(Metadata!D71="",FALSE,TRUE),OR(exact(Metadata!D71,"UBERON:zone of skin"),exact(Metadata!D71,"UBERON:skin of hand"),exact(Metadata!D71,"UBERON:skin of forehead"))))</f>
        <v>0</v>
      </c>
      <c r="T71">
        <f>AND(IF(Metadata!E71="",FALSE,TRUE),exact(Metadata!E71,"human skin metagenome"))</f>
        <v>0</v>
      </c>
      <c r="U71">
        <f>AND(IF(Metadata!F71="",FALSE,TRUE),exact(Metadata!F71,"539655"))</f>
        <v>0</v>
      </c>
    </row>
    <row r="72" spans="1:21">
      <c r="A72" s="4">
        <f>IF(B72=" "," ",HYPERLINK(CONCATENATE("#metadata!",ADDRESS(INDEX($L$2:$L$1001,MATCH(ROWS($J$2:J72),$J$2:$J$1001,0),0),1)),INDEX($O$2:$O$1001,MATCH(ROWS($J$2:J72),$J$2:$J$1001,0),0)))</f>
        <v>0</v>
      </c>
      <c r="B72" s="3">
        <f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>0</v>
      </c>
      <c r="C72" s="3">
        <f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>0</v>
      </c>
      <c r="D72" s="3">
        <f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>0</v>
      </c>
      <c r="E72" s="3">
        <f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>0</v>
      </c>
      <c r="F72" s="3">
        <f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>0</v>
      </c>
      <c r="J72">
        <v>0</v>
      </c>
      <c r="K72">
        <v>0</v>
      </c>
      <c r="L72">
        <v>0</v>
      </c>
      <c r="M72">
        <f>IF(N72,TRUE,AND(Q72:U72))</f>
        <v>0</v>
      </c>
      <c r="N72">
        <f>COUNTBLANK(Metadata!B72:F72)=COLUMNS(Metadata!B72:F72)</f>
        <v>0</v>
      </c>
      <c r="O72">
        <v>0</v>
      </c>
      <c r="Q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>
        <f>AND(IF(Metadata!C72="",FALSE,TRUE),exact(Metadata!C72,"human-skin"))</f>
        <v>0</v>
      </c>
      <c r="S72">
        <f>OR(AND(IF(Metadata!D72="",FALSE,TRUE),OR(exact(Metadata!D72,"missing: not collected"),exact(Metadata!D72,"missing: not provided"))),AND(IF(Metadata!D72="",FALSE,TRUE),OR(exact(Metadata!D72,"UBERON:zone of skin"),exact(Metadata!D72,"UBERON:skin of hand"),exact(Metadata!D72,"UBERON:skin of forehead"))))</f>
        <v>0</v>
      </c>
      <c r="T72">
        <f>AND(IF(Metadata!E72="",FALSE,TRUE),exact(Metadata!E72,"human skin metagenome"))</f>
        <v>0</v>
      </c>
      <c r="U72">
        <f>AND(IF(Metadata!F72="",FALSE,TRUE),exact(Metadata!F72,"539655"))</f>
        <v>0</v>
      </c>
    </row>
    <row r="73" spans="1:21">
      <c r="A73" s="4">
        <f>IF(B73=" "," ",HYPERLINK(CONCATENATE("#metadata!",ADDRESS(INDEX($L$2:$L$1001,MATCH(ROWS($J$2:J73),$J$2:$J$1001,0),0),1)),INDEX($O$2:$O$1001,MATCH(ROWS($J$2:J73),$J$2:$J$1001,0),0)))</f>
        <v>0</v>
      </c>
      <c r="B73" s="3">
        <f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>0</v>
      </c>
      <c r="C73" s="3">
        <f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>0</v>
      </c>
      <c r="D73" s="3">
        <f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>0</v>
      </c>
      <c r="E73" s="3">
        <f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>0</v>
      </c>
      <c r="F73" s="3">
        <f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>0</v>
      </c>
      <c r="J73">
        <v>0</v>
      </c>
      <c r="K73">
        <v>0</v>
      </c>
      <c r="L73">
        <v>0</v>
      </c>
      <c r="M73">
        <f>IF(N73,TRUE,AND(Q73:U73))</f>
        <v>0</v>
      </c>
      <c r="N73">
        <f>COUNTBLANK(Metadata!B73:F73)=COLUMNS(Metadata!B73:F73)</f>
        <v>0</v>
      </c>
      <c r="O73">
        <v>0</v>
      </c>
      <c r="Q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>
        <f>AND(IF(Metadata!C73="",FALSE,TRUE),exact(Metadata!C73,"human-skin"))</f>
        <v>0</v>
      </c>
      <c r="S73">
        <f>OR(AND(IF(Metadata!D73="",FALSE,TRUE),OR(exact(Metadata!D73,"missing: not collected"),exact(Metadata!D73,"missing: not provided"))),AND(IF(Metadata!D73="",FALSE,TRUE),OR(exact(Metadata!D73,"UBERON:zone of skin"),exact(Metadata!D73,"UBERON:skin of hand"),exact(Metadata!D73,"UBERON:skin of forehead"))))</f>
        <v>0</v>
      </c>
      <c r="T73">
        <f>AND(IF(Metadata!E73="",FALSE,TRUE),exact(Metadata!E73,"human skin metagenome"))</f>
        <v>0</v>
      </c>
      <c r="U73">
        <f>AND(IF(Metadata!F73="",FALSE,TRUE),exact(Metadata!F73,"539655"))</f>
        <v>0</v>
      </c>
    </row>
    <row r="74" spans="1:21">
      <c r="A74" s="4">
        <f>IF(B74=" "," ",HYPERLINK(CONCATENATE("#metadata!",ADDRESS(INDEX($L$2:$L$1001,MATCH(ROWS($J$2:J74),$J$2:$J$1001,0),0),1)),INDEX($O$2:$O$1001,MATCH(ROWS($J$2:J74),$J$2:$J$1001,0),0)))</f>
        <v>0</v>
      </c>
      <c r="B74" s="3">
        <f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>0</v>
      </c>
      <c r="C74" s="3">
        <f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>0</v>
      </c>
      <c r="D74" s="3">
        <f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>0</v>
      </c>
      <c r="E74" s="3">
        <f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>0</v>
      </c>
      <c r="F74" s="3">
        <f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>0</v>
      </c>
      <c r="J74">
        <v>0</v>
      </c>
      <c r="K74">
        <v>0</v>
      </c>
      <c r="L74">
        <v>0</v>
      </c>
      <c r="M74">
        <f>IF(N74,TRUE,AND(Q74:U74))</f>
        <v>0</v>
      </c>
      <c r="N74">
        <f>COUNTBLANK(Metadata!B74:F74)=COLUMNS(Metadata!B74:F74)</f>
        <v>0</v>
      </c>
      <c r="O74">
        <v>0</v>
      </c>
      <c r="Q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>
        <f>AND(IF(Metadata!C74="",FALSE,TRUE),exact(Metadata!C74,"human-skin"))</f>
        <v>0</v>
      </c>
      <c r="S74">
        <f>OR(AND(IF(Metadata!D74="",FALSE,TRUE),OR(exact(Metadata!D74,"missing: not collected"),exact(Metadata!D74,"missing: not provided"))),AND(IF(Metadata!D74="",FALSE,TRUE),OR(exact(Metadata!D74,"UBERON:zone of skin"),exact(Metadata!D74,"UBERON:skin of hand"),exact(Metadata!D74,"UBERON:skin of forehead"))))</f>
        <v>0</v>
      </c>
      <c r="T74">
        <f>AND(IF(Metadata!E74="",FALSE,TRUE),exact(Metadata!E74,"human skin metagenome"))</f>
        <v>0</v>
      </c>
      <c r="U74">
        <f>AND(IF(Metadata!F74="",FALSE,TRUE),exact(Metadata!F74,"539655"))</f>
        <v>0</v>
      </c>
    </row>
    <row r="75" spans="1:21">
      <c r="A75" s="4">
        <f>IF(B75=" "," ",HYPERLINK(CONCATENATE("#metadata!",ADDRESS(INDEX($L$2:$L$1001,MATCH(ROWS($J$2:J75),$J$2:$J$1001,0),0),1)),INDEX($O$2:$O$1001,MATCH(ROWS($J$2:J75),$J$2:$J$1001,0),0)))</f>
        <v>0</v>
      </c>
      <c r="B75" s="3">
        <f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>0</v>
      </c>
      <c r="C75" s="3">
        <f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>0</v>
      </c>
      <c r="D75" s="3">
        <f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>0</v>
      </c>
      <c r="E75" s="3">
        <f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>0</v>
      </c>
      <c r="F75" s="3">
        <f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>0</v>
      </c>
      <c r="J75">
        <v>0</v>
      </c>
      <c r="K75">
        <v>0</v>
      </c>
      <c r="L75">
        <v>0</v>
      </c>
      <c r="M75">
        <f>IF(N75,TRUE,AND(Q75:U75))</f>
        <v>0</v>
      </c>
      <c r="N75">
        <f>COUNTBLANK(Metadata!B75:F75)=COLUMNS(Metadata!B75:F75)</f>
        <v>0</v>
      </c>
      <c r="O75">
        <v>0</v>
      </c>
      <c r="Q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>
        <f>AND(IF(Metadata!C75="",FALSE,TRUE),exact(Metadata!C75,"human-skin"))</f>
        <v>0</v>
      </c>
      <c r="S75">
        <f>OR(AND(IF(Metadata!D75="",FALSE,TRUE),OR(exact(Metadata!D75,"missing: not collected"),exact(Metadata!D75,"missing: not provided"))),AND(IF(Metadata!D75="",FALSE,TRUE),OR(exact(Metadata!D75,"UBERON:zone of skin"),exact(Metadata!D75,"UBERON:skin of hand"),exact(Metadata!D75,"UBERON:skin of forehead"))))</f>
        <v>0</v>
      </c>
      <c r="T75">
        <f>AND(IF(Metadata!E75="",FALSE,TRUE),exact(Metadata!E75,"human skin metagenome"))</f>
        <v>0</v>
      </c>
      <c r="U75">
        <f>AND(IF(Metadata!F75="",FALSE,TRUE),exact(Metadata!F75,"539655"))</f>
        <v>0</v>
      </c>
    </row>
    <row r="76" spans="1:21">
      <c r="A76" s="4">
        <f>IF(B76=" "," ",HYPERLINK(CONCATENATE("#metadata!",ADDRESS(INDEX($L$2:$L$1001,MATCH(ROWS($J$2:J76),$J$2:$J$1001,0),0),1)),INDEX($O$2:$O$1001,MATCH(ROWS($J$2:J76),$J$2:$J$1001,0),0)))</f>
        <v>0</v>
      </c>
      <c r="B76" s="3">
        <f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>0</v>
      </c>
      <c r="C76" s="3">
        <f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>0</v>
      </c>
      <c r="D76" s="3">
        <f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>0</v>
      </c>
      <c r="E76" s="3">
        <f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>0</v>
      </c>
      <c r="F76" s="3">
        <f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>0</v>
      </c>
      <c r="J76">
        <v>0</v>
      </c>
      <c r="K76">
        <v>0</v>
      </c>
      <c r="L76">
        <v>0</v>
      </c>
      <c r="M76">
        <f>IF(N76,TRUE,AND(Q76:U76))</f>
        <v>0</v>
      </c>
      <c r="N76">
        <f>COUNTBLANK(Metadata!B76:F76)=COLUMNS(Metadata!B76:F76)</f>
        <v>0</v>
      </c>
      <c r="O76">
        <v>0</v>
      </c>
      <c r="Q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>
        <f>AND(IF(Metadata!C76="",FALSE,TRUE),exact(Metadata!C76,"human-skin"))</f>
        <v>0</v>
      </c>
      <c r="S76">
        <f>OR(AND(IF(Metadata!D76="",FALSE,TRUE),OR(exact(Metadata!D76,"missing: not collected"),exact(Metadata!D76,"missing: not provided"))),AND(IF(Metadata!D76="",FALSE,TRUE),OR(exact(Metadata!D76,"UBERON:zone of skin"),exact(Metadata!D76,"UBERON:skin of hand"),exact(Metadata!D76,"UBERON:skin of forehead"))))</f>
        <v>0</v>
      </c>
      <c r="T76">
        <f>AND(IF(Metadata!E76="",FALSE,TRUE),exact(Metadata!E76,"human skin metagenome"))</f>
        <v>0</v>
      </c>
      <c r="U76">
        <f>AND(IF(Metadata!F76="",FALSE,TRUE),exact(Metadata!F76,"539655"))</f>
        <v>0</v>
      </c>
    </row>
    <row r="77" spans="1:21">
      <c r="A77" s="4">
        <f>IF(B77=" "," ",HYPERLINK(CONCATENATE("#metadata!",ADDRESS(INDEX($L$2:$L$1001,MATCH(ROWS($J$2:J77),$J$2:$J$1001,0),0),1)),INDEX($O$2:$O$1001,MATCH(ROWS($J$2:J77),$J$2:$J$1001,0),0)))</f>
        <v>0</v>
      </c>
      <c r="B77" s="3">
        <f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>0</v>
      </c>
      <c r="C77" s="3">
        <f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>0</v>
      </c>
      <c r="D77" s="3">
        <f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>0</v>
      </c>
      <c r="E77" s="3">
        <f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>0</v>
      </c>
      <c r="F77" s="3">
        <f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>0</v>
      </c>
      <c r="J77">
        <v>0</v>
      </c>
      <c r="K77">
        <v>0</v>
      </c>
      <c r="L77">
        <v>0</v>
      </c>
      <c r="M77">
        <f>IF(N77,TRUE,AND(Q77:U77))</f>
        <v>0</v>
      </c>
      <c r="N77">
        <f>COUNTBLANK(Metadata!B77:F77)=COLUMNS(Metadata!B77:F77)</f>
        <v>0</v>
      </c>
      <c r="O77">
        <v>0</v>
      </c>
      <c r="Q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>
        <f>AND(IF(Metadata!C77="",FALSE,TRUE),exact(Metadata!C77,"human-skin"))</f>
        <v>0</v>
      </c>
      <c r="S77">
        <f>OR(AND(IF(Metadata!D77="",FALSE,TRUE),OR(exact(Metadata!D77,"missing: not collected"),exact(Metadata!D77,"missing: not provided"))),AND(IF(Metadata!D77="",FALSE,TRUE),OR(exact(Metadata!D77,"UBERON:zone of skin"),exact(Metadata!D77,"UBERON:skin of hand"),exact(Metadata!D77,"UBERON:skin of forehead"))))</f>
        <v>0</v>
      </c>
      <c r="T77">
        <f>AND(IF(Metadata!E77="",FALSE,TRUE),exact(Metadata!E77,"human skin metagenome"))</f>
        <v>0</v>
      </c>
      <c r="U77">
        <f>AND(IF(Metadata!F77="",FALSE,TRUE),exact(Metadata!F77,"539655"))</f>
        <v>0</v>
      </c>
    </row>
    <row r="78" spans="1:21">
      <c r="A78" s="4">
        <f>IF(B78=" "," ",HYPERLINK(CONCATENATE("#metadata!",ADDRESS(INDEX($L$2:$L$1001,MATCH(ROWS($J$2:J78),$J$2:$J$1001,0),0),1)),INDEX($O$2:$O$1001,MATCH(ROWS($J$2:J78),$J$2:$J$1001,0),0)))</f>
        <v>0</v>
      </c>
      <c r="B78" s="3">
        <f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>0</v>
      </c>
      <c r="C78" s="3">
        <f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>0</v>
      </c>
      <c r="D78" s="3">
        <f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>0</v>
      </c>
      <c r="E78" s="3">
        <f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>0</v>
      </c>
      <c r="F78" s="3">
        <f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>0</v>
      </c>
      <c r="J78">
        <v>0</v>
      </c>
      <c r="K78">
        <v>0</v>
      </c>
      <c r="L78">
        <v>0</v>
      </c>
      <c r="M78">
        <f>IF(N78,TRUE,AND(Q78:U78))</f>
        <v>0</v>
      </c>
      <c r="N78">
        <f>COUNTBLANK(Metadata!B78:F78)=COLUMNS(Metadata!B78:F78)</f>
        <v>0</v>
      </c>
      <c r="O78">
        <v>0</v>
      </c>
      <c r="Q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>
        <f>AND(IF(Metadata!C78="",FALSE,TRUE),exact(Metadata!C78,"human-skin"))</f>
        <v>0</v>
      </c>
      <c r="S78">
        <f>OR(AND(IF(Metadata!D78="",FALSE,TRUE),OR(exact(Metadata!D78,"missing: not collected"),exact(Metadata!D78,"missing: not provided"))),AND(IF(Metadata!D78="",FALSE,TRUE),OR(exact(Metadata!D78,"UBERON:zone of skin"),exact(Metadata!D78,"UBERON:skin of hand"),exact(Metadata!D78,"UBERON:skin of forehead"))))</f>
        <v>0</v>
      </c>
      <c r="T78">
        <f>AND(IF(Metadata!E78="",FALSE,TRUE),exact(Metadata!E78,"human skin metagenome"))</f>
        <v>0</v>
      </c>
      <c r="U78">
        <f>AND(IF(Metadata!F78="",FALSE,TRUE),exact(Metadata!F78,"539655"))</f>
        <v>0</v>
      </c>
    </row>
    <row r="79" spans="1:21">
      <c r="A79" s="4">
        <f>IF(B79=" "," ",HYPERLINK(CONCATENATE("#metadata!",ADDRESS(INDEX($L$2:$L$1001,MATCH(ROWS($J$2:J79),$J$2:$J$1001,0),0),1)),INDEX($O$2:$O$1001,MATCH(ROWS($J$2:J79),$J$2:$J$1001,0),0)))</f>
        <v>0</v>
      </c>
      <c r="B79" s="3">
        <f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>0</v>
      </c>
      <c r="C79" s="3">
        <f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>0</v>
      </c>
      <c r="D79" s="3">
        <f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>0</v>
      </c>
      <c r="E79" s="3">
        <f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>0</v>
      </c>
      <c r="F79" s="3">
        <f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>0</v>
      </c>
      <c r="J79">
        <v>0</v>
      </c>
      <c r="K79">
        <v>0</v>
      </c>
      <c r="L79">
        <v>0</v>
      </c>
      <c r="M79">
        <f>IF(N79,TRUE,AND(Q79:U79))</f>
        <v>0</v>
      </c>
      <c r="N79">
        <f>COUNTBLANK(Metadata!B79:F79)=COLUMNS(Metadata!B79:F79)</f>
        <v>0</v>
      </c>
      <c r="O79">
        <v>0</v>
      </c>
      <c r="Q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>
        <f>AND(IF(Metadata!C79="",FALSE,TRUE),exact(Metadata!C79,"human-skin"))</f>
        <v>0</v>
      </c>
      <c r="S79">
        <f>OR(AND(IF(Metadata!D79="",FALSE,TRUE),OR(exact(Metadata!D79,"missing: not collected"),exact(Metadata!D79,"missing: not provided"))),AND(IF(Metadata!D79="",FALSE,TRUE),OR(exact(Metadata!D79,"UBERON:zone of skin"),exact(Metadata!D79,"UBERON:skin of hand"),exact(Metadata!D79,"UBERON:skin of forehead"))))</f>
        <v>0</v>
      </c>
      <c r="T79">
        <f>AND(IF(Metadata!E79="",FALSE,TRUE),exact(Metadata!E79,"human skin metagenome"))</f>
        <v>0</v>
      </c>
      <c r="U79">
        <f>AND(IF(Metadata!F79="",FALSE,TRUE),exact(Metadata!F79,"539655"))</f>
        <v>0</v>
      </c>
    </row>
    <row r="80" spans="1:21">
      <c r="A80" s="4">
        <f>IF(B80=" "," ",HYPERLINK(CONCATENATE("#metadata!",ADDRESS(INDEX($L$2:$L$1001,MATCH(ROWS($J$2:J80),$J$2:$J$1001,0),0),1)),INDEX($O$2:$O$1001,MATCH(ROWS($J$2:J80),$J$2:$J$1001,0),0)))</f>
        <v>0</v>
      </c>
      <c r="B80" s="3">
        <f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>0</v>
      </c>
      <c r="C80" s="3">
        <f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>0</v>
      </c>
      <c r="D80" s="3">
        <f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>0</v>
      </c>
      <c r="E80" s="3">
        <f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>0</v>
      </c>
      <c r="F80" s="3">
        <f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>0</v>
      </c>
      <c r="J80">
        <v>0</v>
      </c>
      <c r="K80">
        <v>0</v>
      </c>
      <c r="L80">
        <v>0</v>
      </c>
      <c r="M80">
        <f>IF(N80,TRUE,AND(Q80:U80))</f>
        <v>0</v>
      </c>
      <c r="N80">
        <f>COUNTBLANK(Metadata!B80:F80)=COLUMNS(Metadata!B80:F80)</f>
        <v>0</v>
      </c>
      <c r="O80">
        <v>0</v>
      </c>
      <c r="Q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>
        <f>AND(IF(Metadata!C80="",FALSE,TRUE),exact(Metadata!C80,"human-skin"))</f>
        <v>0</v>
      </c>
      <c r="S80">
        <f>OR(AND(IF(Metadata!D80="",FALSE,TRUE),OR(exact(Metadata!D80,"missing: not collected"),exact(Metadata!D80,"missing: not provided"))),AND(IF(Metadata!D80="",FALSE,TRUE),OR(exact(Metadata!D80,"UBERON:zone of skin"),exact(Metadata!D80,"UBERON:skin of hand"),exact(Metadata!D80,"UBERON:skin of forehead"))))</f>
        <v>0</v>
      </c>
      <c r="T80">
        <f>AND(IF(Metadata!E80="",FALSE,TRUE),exact(Metadata!E80,"human skin metagenome"))</f>
        <v>0</v>
      </c>
      <c r="U80">
        <f>AND(IF(Metadata!F80="",FALSE,TRUE),exact(Metadata!F80,"539655"))</f>
        <v>0</v>
      </c>
    </row>
    <row r="81" spans="1:21">
      <c r="A81" s="4">
        <f>IF(B81=" "," ",HYPERLINK(CONCATENATE("#metadata!",ADDRESS(INDEX($L$2:$L$1001,MATCH(ROWS($J$2:J81),$J$2:$J$1001,0),0),1)),INDEX($O$2:$O$1001,MATCH(ROWS($J$2:J81),$J$2:$J$1001,0),0)))</f>
        <v>0</v>
      </c>
      <c r="B81" s="3">
        <f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>0</v>
      </c>
      <c r="C81" s="3">
        <f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>0</v>
      </c>
      <c r="D81" s="3">
        <f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>0</v>
      </c>
      <c r="E81" s="3">
        <f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>0</v>
      </c>
      <c r="F81" s="3">
        <f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>0</v>
      </c>
      <c r="J81">
        <v>0</v>
      </c>
      <c r="K81">
        <v>0</v>
      </c>
      <c r="L81">
        <v>0</v>
      </c>
      <c r="M81">
        <f>IF(N81,TRUE,AND(Q81:U81))</f>
        <v>0</v>
      </c>
      <c r="N81">
        <f>COUNTBLANK(Metadata!B81:F81)=COLUMNS(Metadata!B81:F81)</f>
        <v>0</v>
      </c>
      <c r="O81">
        <v>0</v>
      </c>
      <c r="Q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>
        <f>AND(IF(Metadata!C81="",FALSE,TRUE),exact(Metadata!C81,"human-skin"))</f>
        <v>0</v>
      </c>
      <c r="S81">
        <f>OR(AND(IF(Metadata!D81="",FALSE,TRUE),OR(exact(Metadata!D81,"missing: not collected"),exact(Metadata!D81,"missing: not provided"))),AND(IF(Metadata!D81="",FALSE,TRUE),OR(exact(Metadata!D81,"UBERON:zone of skin"),exact(Metadata!D81,"UBERON:skin of hand"),exact(Metadata!D81,"UBERON:skin of forehead"))))</f>
        <v>0</v>
      </c>
      <c r="T81">
        <f>AND(IF(Metadata!E81="",FALSE,TRUE),exact(Metadata!E81,"human skin metagenome"))</f>
        <v>0</v>
      </c>
      <c r="U81">
        <f>AND(IF(Metadata!F81="",FALSE,TRUE),exact(Metadata!F81,"539655"))</f>
        <v>0</v>
      </c>
    </row>
    <row r="82" spans="1:21">
      <c r="A82" s="4">
        <f>IF(B82=" "," ",HYPERLINK(CONCATENATE("#metadata!",ADDRESS(INDEX($L$2:$L$1001,MATCH(ROWS($J$2:J82),$J$2:$J$1001,0),0),1)),INDEX($O$2:$O$1001,MATCH(ROWS($J$2:J82),$J$2:$J$1001,0),0)))</f>
        <v>0</v>
      </c>
      <c r="B82" s="3">
        <f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>0</v>
      </c>
      <c r="C82" s="3">
        <f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>0</v>
      </c>
      <c r="D82" s="3">
        <f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>0</v>
      </c>
      <c r="E82" s="3">
        <f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>0</v>
      </c>
      <c r="F82" s="3">
        <f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>0</v>
      </c>
      <c r="J82">
        <v>0</v>
      </c>
      <c r="K82">
        <v>0</v>
      </c>
      <c r="L82">
        <v>0</v>
      </c>
      <c r="M82">
        <f>IF(N82,TRUE,AND(Q82:U82))</f>
        <v>0</v>
      </c>
      <c r="N82">
        <f>COUNTBLANK(Metadata!B82:F82)=COLUMNS(Metadata!B82:F82)</f>
        <v>0</v>
      </c>
      <c r="O82">
        <v>0</v>
      </c>
      <c r="Q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>
        <f>AND(IF(Metadata!C82="",FALSE,TRUE),exact(Metadata!C82,"human-skin"))</f>
        <v>0</v>
      </c>
      <c r="S82">
        <f>OR(AND(IF(Metadata!D82="",FALSE,TRUE),OR(exact(Metadata!D82,"missing: not collected"),exact(Metadata!D82,"missing: not provided"))),AND(IF(Metadata!D82="",FALSE,TRUE),OR(exact(Metadata!D82,"UBERON:zone of skin"),exact(Metadata!D82,"UBERON:skin of hand"),exact(Metadata!D82,"UBERON:skin of forehead"))))</f>
        <v>0</v>
      </c>
      <c r="T82">
        <f>AND(IF(Metadata!E82="",FALSE,TRUE),exact(Metadata!E82,"human skin metagenome"))</f>
        <v>0</v>
      </c>
      <c r="U82">
        <f>AND(IF(Metadata!F82="",FALSE,TRUE),exact(Metadata!F82,"539655"))</f>
        <v>0</v>
      </c>
    </row>
    <row r="83" spans="1:21">
      <c r="A83" s="4">
        <f>IF(B83=" "," ",HYPERLINK(CONCATENATE("#metadata!",ADDRESS(INDEX($L$2:$L$1001,MATCH(ROWS($J$2:J83),$J$2:$J$1001,0),0),1)),INDEX($O$2:$O$1001,MATCH(ROWS($J$2:J83),$J$2:$J$1001,0),0)))</f>
        <v>0</v>
      </c>
      <c r="B83" s="3">
        <f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>0</v>
      </c>
      <c r="C83" s="3">
        <f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>0</v>
      </c>
      <c r="D83" s="3">
        <f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>0</v>
      </c>
      <c r="E83" s="3">
        <f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>0</v>
      </c>
      <c r="F83" s="3">
        <f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>0</v>
      </c>
      <c r="J83">
        <v>0</v>
      </c>
      <c r="K83">
        <v>0</v>
      </c>
      <c r="L83">
        <v>0</v>
      </c>
      <c r="M83">
        <f>IF(N83,TRUE,AND(Q83:U83))</f>
        <v>0</v>
      </c>
      <c r="N83">
        <f>COUNTBLANK(Metadata!B83:F83)=COLUMNS(Metadata!B83:F83)</f>
        <v>0</v>
      </c>
      <c r="O83">
        <v>0</v>
      </c>
      <c r="Q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>
        <f>AND(IF(Metadata!C83="",FALSE,TRUE),exact(Metadata!C83,"human-skin"))</f>
        <v>0</v>
      </c>
      <c r="S83">
        <f>OR(AND(IF(Metadata!D83="",FALSE,TRUE),OR(exact(Metadata!D83,"missing: not collected"),exact(Metadata!D83,"missing: not provided"))),AND(IF(Metadata!D83="",FALSE,TRUE),OR(exact(Metadata!D83,"UBERON:zone of skin"),exact(Metadata!D83,"UBERON:skin of hand"),exact(Metadata!D83,"UBERON:skin of forehead"))))</f>
        <v>0</v>
      </c>
      <c r="T83">
        <f>AND(IF(Metadata!E83="",FALSE,TRUE),exact(Metadata!E83,"human skin metagenome"))</f>
        <v>0</v>
      </c>
      <c r="U83">
        <f>AND(IF(Metadata!F83="",FALSE,TRUE),exact(Metadata!F83,"539655"))</f>
        <v>0</v>
      </c>
    </row>
    <row r="84" spans="1:21">
      <c r="A84" s="4">
        <f>IF(B84=" "," ",HYPERLINK(CONCATENATE("#metadata!",ADDRESS(INDEX($L$2:$L$1001,MATCH(ROWS($J$2:J84),$J$2:$J$1001,0),0),1)),INDEX($O$2:$O$1001,MATCH(ROWS($J$2:J84),$J$2:$J$1001,0),0)))</f>
        <v>0</v>
      </c>
      <c r="B84" s="3">
        <f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>0</v>
      </c>
      <c r="C84" s="3">
        <f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>0</v>
      </c>
      <c r="D84" s="3">
        <f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>0</v>
      </c>
      <c r="E84" s="3">
        <f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>0</v>
      </c>
      <c r="F84" s="3">
        <f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>0</v>
      </c>
      <c r="J84">
        <v>0</v>
      </c>
      <c r="K84">
        <v>0</v>
      </c>
      <c r="L84">
        <v>0</v>
      </c>
      <c r="M84">
        <f>IF(N84,TRUE,AND(Q84:U84))</f>
        <v>0</v>
      </c>
      <c r="N84">
        <f>COUNTBLANK(Metadata!B84:F84)=COLUMNS(Metadata!B84:F84)</f>
        <v>0</v>
      </c>
      <c r="O84">
        <v>0</v>
      </c>
      <c r="Q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>
        <f>AND(IF(Metadata!C84="",FALSE,TRUE),exact(Metadata!C84,"human-skin"))</f>
        <v>0</v>
      </c>
      <c r="S84">
        <f>OR(AND(IF(Metadata!D84="",FALSE,TRUE),OR(exact(Metadata!D84,"missing: not collected"),exact(Metadata!D84,"missing: not provided"))),AND(IF(Metadata!D84="",FALSE,TRUE),OR(exact(Metadata!D84,"UBERON:zone of skin"),exact(Metadata!D84,"UBERON:skin of hand"),exact(Metadata!D84,"UBERON:skin of forehead"))))</f>
        <v>0</v>
      </c>
      <c r="T84">
        <f>AND(IF(Metadata!E84="",FALSE,TRUE),exact(Metadata!E84,"human skin metagenome"))</f>
        <v>0</v>
      </c>
      <c r="U84">
        <f>AND(IF(Metadata!F84="",FALSE,TRUE),exact(Metadata!F84,"539655"))</f>
        <v>0</v>
      </c>
    </row>
    <row r="85" spans="1:21">
      <c r="A85" s="4">
        <f>IF(B85=" "," ",HYPERLINK(CONCATENATE("#metadata!",ADDRESS(INDEX($L$2:$L$1001,MATCH(ROWS($J$2:J85),$J$2:$J$1001,0),0),1)),INDEX($O$2:$O$1001,MATCH(ROWS($J$2:J85),$J$2:$J$1001,0),0)))</f>
        <v>0</v>
      </c>
      <c r="B85" s="3">
        <f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>0</v>
      </c>
      <c r="C85" s="3">
        <f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>0</v>
      </c>
      <c r="D85" s="3">
        <f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>0</v>
      </c>
      <c r="E85" s="3">
        <f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>0</v>
      </c>
      <c r="F85" s="3">
        <f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>0</v>
      </c>
      <c r="J85">
        <v>0</v>
      </c>
      <c r="K85">
        <v>0</v>
      </c>
      <c r="L85">
        <v>0</v>
      </c>
      <c r="M85">
        <f>IF(N85,TRUE,AND(Q85:U85))</f>
        <v>0</v>
      </c>
      <c r="N85">
        <f>COUNTBLANK(Metadata!B85:F85)=COLUMNS(Metadata!B85:F85)</f>
        <v>0</v>
      </c>
      <c r="O85">
        <v>0</v>
      </c>
      <c r="Q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>
        <f>AND(IF(Metadata!C85="",FALSE,TRUE),exact(Metadata!C85,"human-skin"))</f>
        <v>0</v>
      </c>
      <c r="S85">
        <f>OR(AND(IF(Metadata!D85="",FALSE,TRUE),OR(exact(Metadata!D85,"missing: not collected"),exact(Metadata!D85,"missing: not provided"))),AND(IF(Metadata!D85="",FALSE,TRUE),OR(exact(Metadata!D85,"UBERON:zone of skin"),exact(Metadata!D85,"UBERON:skin of hand"),exact(Metadata!D85,"UBERON:skin of forehead"))))</f>
        <v>0</v>
      </c>
      <c r="T85">
        <f>AND(IF(Metadata!E85="",FALSE,TRUE),exact(Metadata!E85,"human skin metagenome"))</f>
        <v>0</v>
      </c>
      <c r="U85">
        <f>AND(IF(Metadata!F85="",FALSE,TRUE),exact(Metadata!F85,"539655"))</f>
        <v>0</v>
      </c>
    </row>
    <row r="86" spans="1:21">
      <c r="A86" s="4">
        <f>IF(B86=" "," ",HYPERLINK(CONCATENATE("#metadata!",ADDRESS(INDEX($L$2:$L$1001,MATCH(ROWS($J$2:J86),$J$2:$J$1001,0),0),1)),INDEX($O$2:$O$1001,MATCH(ROWS($J$2:J86),$J$2:$J$1001,0),0)))</f>
        <v>0</v>
      </c>
      <c r="B86" s="3">
        <f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>0</v>
      </c>
      <c r="C86" s="3">
        <f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>0</v>
      </c>
      <c r="D86" s="3">
        <f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>0</v>
      </c>
      <c r="E86" s="3">
        <f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>0</v>
      </c>
      <c r="F86" s="3">
        <f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>0</v>
      </c>
      <c r="J86">
        <v>0</v>
      </c>
      <c r="K86">
        <v>0</v>
      </c>
      <c r="L86">
        <v>0</v>
      </c>
      <c r="M86">
        <f>IF(N86,TRUE,AND(Q86:U86))</f>
        <v>0</v>
      </c>
      <c r="N86">
        <f>COUNTBLANK(Metadata!B86:F86)=COLUMNS(Metadata!B86:F86)</f>
        <v>0</v>
      </c>
      <c r="O86">
        <v>0</v>
      </c>
      <c r="Q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>
        <f>AND(IF(Metadata!C86="",FALSE,TRUE),exact(Metadata!C86,"human-skin"))</f>
        <v>0</v>
      </c>
      <c r="S86">
        <f>OR(AND(IF(Metadata!D86="",FALSE,TRUE),OR(exact(Metadata!D86,"missing: not collected"),exact(Metadata!D86,"missing: not provided"))),AND(IF(Metadata!D86="",FALSE,TRUE),OR(exact(Metadata!D86,"UBERON:zone of skin"),exact(Metadata!D86,"UBERON:skin of hand"),exact(Metadata!D86,"UBERON:skin of forehead"))))</f>
        <v>0</v>
      </c>
      <c r="T86">
        <f>AND(IF(Metadata!E86="",FALSE,TRUE),exact(Metadata!E86,"human skin metagenome"))</f>
        <v>0</v>
      </c>
      <c r="U86">
        <f>AND(IF(Metadata!F86="",FALSE,TRUE),exact(Metadata!F86,"539655"))</f>
        <v>0</v>
      </c>
    </row>
    <row r="87" spans="1:21">
      <c r="A87" s="4">
        <f>IF(B87=" "," ",HYPERLINK(CONCATENATE("#metadata!",ADDRESS(INDEX($L$2:$L$1001,MATCH(ROWS($J$2:J87),$J$2:$J$1001,0),0),1)),INDEX($O$2:$O$1001,MATCH(ROWS($J$2:J87),$J$2:$J$1001,0),0)))</f>
        <v>0</v>
      </c>
      <c r="B87" s="3">
        <f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>0</v>
      </c>
      <c r="C87" s="3">
        <f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>0</v>
      </c>
      <c r="D87" s="3">
        <f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>0</v>
      </c>
      <c r="E87" s="3">
        <f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>0</v>
      </c>
      <c r="F87" s="3">
        <f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>0</v>
      </c>
      <c r="J87">
        <v>0</v>
      </c>
      <c r="K87">
        <v>0</v>
      </c>
      <c r="L87">
        <v>0</v>
      </c>
      <c r="M87">
        <f>IF(N87,TRUE,AND(Q87:U87))</f>
        <v>0</v>
      </c>
      <c r="N87">
        <f>COUNTBLANK(Metadata!B87:F87)=COLUMNS(Metadata!B87:F87)</f>
        <v>0</v>
      </c>
      <c r="O87">
        <v>0</v>
      </c>
      <c r="Q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>
        <f>AND(IF(Metadata!C87="",FALSE,TRUE),exact(Metadata!C87,"human-skin"))</f>
        <v>0</v>
      </c>
      <c r="S87">
        <f>OR(AND(IF(Metadata!D87="",FALSE,TRUE),OR(exact(Metadata!D87,"missing: not collected"),exact(Metadata!D87,"missing: not provided"))),AND(IF(Metadata!D87="",FALSE,TRUE),OR(exact(Metadata!D87,"UBERON:zone of skin"),exact(Metadata!D87,"UBERON:skin of hand"),exact(Metadata!D87,"UBERON:skin of forehead"))))</f>
        <v>0</v>
      </c>
      <c r="T87">
        <f>AND(IF(Metadata!E87="",FALSE,TRUE),exact(Metadata!E87,"human skin metagenome"))</f>
        <v>0</v>
      </c>
      <c r="U87">
        <f>AND(IF(Metadata!F87="",FALSE,TRUE),exact(Metadata!F87,"539655"))</f>
        <v>0</v>
      </c>
    </row>
    <row r="88" spans="1:21">
      <c r="A88" s="4">
        <f>IF(B88=" "," ",HYPERLINK(CONCATENATE("#metadata!",ADDRESS(INDEX($L$2:$L$1001,MATCH(ROWS($J$2:J88),$J$2:$J$1001,0),0),1)),INDEX($O$2:$O$1001,MATCH(ROWS($J$2:J88),$J$2:$J$1001,0),0)))</f>
        <v>0</v>
      </c>
      <c r="B88" s="3">
        <f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>0</v>
      </c>
      <c r="C88" s="3">
        <f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>0</v>
      </c>
      <c r="D88" s="3">
        <f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>0</v>
      </c>
      <c r="E88" s="3">
        <f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>0</v>
      </c>
      <c r="F88" s="3">
        <f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>0</v>
      </c>
      <c r="J88">
        <v>0</v>
      </c>
      <c r="K88">
        <v>0</v>
      </c>
      <c r="L88">
        <v>0</v>
      </c>
      <c r="M88">
        <f>IF(N88,TRUE,AND(Q88:U88))</f>
        <v>0</v>
      </c>
      <c r="N88">
        <f>COUNTBLANK(Metadata!B88:F88)=COLUMNS(Metadata!B88:F88)</f>
        <v>0</v>
      </c>
      <c r="O88">
        <v>0</v>
      </c>
      <c r="Q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>
        <f>AND(IF(Metadata!C88="",FALSE,TRUE),exact(Metadata!C88,"human-skin"))</f>
        <v>0</v>
      </c>
      <c r="S88">
        <f>OR(AND(IF(Metadata!D88="",FALSE,TRUE),OR(exact(Metadata!D88,"missing: not collected"),exact(Metadata!D88,"missing: not provided"))),AND(IF(Metadata!D88="",FALSE,TRUE),OR(exact(Metadata!D88,"UBERON:zone of skin"),exact(Metadata!D88,"UBERON:skin of hand"),exact(Metadata!D88,"UBERON:skin of forehead"))))</f>
        <v>0</v>
      </c>
      <c r="T88">
        <f>AND(IF(Metadata!E88="",FALSE,TRUE),exact(Metadata!E88,"human skin metagenome"))</f>
        <v>0</v>
      </c>
      <c r="U88">
        <f>AND(IF(Metadata!F88="",FALSE,TRUE),exact(Metadata!F88,"539655"))</f>
        <v>0</v>
      </c>
    </row>
    <row r="89" spans="1:21">
      <c r="A89" s="4">
        <f>IF(B89=" "," ",HYPERLINK(CONCATENATE("#metadata!",ADDRESS(INDEX($L$2:$L$1001,MATCH(ROWS($J$2:J89),$J$2:$J$1001,0),0),1)),INDEX($O$2:$O$1001,MATCH(ROWS($J$2:J89),$J$2:$J$1001,0),0)))</f>
        <v>0</v>
      </c>
      <c r="B89" s="3">
        <f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>0</v>
      </c>
      <c r="C89" s="3">
        <f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>0</v>
      </c>
      <c r="D89" s="3">
        <f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>0</v>
      </c>
      <c r="E89" s="3">
        <f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>0</v>
      </c>
      <c r="F89" s="3">
        <f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>0</v>
      </c>
      <c r="J89">
        <v>0</v>
      </c>
      <c r="K89">
        <v>0</v>
      </c>
      <c r="L89">
        <v>0</v>
      </c>
      <c r="M89">
        <f>IF(N89,TRUE,AND(Q89:U89))</f>
        <v>0</v>
      </c>
      <c r="N89">
        <f>COUNTBLANK(Metadata!B89:F89)=COLUMNS(Metadata!B89:F89)</f>
        <v>0</v>
      </c>
      <c r="O89">
        <v>0</v>
      </c>
      <c r="Q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>
        <f>AND(IF(Metadata!C89="",FALSE,TRUE),exact(Metadata!C89,"human-skin"))</f>
        <v>0</v>
      </c>
      <c r="S89">
        <f>OR(AND(IF(Metadata!D89="",FALSE,TRUE),OR(exact(Metadata!D89,"missing: not collected"),exact(Metadata!D89,"missing: not provided"))),AND(IF(Metadata!D89="",FALSE,TRUE),OR(exact(Metadata!D89,"UBERON:zone of skin"),exact(Metadata!D89,"UBERON:skin of hand"),exact(Metadata!D89,"UBERON:skin of forehead"))))</f>
        <v>0</v>
      </c>
      <c r="T89">
        <f>AND(IF(Metadata!E89="",FALSE,TRUE),exact(Metadata!E89,"human skin metagenome"))</f>
        <v>0</v>
      </c>
      <c r="U89">
        <f>AND(IF(Metadata!F89="",FALSE,TRUE),exact(Metadata!F89,"539655"))</f>
        <v>0</v>
      </c>
    </row>
    <row r="90" spans="1:21">
      <c r="A90" s="4">
        <f>IF(B90=" "," ",HYPERLINK(CONCATENATE("#metadata!",ADDRESS(INDEX($L$2:$L$1001,MATCH(ROWS($J$2:J90),$J$2:$J$1001,0),0),1)),INDEX($O$2:$O$1001,MATCH(ROWS($J$2:J90),$J$2:$J$1001,0),0)))</f>
        <v>0</v>
      </c>
      <c r="B90" s="3">
        <f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>0</v>
      </c>
      <c r="C90" s="3">
        <f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>0</v>
      </c>
      <c r="D90" s="3">
        <f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>0</v>
      </c>
      <c r="E90" s="3">
        <f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>0</v>
      </c>
      <c r="F90" s="3">
        <f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>0</v>
      </c>
      <c r="J90">
        <v>0</v>
      </c>
      <c r="K90">
        <v>0</v>
      </c>
      <c r="L90">
        <v>0</v>
      </c>
      <c r="M90">
        <f>IF(N90,TRUE,AND(Q90:U90))</f>
        <v>0</v>
      </c>
      <c r="N90">
        <f>COUNTBLANK(Metadata!B90:F90)=COLUMNS(Metadata!B90:F90)</f>
        <v>0</v>
      </c>
      <c r="O90">
        <v>0</v>
      </c>
      <c r="Q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>
        <f>AND(IF(Metadata!C90="",FALSE,TRUE),exact(Metadata!C90,"human-skin"))</f>
        <v>0</v>
      </c>
      <c r="S90">
        <f>OR(AND(IF(Metadata!D90="",FALSE,TRUE),OR(exact(Metadata!D90,"missing: not collected"),exact(Metadata!D90,"missing: not provided"))),AND(IF(Metadata!D90="",FALSE,TRUE),OR(exact(Metadata!D90,"UBERON:zone of skin"),exact(Metadata!D90,"UBERON:skin of hand"),exact(Metadata!D90,"UBERON:skin of forehead"))))</f>
        <v>0</v>
      </c>
      <c r="T90">
        <f>AND(IF(Metadata!E90="",FALSE,TRUE),exact(Metadata!E90,"human skin metagenome"))</f>
        <v>0</v>
      </c>
      <c r="U90">
        <f>AND(IF(Metadata!F90="",FALSE,TRUE),exact(Metadata!F90,"539655"))</f>
        <v>0</v>
      </c>
    </row>
    <row r="91" spans="1:21">
      <c r="A91" s="4">
        <f>IF(B91=" "," ",HYPERLINK(CONCATENATE("#metadata!",ADDRESS(INDEX($L$2:$L$1001,MATCH(ROWS($J$2:J91),$J$2:$J$1001,0),0),1)),INDEX($O$2:$O$1001,MATCH(ROWS($J$2:J91),$J$2:$J$1001,0),0)))</f>
        <v>0</v>
      </c>
      <c r="B91" s="3">
        <f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>0</v>
      </c>
      <c r="C91" s="3">
        <f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>0</v>
      </c>
      <c r="D91" s="3">
        <f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>0</v>
      </c>
      <c r="E91" s="3">
        <f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>0</v>
      </c>
      <c r="F91" s="3">
        <f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>0</v>
      </c>
      <c r="J91">
        <v>0</v>
      </c>
      <c r="K91">
        <v>0</v>
      </c>
      <c r="L91">
        <v>0</v>
      </c>
      <c r="M91">
        <f>IF(N91,TRUE,AND(Q91:U91))</f>
        <v>0</v>
      </c>
      <c r="N91">
        <f>COUNTBLANK(Metadata!B91:F91)=COLUMNS(Metadata!B91:F91)</f>
        <v>0</v>
      </c>
      <c r="O91">
        <v>0</v>
      </c>
      <c r="Q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>
        <f>AND(IF(Metadata!C91="",FALSE,TRUE),exact(Metadata!C91,"human-skin"))</f>
        <v>0</v>
      </c>
      <c r="S91">
        <f>OR(AND(IF(Metadata!D91="",FALSE,TRUE),OR(exact(Metadata!D91,"missing: not collected"),exact(Metadata!D91,"missing: not provided"))),AND(IF(Metadata!D91="",FALSE,TRUE),OR(exact(Metadata!D91,"UBERON:zone of skin"),exact(Metadata!D91,"UBERON:skin of hand"),exact(Metadata!D91,"UBERON:skin of forehead"))))</f>
        <v>0</v>
      </c>
      <c r="T91">
        <f>AND(IF(Metadata!E91="",FALSE,TRUE),exact(Metadata!E91,"human skin metagenome"))</f>
        <v>0</v>
      </c>
      <c r="U91">
        <f>AND(IF(Metadata!F91="",FALSE,TRUE),exact(Metadata!F91,"539655"))</f>
        <v>0</v>
      </c>
    </row>
    <row r="92" spans="1:21">
      <c r="A92" s="4">
        <f>IF(B92=" "," ",HYPERLINK(CONCATENATE("#metadata!",ADDRESS(INDEX($L$2:$L$1001,MATCH(ROWS($J$2:J92),$J$2:$J$1001,0),0),1)),INDEX($O$2:$O$1001,MATCH(ROWS($J$2:J92),$J$2:$J$1001,0),0)))</f>
        <v>0</v>
      </c>
      <c r="B92" s="3">
        <f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>0</v>
      </c>
      <c r="C92" s="3">
        <f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>0</v>
      </c>
      <c r="D92" s="3">
        <f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>0</v>
      </c>
      <c r="E92" s="3">
        <f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>0</v>
      </c>
      <c r="F92" s="3">
        <f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>0</v>
      </c>
      <c r="J92">
        <v>0</v>
      </c>
      <c r="K92">
        <v>0</v>
      </c>
      <c r="L92">
        <v>0</v>
      </c>
      <c r="M92">
        <f>IF(N92,TRUE,AND(Q92:U92))</f>
        <v>0</v>
      </c>
      <c r="N92">
        <f>COUNTBLANK(Metadata!B92:F92)=COLUMNS(Metadata!B92:F92)</f>
        <v>0</v>
      </c>
      <c r="O92">
        <v>0</v>
      </c>
      <c r="Q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>
        <f>AND(IF(Metadata!C92="",FALSE,TRUE),exact(Metadata!C92,"human-skin"))</f>
        <v>0</v>
      </c>
      <c r="S92">
        <f>OR(AND(IF(Metadata!D92="",FALSE,TRUE),OR(exact(Metadata!D92,"missing: not collected"),exact(Metadata!D92,"missing: not provided"))),AND(IF(Metadata!D92="",FALSE,TRUE),OR(exact(Metadata!D92,"UBERON:zone of skin"),exact(Metadata!D92,"UBERON:skin of hand"),exact(Metadata!D92,"UBERON:skin of forehead"))))</f>
        <v>0</v>
      </c>
      <c r="T92">
        <f>AND(IF(Metadata!E92="",FALSE,TRUE),exact(Metadata!E92,"human skin metagenome"))</f>
        <v>0</v>
      </c>
      <c r="U92">
        <f>AND(IF(Metadata!F92="",FALSE,TRUE),exact(Metadata!F92,"539655"))</f>
        <v>0</v>
      </c>
    </row>
    <row r="93" spans="1:21">
      <c r="A93" s="4">
        <f>IF(B93=" "," ",HYPERLINK(CONCATENATE("#metadata!",ADDRESS(INDEX($L$2:$L$1001,MATCH(ROWS($J$2:J93),$J$2:$J$1001,0),0),1)),INDEX($O$2:$O$1001,MATCH(ROWS($J$2:J93),$J$2:$J$1001,0),0)))</f>
        <v>0</v>
      </c>
      <c r="B93" s="3">
        <f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>0</v>
      </c>
      <c r="C93" s="3">
        <f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>0</v>
      </c>
      <c r="D93" s="3">
        <f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>0</v>
      </c>
      <c r="E93" s="3">
        <f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>0</v>
      </c>
      <c r="F93" s="3">
        <f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>0</v>
      </c>
      <c r="J93">
        <v>0</v>
      </c>
      <c r="K93">
        <v>0</v>
      </c>
      <c r="L93">
        <v>0</v>
      </c>
      <c r="M93">
        <f>IF(N93,TRUE,AND(Q93:U93))</f>
        <v>0</v>
      </c>
      <c r="N93">
        <f>COUNTBLANK(Metadata!B93:F93)=COLUMNS(Metadata!B93:F93)</f>
        <v>0</v>
      </c>
      <c r="O93">
        <v>0</v>
      </c>
      <c r="Q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>
        <f>AND(IF(Metadata!C93="",FALSE,TRUE),exact(Metadata!C93,"human-skin"))</f>
        <v>0</v>
      </c>
      <c r="S93">
        <f>OR(AND(IF(Metadata!D93="",FALSE,TRUE),OR(exact(Metadata!D93,"missing: not collected"),exact(Metadata!D93,"missing: not provided"))),AND(IF(Metadata!D93="",FALSE,TRUE),OR(exact(Metadata!D93,"UBERON:zone of skin"),exact(Metadata!D93,"UBERON:skin of hand"),exact(Metadata!D93,"UBERON:skin of forehead"))))</f>
        <v>0</v>
      </c>
      <c r="T93">
        <f>AND(IF(Metadata!E93="",FALSE,TRUE),exact(Metadata!E93,"human skin metagenome"))</f>
        <v>0</v>
      </c>
      <c r="U93">
        <f>AND(IF(Metadata!F93="",FALSE,TRUE),exact(Metadata!F93,"539655"))</f>
        <v>0</v>
      </c>
    </row>
    <row r="94" spans="1:21">
      <c r="A94" s="4">
        <f>IF(B94=" "," ",HYPERLINK(CONCATENATE("#metadata!",ADDRESS(INDEX($L$2:$L$1001,MATCH(ROWS($J$2:J94),$J$2:$J$1001,0),0),1)),INDEX($O$2:$O$1001,MATCH(ROWS($J$2:J94),$J$2:$J$1001,0),0)))</f>
        <v>0</v>
      </c>
      <c r="B94" s="3">
        <f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>0</v>
      </c>
      <c r="C94" s="3">
        <f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>0</v>
      </c>
      <c r="D94" s="3">
        <f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>0</v>
      </c>
      <c r="E94" s="3">
        <f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>0</v>
      </c>
      <c r="F94" s="3">
        <f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>0</v>
      </c>
      <c r="J94">
        <v>0</v>
      </c>
      <c r="K94">
        <v>0</v>
      </c>
      <c r="L94">
        <v>0</v>
      </c>
      <c r="M94">
        <f>IF(N94,TRUE,AND(Q94:U94))</f>
        <v>0</v>
      </c>
      <c r="N94">
        <f>COUNTBLANK(Metadata!B94:F94)=COLUMNS(Metadata!B94:F94)</f>
        <v>0</v>
      </c>
      <c r="O94">
        <v>0</v>
      </c>
      <c r="Q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>
        <f>AND(IF(Metadata!C94="",FALSE,TRUE),exact(Metadata!C94,"human-skin"))</f>
        <v>0</v>
      </c>
      <c r="S94">
        <f>OR(AND(IF(Metadata!D94="",FALSE,TRUE),OR(exact(Metadata!D94,"missing: not collected"),exact(Metadata!D94,"missing: not provided"))),AND(IF(Metadata!D94="",FALSE,TRUE),OR(exact(Metadata!D94,"UBERON:zone of skin"),exact(Metadata!D94,"UBERON:skin of hand"),exact(Metadata!D94,"UBERON:skin of forehead"))))</f>
        <v>0</v>
      </c>
      <c r="T94">
        <f>AND(IF(Metadata!E94="",FALSE,TRUE),exact(Metadata!E94,"human skin metagenome"))</f>
        <v>0</v>
      </c>
      <c r="U94">
        <f>AND(IF(Metadata!F94="",FALSE,TRUE),exact(Metadata!F94,"539655"))</f>
        <v>0</v>
      </c>
    </row>
    <row r="95" spans="1:21">
      <c r="A95" s="4">
        <f>IF(B95=" "," ",HYPERLINK(CONCATENATE("#metadata!",ADDRESS(INDEX($L$2:$L$1001,MATCH(ROWS($J$2:J95),$J$2:$J$1001,0),0),1)),INDEX($O$2:$O$1001,MATCH(ROWS($J$2:J95),$J$2:$J$1001,0),0)))</f>
        <v>0</v>
      </c>
      <c r="B95" s="3">
        <f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>0</v>
      </c>
      <c r="C95" s="3">
        <f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>0</v>
      </c>
      <c r="D95" s="3">
        <f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>0</v>
      </c>
      <c r="E95" s="3">
        <f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>0</v>
      </c>
      <c r="F95" s="3">
        <f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>0</v>
      </c>
      <c r="J95">
        <v>0</v>
      </c>
      <c r="K95">
        <v>0</v>
      </c>
      <c r="L95">
        <v>0</v>
      </c>
      <c r="M95">
        <f>IF(N95,TRUE,AND(Q95:U95))</f>
        <v>0</v>
      </c>
      <c r="N95">
        <f>COUNTBLANK(Metadata!B95:F95)=COLUMNS(Metadata!B95:F95)</f>
        <v>0</v>
      </c>
      <c r="O95">
        <v>0</v>
      </c>
      <c r="Q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>
        <f>AND(IF(Metadata!C95="",FALSE,TRUE),exact(Metadata!C95,"human-skin"))</f>
        <v>0</v>
      </c>
      <c r="S95">
        <f>OR(AND(IF(Metadata!D95="",FALSE,TRUE),OR(exact(Metadata!D95,"missing: not collected"),exact(Metadata!D95,"missing: not provided"))),AND(IF(Metadata!D95="",FALSE,TRUE),OR(exact(Metadata!D95,"UBERON:zone of skin"),exact(Metadata!D95,"UBERON:skin of hand"),exact(Metadata!D95,"UBERON:skin of forehead"))))</f>
        <v>0</v>
      </c>
      <c r="T95">
        <f>AND(IF(Metadata!E95="",FALSE,TRUE),exact(Metadata!E95,"human skin metagenome"))</f>
        <v>0</v>
      </c>
      <c r="U95">
        <f>AND(IF(Metadata!F95="",FALSE,TRUE),exact(Metadata!F95,"539655"))</f>
        <v>0</v>
      </c>
    </row>
    <row r="96" spans="1:21">
      <c r="A96" s="4">
        <f>IF(B96=" "," ",HYPERLINK(CONCATENATE("#metadata!",ADDRESS(INDEX($L$2:$L$1001,MATCH(ROWS($J$2:J96),$J$2:$J$1001,0),0),1)),INDEX($O$2:$O$1001,MATCH(ROWS($J$2:J96),$J$2:$J$1001,0),0)))</f>
        <v>0</v>
      </c>
      <c r="B96" s="3">
        <f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>0</v>
      </c>
      <c r="C96" s="3">
        <f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>0</v>
      </c>
      <c r="D96" s="3">
        <f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>0</v>
      </c>
      <c r="E96" s="3">
        <f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>0</v>
      </c>
      <c r="F96" s="3">
        <f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>0</v>
      </c>
      <c r="J96">
        <v>0</v>
      </c>
      <c r="K96">
        <v>0</v>
      </c>
      <c r="L96">
        <v>0</v>
      </c>
      <c r="M96">
        <f>IF(N96,TRUE,AND(Q96:U96))</f>
        <v>0</v>
      </c>
      <c r="N96">
        <f>COUNTBLANK(Metadata!B96:F96)=COLUMNS(Metadata!B96:F96)</f>
        <v>0</v>
      </c>
      <c r="O96">
        <v>0</v>
      </c>
      <c r="Q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>
        <f>AND(IF(Metadata!C96="",FALSE,TRUE),exact(Metadata!C96,"human-skin"))</f>
        <v>0</v>
      </c>
      <c r="S96">
        <f>OR(AND(IF(Metadata!D96="",FALSE,TRUE),OR(exact(Metadata!D96,"missing: not collected"),exact(Metadata!D96,"missing: not provided"))),AND(IF(Metadata!D96="",FALSE,TRUE),OR(exact(Metadata!D96,"UBERON:zone of skin"),exact(Metadata!D96,"UBERON:skin of hand"),exact(Metadata!D96,"UBERON:skin of forehead"))))</f>
        <v>0</v>
      </c>
      <c r="T96">
        <f>AND(IF(Metadata!E96="",FALSE,TRUE),exact(Metadata!E96,"human skin metagenome"))</f>
        <v>0</v>
      </c>
      <c r="U96">
        <f>AND(IF(Metadata!F96="",FALSE,TRUE),exact(Metadata!F96,"539655"))</f>
        <v>0</v>
      </c>
    </row>
    <row r="97" spans="1:21">
      <c r="A97" s="4">
        <f>IF(B97=" "," ",HYPERLINK(CONCATENATE("#metadata!",ADDRESS(INDEX($L$2:$L$1001,MATCH(ROWS($J$2:J97),$J$2:$J$1001,0),0),1)),INDEX($O$2:$O$1001,MATCH(ROWS($J$2:J97),$J$2:$J$1001,0),0)))</f>
        <v>0</v>
      </c>
      <c r="B97" s="3">
        <f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>0</v>
      </c>
      <c r="C97" s="3">
        <f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>0</v>
      </c>
      <c r="D97" s="3">
        <f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>0</v>
      </c>
      <c r="E97" s="3">
        <f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>0</v>
      </c>
      <c r="F97" s="3">
        <f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>0</v>
      </c>
      <c r="J97">
        <v>0</v>
      </c>
      <c r="K97">
        <v>0</v>
      </c>
      <c r="L97">
        <v>0</v>
      </c>
      <c r="M97">
        <f>IF(N97,TRUE,AND(Q97:U97))</f>
        <v>0</v>
      </c>
      <c r="N97">
        <f>COUNTBLANK(Metadata!B97:F97)=COLUMNS(Metadata!B97:F97)</f>
        <v>0</v>
      </c>
      <c r="O97">
        <v>0</v>
      </c>
      <c r="Q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>
        <f>AND(IF(Metadata!C97="",FALSE,TRUE),exact(Metadata!C97,"human-skin"))</f>
        <v>0</v>
      </c>
      <c r="S97">
        <f>OR(AND(IF(Metadata!D97="",FALSE,TRUE),OR(exact(Metadata!D97,"missing: not collected"),exact(Metadata!D97,"missing: not provided"))),AND(IF(Metadata!D97="",FALSE,TRUE),OR(exact(Metadata!D97,"UBERON:zone of skin"),exact(Metadata!D97,"UBERON:skin of hand"),exact(Metadata!D97,"UBERON:skin of forehead"))))</f>
        <v>0</v>
      </c>
      <c r="T97">
        <f>AND(IF(Metadata!E97="",FALSE,TRUE),exact(Metadata!E97,"human skin metagenome"))</f>
        <v>0</v>
      </c>
      <c r="U97">
        <f>AND(IF(Metadata!F97="",FALSE,TRUE),exact(Metadata!F97,"539655"))</f>
        <v>0</v>
      </c>
    </row>
    <row r="98" spans="1:21">
      <c r="A98" s="4">
        <f>IF(B98=" "," ",HYPERLINK(CONCATENATE("#metadata!",ADDRESS(INDEX($L$2:$L$1001,MATCH(ROWS($J$2:J98),$J$2:$J$1001,0),0),1)),INDEX($O$2:$O$1001,MATCH(ROWS($J$2:J98),$J$2:$J$1001,0),0)))</f>
        <v>0</v>
      </c>
      <c r="B98" s="3">
        <f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>0</v>
      </c>
      <c r="C98" s="3">
        <f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>0</v>
      </c>
      <c r="D98" s="3">
        <f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>0</v>
      </c>
      <c r="E98" s="3">
        <f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>0</v>
      </c>
      <c r="F98" s="3">
        <f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>0</v>
      </c>
      <c r="J98">
        <v>0</v>
      </c>
      <c r="K98">
        <v>0</v>
      </c>
      <c r="L98">
        <v>0</v>
      </c>
      <c r="M98">
        <f>IF(N98,TRUE,AND(Q98:U98))</f>
        <v>0</v>
      </c>
      <c r="N98">
        <f>COUNTBLANK(Metadata!B98:F98)=COLUMNS(Metadata!B98:F98)</f>
        <v>0</v>
      </c>
      <c r="O98">
        <v>0</v>
      </c>
      <c r="Q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>
        <f>AND(IF(Metadata!C98="",FALSE,TRUE),exact(Metadata!C98,"human-skin"))</f>
        <v>0</v>
      </c>
      <c r="S98">
        <f>OR(AND(IF(Metadata!D98="",FALSE,TRUE),OR(exact(Metadata!D98,"missing: not collected"),exact(Metadata!D98,"missing: not provided"))),AND(IF(Metadata!D98="",FALSE,TRUE),OR(exact(Metadata!D98,"UBERON:zone of skin"),exact(Metadata!D98,"UBERON:skin of hand"),exact(Metadata!D98,"UBERON:skin of forehead"))))</f>
        <v>0</v>
      </c>
      <c r="T98">
        <f>AND(IF(Metadata!E98="",FALSE,TRUE),exact(Metadata!E98,"human skin metagenome"))</f>
        <v>0</v>
      </c>
      <c r="U98">
        <f>AND(IF(Metadata!F98="",FALSE,TRUE),exact(Metadata!F98,"539655"))</f>
        <v>0</v>
      </c>
    </row>
    <row r="99" spans="1:21">
      <c r="A99" s="4">
        <f>IF(B99=" "," ",HYPERLINK(CONCATENATE("#metadata!",ADDRESS(INDEX($L$2:$L$1001,MATCH(ROWS($J$2:J99),$J$2:$J$1001,0),0),1)),INDEX($O$2:$O$1001,MATCH(ROWS($J$2:J99),$J$2:$J$1001,0),0)))</f>
        <v>0</v>
      </c>
      <c r="B99" s="3">
        <f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>0</v>
      </c>
      <c r="C99" s="3">
        <f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>0</v>
      </c>
      <c r="D99" s="3">
        <f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>0</v>
      </c>
      <c r="E99" s="3">
        <f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>0</v>
      </c>
      <c r="F99" s="3">
        <f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>0</v>
      </c>
      <c r="J99">
        <v>0</v>
      </c>
      <c r="K99">
        <v>0</v>
      </c>
      <c r="L99">
        <v>0</v>
      </c>
      <c r="M99">
        <f>IF(N99,TRUE,AND(Q99:U99))</f>
        <v>0</v>
      </c>
      <c r="N99">
        <f>COUNTBLANK(Metadata!B99:F99)=COLUMNS(Metadata!B99:F99)</f>
        <v>0</v>
      </c>
      <c r="O99">
        <v>0</v>
      </c>
      <c r="Q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>
        <f>AND(IF(Metadata!C99="",FALSE,TRUE),exact(Metadata!C99,"human-skin"))</f>
        <v>0</v>
      </c>
      <c r="S99">
        <f>OR(AND(IF(Metadata!D99="",FALSE,TRUE),OR(exact(Metadata!D99,"missing: not collected"),exact(Metadata!D99,"missing: not provided"))),AND(IF(Metadata!D99="",FALSE,TRUE),OR(exact(Metadata!D99,"UBERON:zone of skin"),exact(Metadata!D99,"UBERON:skin of hand"),exact(Metadata!D99,"UBERON:skin of forehead"))))</f>
        <v>0</v>
      </c>
      <c r="T99">
        <f>AND(IF(Metadata!E99="",FALSE,TRUE),exact(Metadata!E99,"human skin metagenome"))</f>
        <v>0</v>
      </c>
      <c r="U99">
        <f>AND(IF(Metadata!F99="",FALSE,TRUE),exact(Metadata!F99,"539655"))</f>
        <v>0</v>
      </c>
    </row>
    <row r="100" spans="1:21">
      <c r="A100" s="4">
        <f>IF(B100=" "," ",HYPERLINK(CONCATENATE("#metadata!",ADDRESS(INDEX($L$2:$L$1001,MATCH(ROWS($J$2:J100),$J$2:$J$1001,0),0),1)),INDEX($O$2:$O$1001,MATCH(ROWS($J$2:J100),$J$2:$J$1001,0),0)))</f>
        <v>0</v>
      </c>
      <c r="B100" s="3">
        <f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>0</v>
      </c>
      <c r="C100" s="3">
        <f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>0</v>
      </c>
      <c r="D100" s="3">
        <f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>0</v>
      </c>
      <c r="E100" s="3">
        <f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>0</v>
      </c>
      <c r="F100" s="3">
        <f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>0</v>
      </c>
      <c r="J100">
        <v>0</v>
      </c>
      <c r="K100">
        <v>0</v>
      </c>
      <c r="L100">
        <v>0</v>
      </c>
      <c r="M100">
        <f>IF(N100,TRUE,AND(Q100:U100))</f>
        <v>0</v>
      </c>
      <c r="N100">
        <f>COUNTBLANK(Metadata!B100:F100)=COLUMNS(Metadata!B100:F100)</f>
        <v>0</v>
      </c>
      <c r="O100">
        <v>0</v>
      </c>
      <c r="Q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>
        <f>AND(IF(Metadata!C100="",FALSE,TRUE),exact(Metadata!C100,"human-skin"))</f>
        <v>0</v>
      </c>
      <c r="S100">
        <f>OR(AND(IF(Metadata!D100="",FALSE,TRUE),OR(exact(Metadata!D100,"missing: not collected"),exact(Metadata!D100,"missing: not provided"))),AND(IF(Metadata!D100="",FALSE,TRUE),OR(exact(Metadata!D100,"UBERON:zone of skin"),exact(Metadata!D100,"UBERON:skin of hand"),exact(Metadata!D100,"UBERON:skin of forehead"))))</f>
        <v>0</v>
      </c>
      <c r="T100">
        <f>AND(IF(Metadata!E100="",FALSE,TRUE),exact(Metadata!E100,"human skin metagenome"))</f>
        <v>0</v>
      </c>
      <c r="U100">
        <f>AND(IF(Metadata!F100="",FALSE,TRUE),exact(Metadata!F100,"539655"))</f>
        <v>0</v>
      </c>
    </row>
    <row r="101" spans="1:21">
      <c r="A101" s="4">
        <f>IF(B101=" "," ",HYPERLINK(CONCATENATE("#metadata!",ADDRESS(INDEX($L$2:$L$1001,MATCH(ROWS($J$2:J101),$J$2:$J$1001,0),0),1)),INDEX($O$2:$O$1001,MATCH(ROWS($J$2:J101),$J$2:$J$1001,0),0)))</f>
        <v>0</v>
      </c>
      <c r="B101" s="3">
        <f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>0</v>
      </c>
      <c r="C101" s="3">
        <f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>0</v>
      </c>
      <c r="D101" s="3">
        <f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>0</v>
      </c>
      <c r="E101" s="3">
        <f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>0</v>
      </c>
      <c r="F101" s="3">
        <f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>0</v>
      </c>
      <c r="J101">
        <v>0</v>
      </c>
      <c r="K101">
        <v>0</v>
      </c>
      <c r="L101">
        <v>0</v>
      </c>
      <c r="M101">
        <f>IF(N101,TRUE,AND(Q101:U101))</f>
        <v>0</v>
      </c>
      <c r="N101">
        <f>COUNTBLANK(Metadata!B101:F101)=COLUMNS(Metadata!B101:F101)</f>
        <v>0</v>
      </c>
      <c r="O101">
        <v>0</v>
      </c>
      <c r="Q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>
        <f>AND(IF(Metadata!C101="",FALSE,TRUE),exact(Metadata!C101,"human-skin"))</f>
        <v>0</v>
      </c>
      <c r="S101">
        <f>OR(AND(IF(Metadata!D101="",FALSE,TRUE),OR(exact(Metadata!D101,"missing: not collected"),exact(Metadata!D101,"missing: not provided"))),AND(IF(Metadata!D101="",FALSE,TRUE),OR(exact(Metadata!D101,"UBERON:zone of skin"),exact(Metadata!D101,"UBERON:skin of hand"),exact(Metadata!D101,"UBERON:skin of forehead"))))</f>
        <v>0</v>
      </c>
      <c r="T101">
        <f>AND(IF(Metadata!E101="",FALSE,TRUE),exact(Metadata!E101,"human skin metagenome"))</f>
        <v>0</v>
      </c>
      <c r="U101">
        <f>AND(IF(Metadata!F101="",FALSE,TRUE),exact(Metadata!F101,"539655"))</f>
        <v>0</v>
      </c>
    </row>
    <row r="102" spans="1:21">
      <c r="A102" s="4">
        <f>IF(B102=" "," ",HYPERLINK(CONCATENATE("#metadata!",ADDRESS(INDEX($L$2:$L$1001,MATCH(ROWS($J$2:J102),$J$2:$J$1001,0),0),1)),INDEX($O$2:$O$1001,MATCH(ROWS($J$2:J102),$J$2:$J$1001,0),0)))</f>
        <v>0</v>
      </c>
      <c r="B102" s="3">
        <f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>0</v>
      </c>
      <c r="C102" s="3">
        <f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>0</v>
      </c>
      <c r="D102" s="3">
        <f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>0</v>
      </c>
      <c r="E102" s="3">
        <f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>0</v>
      </c>
      <c r="F102" s="3">
        <f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>0</v>
      </c>
      <c r="J102">
        <v>0</v>
      </c>
      <c r="K102">
        <v>0</v>
      </c>
      <c r="L102">
        <v>0</v>
      </c>
      <c r="M102">
        <f>IF(N102,TRUE,AND(Q102:U102))</f>
        <v>0</v>
      </c>
      <c r="N102">
        <f>COUNTBLANK(Metadata!B102:F102)=COLUMNS(Metadata!B102:F102)</f>
        <v>0</v>
      </c>
      <c r="O102">
        <v>0</v>
      </c>
      <c r="Q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>
        <f>AND(IF(Metadata!C102="",FALSE,TRUE),exact(Metadata!C102,"human-skin"))</f>
        <v>0</v>
      </c>
      <c r="S102">
        <f>OR(AND(IF(Metadata!D102="",FALSE,TRUE),OR(exact(Metadata!D102,"missing: not collected"),exact(Metadata!D102,"missing: not provided"))),AND(IF(Metadata!D102="",FALSE,TRUE),OR(exact(Metadata!D102,"UBERON:zone of skin"),exact(Metadata!D102,"UBERON:skin of hand"),exact(Metadata!D102,"UBERON:skin of forehead"))))</f>
        <v>0</v>
      </c>
      <c r="T102">
        <f>AND(IF(Metadata!E102="",FALSE,TRUE),exact(Metadata!E102,"human skin metagenome"))</f>
        <v>0</v>
      </c>
      <c r="U102">
        <f>AND(IF(Metadata!F102="",FALSE,TRUE),exact(Metadata!F102,"539655"))</f>
        <v>0</v>
      </c>
    </row>
    <row r="103" spans="1:21">
      <c r="A103" s="4">
        <f>IF(B103=" "," ",HYPERLINK(CONCATENATE("#metadata!",ADDRESS(INDEX($L$2:$L$1001,MATCH(ROWS($J$2:J103),$J$2:$J$1001,0),0),1)),INDEX($O$2:$O$1001,MATCH(ROWS($J$2:J103),$J$2:$J$1001,0),0)))</f>
        <v>0</v>
      </c>
      <c r="B103" s="3">
        <f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>0</v>
      </c>
      <c r="C103" s="3">
        <f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>0</v>
      </c>
      <c r="D103" s="3">
        <f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>0</v>
      </c>
      <c r="E103" s="3">
        <f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>0</v>
      </c>
      <c r="F103" s="3">
        <f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>0</v>
      </c>
      <c r="J103">
        <v>0</v>
      </c>
      <c r="K103">
        <v>0</v>
      </c>
      <c r="L103">
        <v>0</v>
      </c>
      <c r="M103">
        <f>IF(N103,TRUE,AND(Q103:U103))</f>
        <v>0</v>
      </c>
      <c r="N103">
        <f>COUNTBLANK(Metadata!B103:F103)=COLUMNS(Metadata!B103:F103)</f>
        <v>0</v>
      </c>
      <c r="O103">
        <v>0</v>
      </c>
      <c r="Q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>
        <f>AND(IF(Metadata!C103="",FALSE,TRUE),exact(Metadata!C103,"human-skin"))</f>
        <v>0</v>
      </c>
      <c r="S103">
        <f>OR(AND(IF(Metadata!D103="",FALSE,TRUE),OR(exact(Metadata!D103,"missing: not collected"),exact(Metadata!D103,"missing: not provided"))),AND(IF(Metadata!D103="",FALSE,TRUE),OR(exact(Metadata!D103,"UBERON:zone of skin"),exact(Metadata!D103,"UBERON:skin of hand"),exact(Metadata!D103,"UBERON:skin of forehead"))))</f>
        <v>0</v>
      </c>
      <c r="T103">
        <f>AND(IF(Metadata!E103="",FALSE,TRUE),exact(Metadata!E103,"human skin metagenome"))</f>
        <v>0</v>
      </c>
      <c r="U103">
        <f>AND(IF(Metadata!F103="",FALSE,TRUE),exact(Metadata!F103,"539655"))</f>
        <v>0</v>
      </c>
    </row>
    <row r="104" spans="1:21">
      <c r="A104" s="4">
        <f>IF(B104=" "," ",HYPERLINK(CONCATENATE("#metadata!",ADDRESS(INDEX($L$2:$L$1001,MATCH(ROWS($J$2:J104),$J$2:$J$1001,0),0),1)),INDEX($O$2:$O$1001,MATCH(ROWS($J$2:J104),$J$2:$J$1001,0),0)))</f>
        <v>0</v>
      </c>
      <c r="B104" s="3">
        <f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>0</v>
      </c>
      <c r="C104" s="3">
        <f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>0</v>
      </c>
      <c r="D104" s="3">
        <f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>0</v>
      </c>
      <c r="E104" s="3">
        <f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>0</v>
      </c>
      <c r="F104" s="3">
        <f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>0</v>
      </c>
      <c r="J104">
        <v>0</v>
      </c>
      <c r="K104">
        <v>0</v>
      </c>
      <c r="L104">
        <v>0</v>
      </c>
      <c r="M104">
        <f>IF(N104,TRUE,AND(Q104:U104))</f>
        <v>0</v>
      </c>
      <c r="N104">
        <f>COUNTBLANK(Metadata!B104:F104)=COLUMNS(Metadata!B104:F104)</f>
        <v>0</v>
      </c>
      <c r="O104">
        <v>0</v>
      </c>
      <c r="Q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>
        <f>AND(IF(Metadata!C104="",FALSE,TRUE),exact(Metadata!C104,"human-skin"))</f>
        <v>0</v>
      </c>
      <c r="S104">
        <f>OR(AND(IF(Metadata!D104="",FALSE,TRUE),OR(exact(Metadata!D104,"missing: not collected"),exact(Metadata!D104,"missing: not provided"))),AND(IF(Metadata!D104="",FALSE,TRUE),OR(exact(Metadata!D104,"UBERON:zone of skin"),exact(Metadata!D104,"UBERON:skin of hand"),exact(Metadata!D104,"UBERON:skin of forehead"))))</f>
        <v>0</v>
      </c>
      <c r="T104">
        <f>AND(IF(Metadata!E104="",FALSE,TRUE),exact(Metadata!E104,"human skin metagenome"))</f>
        <v>0</v>
      </c>
      <c r="U104">
        <f>AND(IF(Metadata!F104="",FALSE,TRUE),exact(Metadata!F104,"539655"))</f>
        <v>0</v>
      </c>
    </row>
    <row r="105" spans="1:21">
      <c r="A105" s="4">
        <f>IF(B105=" "," ",HYPERLINK(CONCATENATE("#metadata!",ADDRESS(INDEX($L$2:$L$1001,MATCH(ROWS($J$2:J105),$J$2:$J$1001,0),0),1)),INDEX($O$2:$O$1001,MATCH(ROWS($J$2:J105),$J$2:$J$1001,0),0)))</f>
        <v>0</v>
      </c>
      <c r="B105" s="3">
        <f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>0</v>
      </c>
      <c r="C105" s="3">
        <f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>0</v>
      </c>
      <c r="D105" s="3">
        <f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>0</v>
      </c>
      <c r="E105" s="3">
        <f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>0</v>
      </c>
      <c r="F105" s="3">
        <f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>0</v>
      </c>
      <c r="J105">
        <v>0</v>
      </c>
      <c r="K105">
        <v>0</v>
      </c>
      <c r="L105">
        <v>0</v>
      </c>
      <c r="M105">
        <f>IF(N105,TRUE,AND(Q105:U105))</f>
        <v>0</v>
      </c>
      <c r="N105">
        <f>COUNTBLANK(Metadata!B105:F105)=COLUMNS(Metadata!B105:F105)</f>
        <v>0</v>
      </c>
      <c r="O105">
        <v>0</v>
      </c>
      <c r="Q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>
        <f>AND(IF(Metadata!C105="",FALSE,TRUE),exact(Metadata!C105,"human-skin"))</f>
        <v>0</v>
      </c>
      <c r="S105">
        <f>OR(AND(IF(Metadata!D105="",FALSE,TRUE),OR(exact(Metadata!D105,"missing: not collected"),exact(Metadata!D105,"missing: not provided"))),AND(IF(Metadata!D105="",FALSE,TRUE),OR(exact(Metadata!D105,"UBERON:zone of skin"),exact(Metadata!D105,"UBERON:skin of hand"),exact(Metadata!D105,"UBERON:skin of forehead"))))</f>
        <v>0</v>
      </c>
      <c r="T105">
        <f>AND(IF(Metadata!E105="",FALSE,TRUE),exact(Metadata!E105,"human skin metagenome"))</f>
        <v>0</v>
      </c>
      <c r="U105">
        <f>AND(IF(Metadata!F105="",FALSE,TRUE),exact(Metadata!F105,"539655"))</f>
        <v>0</v>
      </c>
    </row>
    <row r="106" spans="1:21">
      <c r="A106" s="4">
        <f>IF(B106=" "," ",HYPERLINK(CONCATENATE("#metadata!",ADDRESS(INDEX($L$2:$L$1001,MATCH(ROWS($J$2:J106),$J$2:$J$1001,0),0),1)),INDEX($O$2:$O$1001,MATCH(ROWS($J$2:J106),$J$2:$J$1001,0),0)))</f>
        <v>0</v>
      </c>
      <c r="B106" s="3">
        <f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>0</v>
      </c>
      <c r="C106" s="3">
        <f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>0</v>
      </c>
      <c r="D106" s="3">
        <f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>0</v>
      </c>
      <c r="E106" s="3">
        <f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>0</v>
      </c>
      <c r="F106" s="3">
        <f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>0</v>
      </c>
      <c r="J106">
        <v>0</v>
      </c>
      <c r="K106">
        <v>0</v>
      </c>
      <c r="L106">
        <v>0</v>
      </c>
      <c r="M106">
        <f>IF(N106,TRUE,AND(Q106:U106))</f>
        <v>0</v>
      </c>
      <c r="N106">
        <f>COUNTBLANK(Metadata!B106:F106)=COLUMNS(Metadata!B106:F106)</f>
        <v>0</v>
      </c>
      <c r="O106">
        <v>0</v>
      </c>
      <c r="Q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>
        <f>AND(IF(Metadata!C106="",FALSE,TRUE),exact(Metadata!C106,"human-skin"))</f>
        <v>0</v>
      </c>
      <c r="S106">
        <f>OR(AND(IF(Metadata!D106="",FALSE,TRUE),OR(exact(Metadata!D106,"missing: not collected"),exact(Metadata!D106,"missing: not provided"))),AND(IF(Metadata!D106="",FALSE,TRUE),OR(exact(Metadata!D106,"UBERON:zone of skin"),exact(Metadata!D106,"UBERON:skin of hand"),exact(Metadata!D106,"UBERON:skin of forehead"))))</f>
        <v>0</v>
      </c>
      <c r="T106">
        <f>AND(IF(Metadata!E106="",FALSE,TRUE),exact(Metadata!E106,"human skin metagenome"))</f>
        <v>0</v>
      </c>
      <c r="U106">
        <f>AND(IF(Metadata!F106="",FALSE,TRUE),exact(Metadata!F106,"539655"))</f>
        <v>0</v>
      </c>
    </row>
    <row r="107" spans="1:21">
      <c r="A107" s="4">
        <f>IF(B107=" "," ",HYPERLINK(CONCATENATE("#metadata!",ADDRESS(INDEX($L$2:$L$1001,MATCH(ROWS($J$2:J107),$J$2:$J$1001,0),0),1)),INDEX($O$2:$O$1001,MATCH(ROWS($J$2:J107),$J$2:$J$1001,0),0)))</f>
        <v>0</v>
      </c>
      <c r="B107" s="3">
        <f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>0</v>
      </c>
      <c r="C107" s="3">
        <f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>0</v>
      </c>
      <c r="D107" s="3">
        <f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>0</v>
      </c>
      <c r="E107" s="3">
        <f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>0</v>
      </c>
      <c r="F107" s="3">
        <f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>0</v>
      </c>
      <c r="J107">
        <v>0</v>
      </c>
      <c r="K107">
        <v>0</v>
      </c>
      <c r="L107">
        <v>0</v>
      </c>
      <c r="M107">
        <f>IF(N107,TRUE,AND(Q107:U107))</f>
        <v>0</v>
      </c>
      <c r="N107">
        <f>COUNTBLANK(Metadata!B107:F107)=COLUMNS(Metadata!B107:F107)</f>
        <v>0</v>
      </c>
      <c r="O107">
        <v>0</v>
      </c>
      <c r="Q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>
        <f>AND(IF(Metadata!C107="",FALSE,TRUE),exact(Metadata!C107,"human-skin"))</f>
        <v>0</v>
      </c>
      <c r="S107">
        <f>OR(AND(IF(Metadata!D107="",FALSE,TRUE),OR(exact(Metadata!D107,"missing: not collected"),exact(Metadata!D107,"missing: not provided"))),AND(IF(Metadata!D107="",FALSE,TRUE),OR(exact(Metadata!D107,"UBERON:zone of skin"),exact(Metadata!D107,"UBERON:skin of hand"),exact(Metadata!D107,"UBERON:skin of forehead"))))</f>
        <v>0</v>
      </c>
      <c r="T107">
        <f>AND(IF(Metadata!E107="",FALSE,TRUE),exact(Metadata!E107,"human skin metagenome"))</f>
        <v>0</v>
      </c>
      <c r="U107">
        <f>AND(IF(Metadata!F107="",FALSE,TRUE),exact(Metadata!F107,"539655"))</f>
        <v>0</v>
      </c>
    </row>
    <row r="108" spans="1:21">
      <c r="A108" s="4">
        <f>IF(B108=" "," ",HYPERLINK(CONCATENATE("#metadata!",ADDRESS(INDEX($L$2:$L$1001,MATCH(ROWS($J$2:J108),$J$2:$J$1001,0),0),1)),INDEX($O$2:$O$1001,MATCH(ROWS($J$2:J108),$J$2:$J$1001,0),0)))</f>
        <v>0</v>
      </c>
      <c r="B108" s="3">
        <f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>0</v>
      </c>
      <c r="C108" s="3">
        <f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>0</v>
      </c>
      <c r="D108" s="3">
        <f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>0</v>
      </c>
      <c r="E108" s="3">
        <f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>0</v>
      </c>
      <c r="F108" s="3">
        <f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>0</v>
      </c>
      <c r="J108">
        <v>0</v>
      </c>
      <c r="K108">
        <v>0</v>
      </c>
      <c r="L108">
        <v>0</v>
      </c>
      <c r="M108">
        <f>IF(N108,TRUE,AND(Q108:U108))</f>
        <v>0</v>
      </c>
      <c r="N108">
        <f>COUNTBLANK(Metadata!B108:F108)=COLUMNS(Metadata!B108:F108)</f>
        <v>0</v>
      </c>
      <c r="O108">
        <v>0</v>
      </c>
      <c r="Q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>
        <f>AND(IF(Metadata!C108="",FALSE,TRUE),exact(Metadata!C108,"human-skin"))</f>
        <v>0</v>
      </c>
      <c r="S108">
        <f>OR(AND(IF(Metadata!D108="",FALSE,TRUE),OR(exact(Metadata!D108,"missing: not collected"),exact(Metadata!D108,"missing: not provided"))),AND(IF(Metadata!D108="",FALSE,TRUE),OR(exact(Metadata!D108,"UBERON:zone of skin"),exact(Metadata!D108,"UBERON:skin of hand"),exact(Metadata!D108,"UBERON:skin of forehead"))))</f>
        <v>0</v>
      </c>
      <c r="T108">
        <f>AND(IF(Metadata!E108="",FALSE,TRUE),exact(Metadata!E108,"human skin metagenome"))</f>
        <v>0</v>
      </c>
      <c r="U108">
        <f>AND(IF(Metadata!F108="",FALSE,TRUE),exact(Metadata!F108,"539655"))</f>
        <v>0</v>
      </c>
    </row>
    <row r="109" spans="1:21">
      <c r="A109" s="4">
        <f>IF(B109=" "," ",HYPERLINK(CONCATENATE("#metadata!",ADDRESS(INDEX($L$2:$L$1001,MATCH(ROWS($J$2:J109),$J$2:$J$1001,0),0),1)),INDEX($O$2:$O$1001,MATCH(ROWS($J$2:J109),$J$2:$J$1001,0),0)))</f>
        <v>0</v>
      </c>
      <c r="B109" s="3">
        <f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>0</v>
      </c>
      <c r="C109" s="3">
        <f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>0</v>
      </c>
      <c r="D109" s="3">
        <f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>0</v>
      </c>
      <c r="E109" s="3">
        <f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>0</v>
      </c>
      <c r="F109" s="3">
        <f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>0</v>
      </c>
      <c r="J109">
        <v>0</v>
      </c>
      <c r="K109">
        <v>0</v>
      </c>
      <c r="L109">
        <v>0</v>
      </c>
      <c r="M109">
        <f>IF(N109,TRUE,AND(Q109:U109))</f>
        <v>0</v>
      </c>
      <c r="N109">
        <f>COUNTBLANK(Metadata!B109:F109)=COLUMNS(Metadata!B109:F109)</f>
        <v>0</v>
      </c>
      <c r="O109">
        <v>0</v>
      </c>
      <c r="Q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>
        <f>AND(IF(Metadata!C109="",FALSE,TRUE),exact(Metadata!C109,"human-skin"))</f>
        <v>0</v>
      </c>
      <c r="S109">
        <f>OR(AND(IF(Metadata!D109="",FALSE,TRUE),OR(exact(Metadata!D109,"missing: not collected"),exact(Metadata!D109,"missing: not provided"))),AND(IF(Metadata!D109="",FALSE,TRUE),OR(exact(Metadata!D109,"UBERON:zone of skin"),exact(Metadata!D109,"UBERON:skin of hand"),exact(Metadata!D109,"UBERON:skin of forehead"))))</f>
        <v>0</v>
      </c>
      <c r="T109">
        <f>AND(IF(Metadata!E109="",FALSE,TRUE),exact(Metadata!E109,"human skin metagenome"))</f>
        <v>0</v>
      </c>
      <c r="U109">
        <f>AND(IF(Metadata!F109="",FALSE,TRUE),exact(Metadata!F109,"539655"))</f>
        <v>0</v>
      </c>
    </row>
    <row r="110" spans="1:21">
      <c r="A110" s="4">
        <f>IF(B110=" "," ",HYPERLINK(CONCATENATE("#metadata!",ADDRESS(INDEX($L$2:$L$1001,MATCH(ROWS($J$2:J110),$J$2:$J$1001,0),0),1)),INDEX($O$2:$O$1001,MATCH(ROWS($J$2:J110),$J$2:$J$1001,0),0)))</f>
        <v>0</v>
      </c>
      <c r="B110" s="3">
        <f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>0</v>
      </c>
      <c r="C110" s="3">
        <f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>0</v>
      </c>
      <c r="D110" s="3">
        <f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>0</v>
      </c>
      <c r="E110" s="3">
        <f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>0</v>
      </c>
      <c r="F110" s="3">
        <f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>0</v>
      </c>
      <c r="J110">
        <v>0</v>
      </c>
      <c r="K110">
        <v>0</v>
      </c>
      <c r="L110">
        <v>0</v>
      </c>
      <c r="M110">
        <f>IF(N110,TRUE,AND(Q110:U110))</f>
        <v>0</v>
      </c>
      <c r="N110">
        <f>COUNTBLANK(Metadata!B110:F110)=COLUMNS(Metadata!B110:F110)</f>
        <v>0</v>
      </c>
      <c r="O110">
        <v>0</v>
      </c>
      <c r="Q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>
        <f>AND(IF(Metadata!C110="",FALSE,TRUE),exact(Metadata!C110,"human-skin"))</f>
        <v>0</v>
      </c>
      <c r="S110">
        <f>OR(AND(IF(Metadata!D110="",FALSE,TRUE),OR(exact(Metadata!D110,"missing: not collected"),exact(Metadata!D110,"missing: not provided"))),AND(IF(Metadata!D110="",FALSE,TRUE),OR(exact(Metadata!D110,"UBERON:zone of skin"),exact(Metadata!D110,"UBERON:skin of hand"),exact(Metadata!D110,"UBERON:skin of forehead"))))</f>
        <v>0</v>
      </c>
      <c r="T110">
        <f>AND(IF(Metadata!E110="",FALSE,TRUE),exact(Metadata!E110,"human skin metagenome"))</f>
        <v>0</v>
      </c>
      <c r="U110">
        <f>AND(IF(Metadata!F110="",FALSE,TRUE),exact(Metadata!F110,"539655"))</f>
        <v>0</v>
      </c>
    </row>
    <row r="111" spans="1:21">
      <c r="A111" s="4">
        <f>IF(B111=" "," ",HYPERLINK(CONCATENATE("#metadata!",ADDRESS(INDEX($L$2:$L$1001,MATCH(ROWS($J$2:J111),$J$2:$J$1001,0),0),1)),INDEX($O$2:$O$1001,MATCH(ROWS($J$2:J111),$J$2:$J$1001,0),0)))</f>
        <v>0</v>
      </c>
      <c r="B111" s="3">
        <f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>0</v>
      </c>
      <c r="C111" s="3">
        <f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>0</v>
      </c>
      <c r="D111" s="3">
        <f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>0</v>
      </c>
      <c r="E111" s="3">
        <f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>0</v>
      </c>
      <c r="F111" s="3">
        <f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>0</v>
      </c>
      <c r="J111">
        <v>0</v>
      </c>
      <c r="K111">
        <v>0</v>
      </c>
      <c r="L111">
        <v>0</v>
      </c>
      <c r="M111">
        <f>IF(N111,TRUE,AND(Q111:U111))</f>
        <v>0</v>
      </c>
      <c r="N111">
        <f>COUNTBLANK(Metadata!B111:F111)=COLUMNS(Metadata!B111:F111)</f>
        <v>0</v>
      </c>
      <c r="O111">
        <v>0</v>
      </c>
      <c r="Q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>
        <f>AND(IF(Metadata!C111="",FALSE,TRUE),exact(Metadata!C111,"human-skin"))</f>
        <v>0</v>
      </c>
      <c r="S111">
        <f>OR(AND(IF(Metadata!D111="",FALSE,TRUE),OR(exact(Metadata!D111,"missing: not collected"),exact(Metadata!D111,"missing: not provided"))),AND(IF(Metadata!D111="",FALSE,TRUE),OR(exact(Metadata!D111,"UBERON:zone of skin"),exact(Metadata!D111,"UBERON:skin of hand"),exact(Metadata!D111,"UBERON:skin of forehead"))))</f>
        <v>0</v>
      </c>
      <c r="T111">
        <f>AND(IF(Metadata!E111="",FALSE,TRUE),exact(Metadata!E111,"human skin metagenome"))</f>
        <v>0</v>
      </c>
      <c r="U111">
        <f>AND(IF(Metadata!F111="",FALSE,TRUE),exact(Metadata!F111,"539655"))</f>
        <v>0</v>
      </c>
    </row>
    <row r="112" spans="1:21">
      <c r="A112" s="4">
        <f>IF(B112=" "," ",HYPERLINK(CONCATENATE("#metadata!",ADDRESS(INDEX($L$2:$L$1001,MATCH(ROWS($J$2:J112),$J$2:$J$1001,0),0),1)),INDEX($O$2:$O$1001,MATCH(ROWS($J$2:J112),$J$2:$J$1001,0),0)))</f>
        <v>0</v>
      </c>
      <c r="B112" s="3">
        <f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>0</v>
      </c>
      <c r="C112" s="3">
        <f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>0</v>
      </c>
      <c r="D112" s="3">
        <f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>0</v>
      </c>
      <c r="E112" s="3">
        <f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>0</v>
      </c>
      <c r="F112" s="3">
        <f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>0</v>
      </c>
      <c r="J112">
        <v>0</v>
      </c>
      <c r="K112">
        <v>0</v>
      </c>
      <c r="L112">
        <v>0</v>
      </c>
      <c r="M112">
        <f>IF(N112,TRUE,AND(Q112:U112))</f>
        <v>0</v>
      </c>
      <c r="N112">
        <f>COUNTBLANK(Metadata!B112:F112)=COLUMNS(Metadata!B112:F112)</f>
        <v>0</v>
      </c>
      <c r="O112">
        <v>0</v>
      </c>
      <c r="Q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>
        <f>AND(IF(Metadata!C112="",FALSE,TRUE),exact(Metadata!C112,"human-skin"))</f>
        <v>0</v>
      </c>
      <c r="S112">
        <f>OR(AND(IF(Metadata!D112="",FALSE,TRUE),OR(exact(Metadata!D112,"missing: not collected"),exact(Metadata!D112,"missing: not provided"))),AND(IF(Metadata!D112="",FALSE,TRUE),OR(exact(Metadata!D112,"UBERON:zone of skin"),exact(Metadata!D112,"UBERON:skin of hand"),exact(Metadata!D112,"UBERON:skin of forehead"))))</f>
        <v>0</v>
      </c>
      <c r="T112">
        <f>AND(IF(Metadata!E112="",FALSE,TRUE),exact(Metadata!E112,"human skin metagenome"))</f>
        <v>0</v>
      </c>
      <c r="U112">
        <f>AND(IF(Metadata!F112="",FALSE,TRUE),exact(Metadata!F112,"539655"))</f>
        <v>0</v>
      </c>
    </row>
    <row r="113" spans="1:21">
      <c r="A113" s="4">
        <f>IF(B113=" "," ",HYPERLINK(CONCATENATE("#metadata!",ADDRESS(INDEX($L$2:$L$1001,MATCH(ROWS($J$2:J113),$J$2:$J$1001,0),0),1)),INDEX($O$2:$O$1001,MATCH(ROWS($J$2:J113),$J$2:$J$1001,0),0)))</f>
        <v>0</v>
      </c>
      <c r="B113" s="3">
        <f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>0</v>
      </c>
      <c r="C113" s="3">
        <f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>0</v>
      </c>
      <c r="D113" s="3">
        <f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>0</v>
      </c>
      <c r="E113" s="3">
        <f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>0</v>
      </c>
      <c r="F113" s="3">
        <f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>0</v>
      </c>
      <c r="J113">
        <v>0</v>
      </c>
      <c r="K113">
        <v>0</v>
      </c>
      <c r="L113">
        <v>0</v>
      </c>
      <c r="M113">
        <f>IF(N113,TRUE,AND(Q113:U113))</f>
        <v>0</v>
      </c>
      <c r="N113">
        <f>COUNTBLANK(Metadata!B113:F113)=COLUMNS(Metadata!B113:F113)</f>
        <v>0</v>
      </c>
      <c r="O113">
        <v>0</v>
      </c>
      <c r="Q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>
        <f>AND(IF(Metadata!C113="",FALSE,TRUE),exact(Metadata!C113,"human-skin"))</f>
        <v>0</v>
      </c>
      <c r="S113">
        <f>OR(AND(IF(Metadata!D113="",FALSE,TRUE),OR(exact(Metadata!D113,"missing: not collected"),exact(Metadata!D113,"missing: not provided"))),AND(IF(Metadata!D113="",FALSE,TRUE),OR(exact(Metadata!D113,"UBERON:zone of skin"),exact(Metadata!D113,"UBERON:skin of hand"),exact(Metadata!D113,"UBERON:skin of forehead"))))</f>
        <v>0</v>
      </c>
      <c r="T113">
        <f>AND(IF(Metadata!E113="",FALSE,TRUE),exact(Metadata!E113,"human skin metagenome"))</f>
        <v>0</v>
      </c>
      <c r="U113">
        <f>AND(IF(Metadata!F113="",FALSE,TRUE),exact(Metadata!F113,"539655"))</f>
        <v>0</v>
      </c>
    </row>
    <row r="114" spans="1:21">
      <c r="A114" s="4">
        <f>IF(B114=" "," ",HYPERLINK(CONCATENATE("#metadata!",ADDRESS(INDEX($L$2:$L$1001,MATCH(ROWS($J$2:J114),$J$2:$J$1001,0),0),1)),INDEX($O$2:$O$1001,MATCH(ROWS($J$2:J114),$J$2:$J$1001,0),0)))</f>
        <v>0</v>
      </c>
      <c r="B114" s="3">
        <f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>0</v>
      </c>
      <c r="C114" s="3">
        <f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>0</v>
      </c>
      <c r="D114" s="3">
        <f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>0</v>
      </c>
      <c r="E114" s="3">
        <f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>0</v>
      </c>
      <c r="F114" s="3">
        <f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>0</v>
      </c>
      <c r="J114">
        <v>0</v>
      </c>
      <c r="K114">
        <v>0</v>
      </c>
      <c r="L114">
        <v>0</v>
      </c>
      <c r="M114">
        <f>IF(N114,TRUE,AND(Q114:U114))</f>
        <v>0</v>
      </c>
      <c r="N114">
        <f>COUNTBLANK(Metadata!B114:F114)=COLUMNS(Metadata!B114:F114)</f>
        <v>0</v>
      </c>
      <c r="O114">
        <v>0</v>
      </c>
      <c r="Q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>
        <f>AND(IF(Metadata!C114="",FALSE,TRUE),exact(Metadata!C114,"human-skin"))</f>
        <v>0</v>
      </c>
      <c r="S114">
        <f>OR(AND(IF(Metadata!D114="",FALSE,TRUE),OR(exact(Metadata!D114,"missing: not collected"),exact(Metadata!D114,"missing: not provided"))),AND(IF(Metadata!D114="",FALSE,TRUE),OR(exact(Metadata!D114,"UBERON:zone of skin"),exact(Metadata!D114,"UBERON:skin of hand"),exact(Metadata!D114,"UBERON:skin of forehead"))))</f>
        <v>0</v>
      </c>
      <c r="T114">
        <f>AND(IF(Metadata!E114="",FALSE,TRUE),exact(Metadata!E114,"human skin metagenome"))</f>
        <v>0</v>
      </c>
      <c r="U114">
        <f>AND(IF(Metadata!F114="",FALSE,TRUE),exact(Metadata!F114,"539655"))</f>
        <v>0</v>
      </c>
    </row>
    <row r="115" spans="1:21">
      <c r="A115" s="4">
        <f>IF(B115=" "," ",HYPERLINK(CONCATENATE("#metadata!",ADDRESS(INDEX($L$2:$L$1001,MATCH(ROWS($J$2:J115),$J$2:$J$1001,0),0),1)),INDEX($O$2:$O$1001,MATCH(ROWS($J$2:J115),$J$2:$J$1001,0),0)))</f>
        <v>0</v>
      </c>
      <c r="B115" s="3">
        <f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>0</v>
      </c>
      <c r="C115" s="3">
        <f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>0</v>
      </c>
      <c r="D115" s="3">
        <f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>0</v>
      </c>
      <c r="E115" s="3">
        <f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>0</v>
      </c>
      <c r="F115" s="3">
        <f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>0</v>
      </c>
      <c r="J115">
        <v>0</v>
      </c>
      <c r="K115">
        <v>0</v>
      </c>
      <c r="L115">
        <v>0</v>
      </c>
      <c r="M115">
        <f>IF(N115,TRUE,AND(Q115:U115))</f>
        <v>0</v>
      </c>
      <c r="N115">
        <f>COUNTBLANK(Metadata!B115:F115)=COLUMNS(Metadata!B115:F115)</f>
        <v>0</v>
      </c>
      <c r="O115">
        <v>0</v>
      </c>
      <c r="Q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>
        <f>AND(IF(Metadata!C115="",FALSE,TRUE),exact(Metadata!C115,"human-skin"))</f>
        <v>0</v>
      </c>
      <c r="S115">
        <f>OR(AND(IF(Metadata!D115="",FALSE,TRUE),OR(exact(Metadata!D115,"missing: not collected"),exact(Metadata!D115,"missing: not provided"))),AND(IF(Metadata!D115="",FALSE,TRUE),OR(exact(Metadata!D115,"UBERON:zone of skin"),exact(Metadata!D115,"UBERON:skin of hand"),exact(Metadata!D115,"UBERON:skin of forehead"))))</f>
        <v>0</v>
      </c>
      <c r="T115">
        <f>AND(IF(Metadata!E115="",FALSE,TRUE),exact(Metadata!E115,"human skin metagenome"))</f>
        <v>0</v>
      </c>
      <c r="U115">
        <f>AND(IF(Metadata!F115="",FALSE,TRUE),exact(Metadata!F115,"539655"))</f>
        <v>0</v>
      </c>
    </row>
    <row r="116" spans="1:21">
      <c r="A116" s="4">
        <f>IF(B116=" "," ",HYPERLINK(CONCATENATE("#metadata!",ADDRESS(INDEX($L$2:$L$1001,MATCH(ROWS($J$2:J116),$J$2:$J$1001,0),0),1)),INDEX($O$2:$O$1001,MATCH(ROWS($J$2:J116),$J$2:$J$1001,0),0)))</f>
        <v>0</v>
      </c>
      <c r="B116" s="3">
        <f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>0</v>
      </c>
      <c r="C116" s="3">
        <f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>0</v>
      </c>
      <c r="D116" s="3">
        <f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>0</v>
      </c>
      <c r="E116" s="3">
        <f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>0</v>
      </c>
      <c r="F116" s="3">
        <f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>0</v>
      </c>
      <c r="J116">
        <v>0</v>
      </c>
      <c r="K116">
        <v>0</v>
      </c>
      <c r="L116">
        <v>0</v>
      </c>
      <c r="M116">
        <f>IF(N116,TRUE,AND(Q116:U116))</f>
        <v>0</v>
      </c>
      <c r="N116">
        <f>COUNTBLANK(Metadata!B116:F116)=COLUMNS(Metadata!B116:F116)</f>
        <v>0</v>
      </c>
      <c r="O116">
        <v>0</v>
      </c>
      <c r="Q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>
        <f>AND(IF(Metadata!C116="",FALSE,TRUE),exact(Metadata!C116,"human-skin"))</f>
        <v>0</v>
      </c>
      <c r="S116">
        <f>OR(AND(IF(Metadata!D116="",FALSE,TRUE),OR(exact(Metadata!D116,"missing: not collected"),exact(Metadata!D116,"missing: not provided"))),AND(IF(Metadata!D116="",FALSE,TRUE),OR(exact(Metadata!D116,"UBERON:zone of skin"),exact(Metadata!D116,"UBERON:skin of hand"),exact(Metadata!D116,"UBERON:skin of forehead"))))</f>
        <v>0</v>
      </c>
      <c r="T116">
        <f>AND(IF(Metadata!E116="",FALSE,TRUE),exact(Metadata!E116,"human skin metagenome"))</f>
        <v>0</v>
      </c>
      <c r="U116">
        <f>AND(IF(Metadata!F116="",FALSE,TRUE),exact(Metadata!F116,"539655"))</f>
        <v>0</v>
      </c>
    </row>
    <row r="117" spans="1:21">
      <c r="A117" s="4">
        <f>IF(B117=" "," ",HYPERLINK(CONCATENATE("#metadata!",ADDRESS(INDEX($L$2:$L$1001,MATCH(ROWS($J$2:J117),$J$2:$J$1001,0),0),1)),INDEX($O$2:$O$1001,MATCH(ROWS($J$2:J117),$J$2:$J$1001,0),0)))</f>
        <v>0</v>
      </c>
      <c r="B117" s="3">
        <f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>0</v>
      </c>
      <c r="C117" s="3">
        <f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>0</v>
      </c>
      <c r="D117" s="3">
        <f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>0</v>
      </c>
      <c r="E117" s="3">
        <f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>0</v>
      </c>
      <c r="F117" s="3">
        <f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>0</v>
      </c>
      <c r="J117">
        <v>0</v>
      </c>
      <c r="K117">
        <v>0</v>
      </c>
      <c r="L117">
        <v>0</v>
      </c>
      <c r="M117">
        <f>IF(N117,TRUE,AND(Q117:U117))</f>
        <v>0</v>
      </c>
      <c r="N117">
        <f>COUNTBLANK(Metadata!B117:F117)=COLUMNS(Metadata!B117:F117)</f>
        <v>0</v>
      </c>
      <c r="O117">
        <v>0</v>
      </c>
      <c r="Q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>
        <f>AND(IF(Metadata!C117="",FALSE,TRUE),exact(Metadata!C117,"human-skin"))</f>
        <v>0</v>
      </c>
      <c r="S117">
        <f>OR(AND(IF(Metadata!D117="",FALSE,TRUE),OR(exact(Metadata!D117,"missing: not collected"),exact(Metadata!D117,"missing: not provided"))),AND(IF(Metadata!D117="",FALSE,TRUE),OR(exact(Metadata!D117,"UBERON:zone of skin"),exact(Metadata!D117,"UBERON:skin of hand"),exact(Metadata!D117,"UBERON:skin of forehead"))))</f>
        <v>0</v>
      </c>
      <c r="T117">
        <f>AND(IF(Metadata!E117="",FALSE,TRUE),exact(Metadata!E117,"human skin metagenome"))</f>
        <v>0</v>
      </c>
      <c r="U117">
        <f>AND(IF(Metadata!F117="",FALSE,TRUE),exact(Metadata!F117,"539655"))</f>
        <v>0</v>
      </c>
    </row>
    <row r="118" spans="1:21">
      <c r="A118" s="4">
        <f>IF(B118=" "," ",HYPERLINK(CONCATENATE("#metadata!",ADDRESS(INDEX($L$2:$L$1001,MATCH(ROWS($J$2:J118),$J$2:$J$1001,0),0),1)),INDEX($O$2:$O$1001,MATCH(ROWS($J$2:J118),$J$2:$J$1001,0),0)))</f>
        <v>0</v>
      </c>
      <c r="B118" s="3">
        <f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>0</v>
      </c>
      <c r="C118" s="3">
        <f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>0</v>
      </c>
      <c r="D118" s="3">
        <f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>0</v>
      </c>
      <c r="E118" s="3">
        <f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>0</v>
      </c>
      <c r="F118" s="3">
        <f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>0</v>
      </c>
      <c r="J118">
        <v>0</v>
      </c>
      <c r="K118">
        <v>0</v>
      </c>
      <c r="L118">
        <v>0</v>
      </c>
      <c r="M118">
        <f>IF(N118,TRUE,AND(Q118:U118))</f>
        <v>0</v>
      </c>
      <c r="N118">
        <f>COUNTBLANK(Metadata!B118:F118)=COLUMNS(Metadata!B118:F118)</f>
        <v>0</v>
      </c>
      <c r="O118">
        <v>0</v>
      </c>
      <c r="Q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>
        <f>AND(IF(Metadata!C118="",FALSE,TRUE),exact(Metadata!C118,"human-skin"))</f>
        <v>0</v>
      </c>
      <c r="S118">
        <f>OR(AND(IF(Metadata!D118="",FALSE,TRUE),OR(exact(Metadata!D118,"missing: not collected"),exact(Metadata!D118,"missing: not provided"))),AND(IF(Metadata!D118="",FALSE,TRUE),OR(exact(Metadata!D118,"UBERON:zone of skin"),exact(Metadata!D118,"UBERON:skin of hand"),exact(Metadata!D118,"UBERON:skin of forehead"))))</f>
        <v>0</v>
      </c>
      <c r="T118">
        <f>AND(IF(Metadata!E118="",FALSE,TRUE),exact(Metadata!E118,"human skin metagenome"))</f>
        <v>0</v>
      </c>
      <c r="U118">
        <f>AND(IF(Metadata!F118="",FALSE,TRUE),exact(Metadata!F118,"539655"))</f>
        <v>0</v>
      </c>
    </row>
    <row r="119" spans="1:21">
      <c r="A119" s="4">
        <f>IF(B119=" "," ",HYPERLINK(CONCATENATE("#metadata!",ADDRESS(INDEX($L$2:$L$1001,MATCH(ROWS($J$2:J119),$J$2:$J$1001,0),0),1)),INDEX($O$2:$O$1001,MATCH(ROWS($J$2:J119),$J$2:$J$1001,0),0)))</f>
        <v>0</v>
      </c>
      <c r="B119" s="3">
        <f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>0</v>
      </c>
      <c r="C119" s="3">
        <f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>0</v>
      </c>
      <c r="D119" s="3">
        <f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>0</v>
      </c>
      <c r="E119" s="3">
        <f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>0</v>
      </c>
      <c r="F119" s="3">
        <f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>0</v>
      </c>
      <c r="J119">
        <v>0</v>
      </c>
      <c r="K119">
        <v>0</v>
      </c>
      <c r="L119">
        <v>0</v>
      </c>
      <c r="M119">
        <f>IF(N119,TRUE,AND(Q119:U119))</f>
        <v>0</v>
      </c>
      <c r="N119">
        <f>COUNTBLANK(Metadata!B119:F119)=COLUMNS(Metadata!B119:F119)</f>
        <v>0</v>
      </c>
      <c r="O119">
        <v>0</v>
      </c>
      <c r="Q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>
        <f>AND(IF(Metadata!C119="",FALSE,TRUE),exact(Metadata!C119,"human-skin"))</f>
        <v>0</v>
      </c>
      <c r="S119">
        <f>OR(AND(IF(Metadata!D119="",FALSE,TRUE),OR(exact(Metadata!D119,"missing: not collected"),exact(Metadata!D119,"missing: not provided"))),AND(IF(Metadata!D119="",FALSE,TRUE),OR(exact(Metadata!D119,"UBERON:zone of skin"),exact(Metadata!D119,"UBERON:skin of hand"),exact(Metadata!D119,"UBERON:skin of forehead"))))</f>
        <v>0</v>
      </c>
      <c r="T119">
        <f>AND(IF(Metadata!E119="",FALSE,TRUE),exact(Metadata!E119,"human skin metagenome"))</f>
        <v>0</v>
      </c>
      <c r="U119">
        <f>AND(IF(Metadata!F119="",FALSE,TRUE),exact(Metadata!F119,"539655"))</f>
        <v>0</v>
      </c>
    </row>
    <row r="120" spans="1:21">
      <c r="A120" s="4">
        <f>IF(B120=" "," ",HYPERLINK(CONCATENATE("#metadata!",ADDRESS(INDEX($L$2:$L$1001,MATCH(ROWS($J$2:J120),$J$2:$J$1001,0),0),1)),INDEX($O$2:$O$1001,MATCH(ROWS($J$2:J120),$J$2:$J$1001,0),0)))</f>
        <v>0</v>
      </c>
      <c r="B120" s="3">
        <f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>0</v>
      </c>
      <c r="C120" s="3">
        <f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>0</v>
      </c>
      <c r="D120" s="3">
        <f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>0</v>
      </c>
      <c r="E120" s="3">
        <f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>0</v>
      </c>
      <c r="F120" s="3">
        <f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>0</v>
      </c>
      <c r="J120">
        <v>0</v>
      </c>
      <c r="K120">
        <v>0</v>
      </c>
      <c r="L120">
        <v>0</v>
      </c>
      <c r="M120">
        <f>IF(N120,TRUE,AND(Q120:U120))</f>
        <v>0</v>
      </c>
      <c r="N120">
        <f>COUNTBLANK(Metadata!B120:F120)=COLUMNS(Metadata!B120:F120)</f>
        <v>0</v>
      </c>
      <c r="O120">
        <v>0</v>
      </c>
      <c r="Q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>
        <f>AND(IF(Metadata!C120="",FALSE,TRUE),exact(Metadata!C120,"human-skin"))</f>
        <v>0</v>
      </c>
      <c r="S120">
        <f>OR(AND(IF(Metadata!D120="",FALSE,TRUE),OR(exact(Metadata!D120,"missing: not collected"),exact(Metadata!D120,"missing: not provided"))),AND(IF(Metadata!D120="",FALSE,TRUE),OR(exact(Metadata!D120,"UBERON:zone of skin"),exact(Metadata!D120,"UBERON:skin of hand"),exact(Metadata!D120,"UBERON:skin of forehead"))))</f>
        <v>0</v>
      </c>
      <c r="T120">
        <f>AND(IF(Metadata!E120="",FALSE,TRUE),exact(Metadata!E120,"human skin metagenome"))</f>
        <v>0</v>
      </c>
      <c r="U120">
        <f>AND(IF(Metadata!F120="",FALSE,TRUE),exact(Metadata!F120,"539655"))</f>
        <v>0</v>
      </c>
    </row>
    <row r="121" spans="1:21">
      <c r="A121" s="4">
        <f>IF(B121=" "," ",HYPERLINK(CONCATENATE("#metadata!",ADDRESS(INDEX($L$2:$L$1001,MATCH(ROWS($J$2:J121),$J$2:$J$1001,0),0),1)),INDEX($O$2:$O$1001,MATCH(ROWS($J$2:J121),$J$2:$J$1001,0),0)))</f>
        <v>0</v>
      </c>
      <c r="B121" s="3">
        <f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>0</v>
      </c>
      <c r="C121" s="3">
        <f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>0</v>
      </c>
      <c r="D121" s="3">
        <f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>0</v>
      </c>
      <c r="E121" s="3">
        <f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>0</v>
      </c>
      <c r="F121" s="3">
        <f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>0</v>
      </c>
      <c r="J121">
        <v>0</v>
      </c>
      <c r="K121">
        <v>0</v>
      </c>
      <c r="L121">
        <v>0</v>
      </c>
      <c r="M121">
        <f>IF(N121,TRUE,AND(Q121:U121))</f>
        <v>0</v>
      </c>
      <c r="N121">
        <f>COUNTBLANK(Metadata!B121:F121)=COLUMNS(Metadata!B121:F121)</f>
        <v>0</v>
      </c>
      <c r="O121">
        <v>0</v>
      </c>
      <c r="Q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>
        <f>AND(IF(Metadata!C121="",FALSE,TRUE),exact(Metadata!C121,"human-skin"))</f>
        <v>0</v>
      </c>
      <c r="S121">
        <f>OR(AND(IF(Metadata!D121="",FALSE,TRUE),OR(exact(Metadata!D121,"missing: not collected"),exact(Metadata!D121,"missing: not provided"))),AND(IF(Metadata!D121="",FALSE,TRUE),OR(exact(Metadata!D121,"UBERON:zone of skin"),exact(Metadata!D121,"UBERON:skin of hand"),exact(Metadata!D121,"UBERON:skin of forehead"))))</f>
        <v>0</v>
      </c>
      <c r="T121">
        <f>AND(IF(Metadata!E121="",FALSE,TRUE),exact(Metadata!E121,"human skin metagenome"))</f>
        <v>0</v>
      </c>
      <c r="U121">
        <f>AND(IF(Metadata!F121="",FALSE,TRUE),exact(Metadata!F121,"539655"))</f>
        <v>0</v>
      </c>
    </row>
    <row r="122" spans="1:21">
      <c r="A122" s="4">
        <f>IF(B122=" "," ",HYPERLINK(CONCATENATE("#metadata!",ADDRESS(INDEX($L$2:$L$1001,MATCH(ROWS($J$2:J122),$J$2:$J$1001,0),0),1)),INDEX($O$2:$O$1001,MATCH(ROWS($J$2:J122),$J$2:$J$1001,0),0)))</f>
        <v>0</v>
      </c>
      <c r="B122" s="3">
        <f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>0</v>
      </c>
      <c r="C122" s="3">
        <f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>0</v>
      </c>
      <c r="D122" s="3">
        <f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>0</v>
      </c>
      <c r="E122" s="3">
        <f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>0</v>
      </c>
      <c r="F122" s="3">
        <f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>0</v>
      </c>
      <c r="J122">
        <v>0</v>
      </c>
      <c r="K122">
        <v>0</v>
      </c>
      <c r="L122">
        <v>0</v>
      </c>
      <c r="M122">
        <f>IF(N122,TRUE,AND(Q122:U122))</f>
        <v>0</v>
      </c>
      <c r="N122">
        <f>COUNTBLANK(Metadata!B122:F122)=COLUMNS(Metadata!B122:F122)</f>
        <v>0</v>
      </c>
      <c r="O122">
        <v>0</v>
      </c>
      <c r="Q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>
        <f>AND(IF(Metadata!C122="",FALSE,TRUE),exact(Metadata!C122,"human-skin"))</f>
        <v>0</v>
      </c>
      <c r="S122">
        <f>OR(AND(IF(Metadata!D122="",FALSE,TRUE),OR(exact(Metadata!D122,"missing: not collected"),exact(Metadata!D122,"missing: not provided"))),AND(IF(Metadata!D122="",FALSE,TRUE),OR(exact(Metadata!D122,"UBERON:zone of skin"),exact(Metadata!D122,"UBERON:skin of hand"),exact(Metadata!D122,"UBERON:skin of forehead"))))</f>
        <v>0</v>
      </c>
      <c r="T122">
        <f>AND(IF(Metadata!E122="",FALSE,TRUE),exact(Metadata!E122,"human skin metagenome"))</f>
        <v>0</v>
      </c>
      <c r="U122">
        <f>AND(IF(Metadata!F122="",FALSE,TRUE),exact(Metadata!F122,"539655"))</f>
        <v>0</v>
      </c>
    </row>
    <row r="123" spans="1:21">
      <c r="A123" s="4">
        <f>IF(B123=" "," ",HYPERLINK(CONCATENATE("#metadata!",ADDRESS(INDEX($L$2:$L$1001,MATCH(ROWS($J$2:J123),$J$2:$J$1001,0),0),1)),INDEX($O$2:$O$1001,MATCH(ROWS($J$2:J123),$J$2:$J$1001,0),0)))</f>
        <v>0</v>
      </c>
      <c r="B123" s="3">
        <f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>0</v>
      </c>
      <c r="C123" s="3">
        <f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>0</v>
      </c>
      <c r="D123" s="3">
        <f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>0</v>
      </c>
      <c r="E123" s="3">
        <f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>0</v>
      </c>
      <c r="F123" s="3">
        <f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>0</v>
      </c>
      <c r="J123">
        <v>0</v>
      </c>
      <c r="K123">
        <v>0</v>
      </c>
      <c r="L123">
        <v>0</v>
      </c>
      <c r="M123">
        <f>IF(N123,TRUE,AND(Q123:U123))</f>
        <v>0</v>
      </c>
      <c r="N123">
        <f>COUNTBLANK(Metadata!B123:F123)=COLUMNS(Metadata!B123:F123)</f>
        <v>0</v>
      </c>
      <c r="O123">
        <v>0</v>
      </c>
      <c r="Q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>
        <f>AND(IF(Metadata!C123="",FALSE,TRUE),exact(Metadata!C123,"human-skin"))</f>
        <v>0</v>
      </c>
      <c r="S123">
        <f>OR(AND(IF(Metadata!D123="",FALSE,TRUE),OR(exact(Metadata!D123,"missing: not collected"),exact(Metadata!D123,"missing: not provided"))),AND(IF(Metadata!D123="",FALSE,TRUE),OR(exact(Metadata!D123,"UBERON:zone of skin"),exact(Metadata!D123,"UBERON:skin of hand"),exact(Metadata!D123,"UBERON:skin of forehead"))))</f>
        <v>0</v>
      </c>
      <c r="T123">
        <f>AND(IF(Metadata!E123="",FALSE,TRUE),exact(Metadata!E123,"human skin metagenome"))</f>
        <v>0</v>
      </c>
      <c r="U123">
        <f>AND(IF(Metadata!F123="",FALSE,TRUE),exact(Metadata!F123,"539655"))</f>
        <v>0</v>
      </c>
    </row>
    <row r="124" spans="1:21">
      <c r="A124" s="4">
        <f>IF(B124=" "," ",HYPERLINK(CONCATENATE("#metadata!",ADDRESS(INDEX($L$2:$L$1001,MATCH(ROWS($J$2:J124),$J$2:$J$1001,0),0),1)),INDEX($O$2:$O$1001,MATCH(ROWS($J$2:J124),$J$2:$J$1001,0),0)))</f>
        <v>0</v>
      </c>
      <c r="B124" s="3">
        <f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>0</v>
      </c>
      <c r="C124" s="3">
        <f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>0</v>
      </c>
      <c r="D124" s="3">
        <f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>0</v>
      </c>
      <c r="E124" s="3">
        <f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>0</v>
      </c>
      <c r="F124" s="3">
        <f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>0</v>
      </c>
      <c r="J124">
        <v>0</v>
      </c>
      <c r="K124">
        <v>0</v>
      </c>
      <c r="L124">
        <v>0</v>
      </c>
      <c r="M124">
        <f>IF(N124,TRUE,AND(Q124:U124))</f>
        <v>0</v>
      </c>
      <c r="N124">
        <f>COUNTBLANK(Metadata!B124:F124)=COLUMNS(Metadata!B124:F124)</f>
        <v>0</v>
      </c>
      <c r="O124">
        <v>0</v>
      </c>
      <c r="Q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>
        <f>AND(IF(Metadata!C124="",FALSE,TRUE),exact(Metadata!C124,"human-skin"))</f>
        <v>0</v>
      </c>
      <c r="S124">
        <f>OR(AND(IF(Metadata!D124="",FALSE,TRUE),OR(exact(Metadata!D124,"missing: not collected"),exact(Metadata!D124,"missing: not provided"))),AND(IF(Metadata!D124="",FALSE,TRUE),OR(exact(Metadata!D124,"UBERON:zone of skin"),exact(Metadata!D124,"UBERON:skin of hand"),exact(Metadata!D124,"UBERON:skin of forehead"))))</f>
        <v>0</v>
      </c>
      <c r="T124">
        <f>AND(IF(Metadata!E124="",FALSE,TRUE),exact(Metadata!E124,"human skin metagenome"))</f>
        <v>0</v>
      </c>
      <c r="U124">
        <f>AND(IF(Metadata!F124="",FALSE,TRUE),exact(Metadata!F124,"539655"))</f>
        <v>0</v>
      </c>
    </row>
    <row r="125" spans="1:21">
      <c r="A125" s="4">
        <f>IF(B125=" "," ",HYPERLINK(CONCATENATE("#metadata!",ADDRESS(INDEX($L$2:$L$1001,MATCH(ROWS($J$2:J125),$J$2:$J$1001,0),0),1)),INDEX($O$2:$O$1001,MATCH(ROWS($J$2:J125),$J$2:$J$1001,0),0)))</f>
        <v>0</v>
      </c>
      <c r="B125" s="3">
        <f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>0</v>
      </c>
      <c r="C125" s="3">
        <f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>0</v>
      </c>
      <c r="D125" s="3">
        <f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>0</v>
      </c>
      <c r="E125" s="3">
        <f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>0</v>
      </c>
      <c r="F125" s="3">
        <f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>0</v>
      </c>
      <c r="J125">
        <v>0</v>
      </c>
      <c r="K125">
        <v>0</v>
      </c>
      <c r="L125">
        <v>0</v>
      </c>
      <c r="M125">
        <f>IF(N125,TRUE,AND(Q125:U125))</f>
        <v>0</v>
      </c>
      <c r="N125">
        <f>COUNTBLANK(Metadata!B125:F125)=COLUMNS(Metadata!B125:F125)</f>
        <v>0</v>
      </c>
      <c r="O125">
        <v>0</v>
      </c>
      <c r="Q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>
        <f>AND(IF(Metadata!C125="",FALSE,TRUE),exact(Metadata!C125,"human-skin"))</f>
        <v>0</v>
      </c>
      <c r="S125">
        <f>OR(AND(IF(Metadata!D125="",FALSE,TRUE),OR(exact(Metadata!D125,"missing: not collected"),exact(Metadata!D125,"missing: not provided"))),AND(IF(Metadata!D125="",FALSE,TRUE),OR(exact(Metadata!D125,"UBERON:zone of skin"),exact(Metadata!D125,"UBERON:skin of hand"),exact(Metadata!D125,"UBERON:skin of forehead"))))</f>
        <v>0</v>
      </c>
      <c r="T125">
        <f>AND(IF(Metadata!E125="",FALSE,TRUE),exact(Metadata!E125,"human skin metagenome"))</f>
        <v>0</v>
      </c>
      <c r="U125">
        <f>AND(IF(Metadata!F125="",FALSE,TRUE),exact(Metadata!F125,"539655"))</f>
        <v>0</v>
      </c>
    </row>
    <row r="126" spans="1:21">
      <c r="A126" s="4">
        <f>IF(B126=" "," ",HYPERLINK(CONCATENATE("#metadata!",ADDRESS(INDEX($L$2:$L$1001,MATCH(ROWS($J$2:J126),$J$2:$J$1001,0),0),1)),INDEX($O$2:$O$1001,MATCH(ROWS($J$2:J126),$J$2:$J$1001,0),0)))</f>
        <v>0</v>
      </c>
      <c r="B126" s="3">
        <f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>0</v>
      </c>
      <c r="C126" s="3">
        <f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>0</v>
      </c>
      <c r="D126" s="3">
        <f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>0</v>
      </c>
      <c r="E126" s="3">
        <f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>0</v>
      </c>
      <c r="F126" s="3">
        <f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>0</v>
      </c>
      <c r="J126">
        <v>0</v>
      </c>
      <c r="K126">
        <v>0</v>
      </c>
      <c r="L126">
        <v>0</v>
      </c>
      <c r="M126">
        <f>IF(N126,TRUE,AND(Q126:U126))</f>
        <v>0</v>
      </c>
      <c r="N126">
        <f>COUNTBLANK(Metadata!B126:F126)=COLUMNS(Metadata!B126:F126)</f>
        <v>0</v>
      </c>
      <c r="O126">
        <v>0</v>
      </c>
      <c r="Q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>
        <f>AND(IF(Metadata!C126="",FALSE,TRUE),exact(Metadata!C126,"human-skin"))</f>
        <v>0</v>
      </c>
      <c r="S126">
        <f>OR(AND(IF(Metadata!D126="",FALSE,TRUE),OR(exact(Metadata!D126,"missing: not collected"),exact(Metadata!D126,"missing: not provided"))),AND(IF(Metadata!D126="",FALSE,TRUE),OR(exact(Metadata!D126,"UBERON:zone of skin"),exact(Metadata!D126,"UBERON:skin of hand"),exact(Metadata!D126,"UBERON:skin of forehead"))))</f>
        <v>0</v>
      </c>
      <c r="T126">
        <f>AND(IF(Metadata!E126="",FALSE,TRUE),exact(Metadata!E126,"human skin metagenome"))</f>
        <v>0</v>
      </c>
      <c r="U126">
        <f>AND(IF(Metadata!F126="",FALSE,TRUE),exact(Metadata!F126,"539655"))</f>
        <v>0</v>
      </c>
    </row>
    <row r="127" spans="1:21">
      <c r="A127" s="4">
        <f>IF(B127=" "," ",HYPERLINK(CONCATENATE("#metadata!",ADDRESS(INDEX($L$2:$L$1001,MATCH(ROWS($J$2:J127),$J$2:$J$1001,0),0),1)),INDEX($O$2:$O$1001,MATCH(ROWS($J$2:J127),$J$2:$J$1001,0),0)))</f>
        <v>0</v>
      </c>
      <c r="B127" s="3">
        <f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>0</v>
      </c>
      <c r="C127" s="3">
        <f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>0</v>
      </c>
      <c r="D127" s="3">
        <f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>0</v>
      </c>
      <c r="E127" s="3">
        <f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>0</v>
      </c>
      <c r="F127" s="3">
        <f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>0</v>
      </c>
      <c r="J127">
        <v>0</v>
      </c>
      <c r="K127">
        <v>0</v>
      </c>
      <c r="L127">
        <v>0</v>
      </c>
      <c r="M127">
        <f>IF(N127,TRUE,AND(Q127:U127))</f>
        <v>0</v>
      </c>
      <c r="N127">
        <f>COUNTBLANK(Metadata!B127:F127)=COLUMNS(Metadata!B127:F127)</f>
        <v>0</v>
      </c>
      <c r="O127">
        <v>0</v>
      </c>
      <c r="Q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>
        <f>AND(IF(Metadata!C127="",FALSE,TRUE),exact(Metadata!C127,"human-skin"))</f>
        <v>0</v>
      </c>
      <c r="S127">
        <f>OR(AND(IF(Metadata!D127="",FALSE,TRUE),OR(exact(Metadata!D127,"missing: not collected"),exact(Metadata!D127,"missing: not provided"))),AND(IF(Metadata!D127="",FALSE,TRUE),OR(exact(Metadata!D127,"UBERON:zone of skin"),exact(Metadata!D127,"UBERON:skin of hand"),exact(Metadata!D127,"UBERON:skin of forehead"))))</f>
        <v>0</v>
      </c>
      <c r="T127">
        <f>AND(IF(Metadata!E127="",FALSE,TRUE),exact(Metadata!E127,"human skin metagenome"))</f>
        <v>0</v>
      </c>
      <c r="U127">
        <f>AND(IF(Metadata!F127="",FALSE,TRUE),exact(Metadata!F127,"539655"))</f>
        <v>0</v>
      </c>
    </row>
    <row r="128" spans="1:21">
      <c r="A128" s="4">
        <f>IF(B128=" "," ",HYPERLINK(CONCATENATE("#metadata!",ADDRESS(INDEX($L$2:$L$1001,MATCH(ROWS($J$2:J128),$J$2:$J$1001,0),0),1)),INDEX($O$2:$O$1001,MATCH(ROWS($J$2:J128),$J$2:$J$1001,0),0)))</f>
        <v>0</v>
      </c>
      <c r="B128" s="3">
        <f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>0</v>
      </c>
      <c r="C128" s="3">
        <f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>0</v>
      </c>
      <c r="D128" s="3">
        <f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>0</v>
      </c>
      <c r="E128" s="3">
        <f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>0</v>
      </c>
      <c r="F128" s="3">
        <f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>0</v>
      </c>
      <c r="J128">
        <v>0</v>
      </c>
      <c r="K128">
        <v>0</v>
      </c>
      <c r="L128">
        <v>0</v>
      </c>
      <c r="M128">
        <f>IF(N128,TRUE,AND(Q128:U128))</f>
        <v>0</v>
      </c>
      <c r="N128">
        <f>COUNTBLANK(Metadata!B128:F128)=COLUMNS(Metadata!B128:F128)</f>
        <v>0</v>
      </c>
      <c r="O128">
        <v>0</v>
      </c>
      <c r="Q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>
        <f>AND(IF(Metadata!C128="",FALSE,TRUE),exact(Metadata!C128,"human-skin"))</f>
        <v>0</v>
      </c>
      <c r="S128">
        <f>OR(AND(IF(Metadata!D128="",FALSE,TRUE),OR(exact(Metadata!D128,"missing: not collected"),exact(Metadata!D128,"missing: not provided"))),AND(IF(Metadata!D128="",FALSE,TRUE),OR(exact(Metadata!D128,"UBERON:zone of skin"),exact(Metadata!D128,"UBERON:skin of hand"),exact(Metadata!D128,"UBERON:skin of forehead"))))</f>
        <v>0</v>
      </c>
      <c r="T128">
        <f>AND(IF(Metadata!E128="",FALSE,TRUE),exact(Metadata!E128,"human skin metagenome"))</f>
        <v>0</v>
      </c>
      <c r="U128">
        <f>AND(IF(Metadata!F128="",FALSE,TRUE),exact(Metadata!F128,"539655"))</f>
        <v>0</v>
      </c>
    </row>
    <row r="129" spans="1:21">
      <c r="A129" s="4">
        <f>IF(B129=" "," ",HYPERLINK(CONCATENATE("#metadata!",ADDRESS(INDEX($L$2:$L$1001,MATCH(ROWS($J$2:J129),$J$2:$J$1001,0),0),1)),INDEX($O$2:$O$1001,MATCH(ROWS($J$2:J129),$J$2:$J$1001,0),0)))</f>
        <v>0</v>
      </c>
      <c r="B129" s="3">
        <f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>0</v>
      </c>
      <c r="C129" s="3">
        <f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>0</v>
      </c>
      <c r="D129" s="3">
        <f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>0</v>
      </c>
      <c r="E129" s="3">
        <f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>0</v>
      </c>
      <c r="F129" s="3">
        <f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>0</v>
      </c>
      <c r="J129">
        <v>0</v>
      </c>
      <c r="K129">
        <v>0</v>
      </c>
      <c r="L129">
        <v>0</v>
      </c>
      <c r="M129">
        <f>IF(N129,TRUE,AND(Q129:U129))</f>
        <v>0</v>
      </c>
      <c r="N129">
        <f>COUNTBLANK(Metadata!B129:F129)=COLUMNS(Metadata!B129:F129)</f>
        <v>0</v>
      </c>
      <c r="O129">
        <v>0</v>
      </c>
      <c r="Q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>
        <f>AND(IF(Metadata!C129="",FALSE,TRUE),exact(Metadata!C129,"human-skin"))</f>
        <v>0</v>
      </c>
      <c r="S129">
        <f>OR(AND(IF(Metadata!D129="",FALSE,TRUE),OR(exact(Metadata!D129,"missing: not collected"),exact(Metadata!D129,"missing: not provided"))),AND(IF(Metadata!D129="",FALSE,TRUE),OR(exact(Metadata!D129,"UBERON:zone of skin"),exact(Metadata!D129,"UBERON:skin of hand"),exact(Metadata!D129,"UBERON:skin of forehead"))))</f>
        <v>0</v>
      </c>
      <c r="T129">
        <f>AND(IF(Metadata!E129="",FALSE,TRUE),exact(Metadata!E129,"human skin metagenome"))</f>
        <v>0</v>
      </c>
      <c r="U129">
        <f>AND(IF(Metadata!F129="",FALSE,TRUE),exact(Metadata!F129,"539655"))</f>
        <v>0</v>
      </c>
    </row>
    <row r="130" spans="1:21">
      <c r="A130" s="4">
        <f>IF(B130=" "," ",HYPERLINK(CONCATENATE("#metadata!",ADDRESS(INDEX($L$2:$L$1001,MATCH(ROWS($J$2:J130),$J$2:$J$1001,0),0),1)),INDEX($O$2:$O$1001,MATCH(ROWS($J$2:J130),$J$2:$J$1001,0),0)))</f>
        <v>0</v>
      </c>
      <c r="B130" s="3">
        <f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>0</v>
      </c>
      <c r="C130" s="3">
        <f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>0</v>
      </c>
      <c r="D130" s="3">
        <f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>0</v>
      </c>
      <c r="E130" s="3">
        <f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>0</v>
      </c>
      <c r="F130" s="3">
        <f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>0</v>
      </c>
      <c r="J130">
        <v>0</v>
      </c>
      <c r="K130">
        <v>0</v>
      </c>
      <c r="L130">
        <v>0</v>
      </c>
      <c r="M130">
        <f>IF(N130,TRUE,AND(Q130:U130))</f>
        <v>0</v>
      </c>
      <c r="N130">
        <f>COUNTBLANK(Metadata!B130:F130)=COLUMNS(Metadata!B130:F130)</f>
        <v>0</v>
      </c>
      <c r="O130">
        <v>0</v>
      </c>
      <c r="Q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>
        <f>AND(IF(Metadata!C130="",FALSE,TRUE),exact(Metadata!C130,"human-skin"))</f>
        <v>0</v>
      </c>
      <c r="S130">
        <f>OR(AND(IF(Metadata!D130="",FALSE,TRUE),OR(exact(Metadata!D130,"missing: not collected"),exact(Metadata!D130,"missing: not provided"))),AND(IF(Metadata!D130="",FALSE,TRUE),OR(exact(Metadata!D130,"UBERON:zone of skin"),exact(Metadata!D130,"UBERON:skin of hand"),exact(Metadata!D130,"UBERON:skin of forehead"))))</f>
        <v>0</v>
      </c>
      <c r="T130">
        <f>AND(IF(Metadata!E130="",FALSE,TRUE),exact(Metadata!E130,"human skin metagenome"))</f>
        <v>0</v>
      </c>
      <c r="U130">
        <f>AND(IF(Metadata!F130="",FALSE,TRUE),exact(Metadata!F130,"539655"))</f>
        <v>0</v>
      </c>
    </row>
    <row r="131" spans="1:21">
      <c r="A131" s="4">
        <f>IF(B131=" "," ",HYPERLINK(CONCATENATE("#metadata!",ADDRESS(INDEX($L$2:$L$1001,MATCH(ROWS($J$2:J131),$J$2:$J$1001,0),0),1)),INDEX($O$2:$O$1001,MATCH(ROWS($J$2:J131),$J$2:$J$1001,0),0)))</f>
        <v>0</v>
      </c>
      <c r="B131" s="3">
        <f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>0</v>
      </c>
      <c r="C131" s="3">
        <f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>0</v>
      </c>
      <c r="D131" s="3">
        <f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>0</v>
      </c>
      <c r="E131" s="3">
        <f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>0</v>
      </c>
      <c r="F131" s="3">
        <f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>0</v>
      </c>
      <c r="J131">
        <v>0</v>
      </c>
      <c r="K131">
        <v>0</v>
      </c>
      <c r="L131">
        <v>0</v>
      </c>
      <c r="M131">
        <f>IF(N131,TRUE,AND(Q131:U131))</f>
        <v>0</v>
      </c>
      <c r="N131">
        <f>COUNTBLANK(Metadata!B131:F131)=COLUMNS(Metadata!B131:F131)</f>
        <v>0</v>
      </c>
      <c r="O131">
        <v>0</v>
      </c>
      <c r="Q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>
        <f>AND(IF(Metadata!C131="",FALSE,TRUE),exact(Metadata!C131,"human-skin"))</f>
        <v>0</v>
      </c>
      <c r="S131">
        <f>OR(AND(IF(Metadata!D131="",FALSE,TRUE),OR(exact(Metadata!D131,"missing: not collected"),exact(Metadata!D131,"missing: not provided"))),AND(IF(Metadata!D131="",FALSE,TRUE),OR(exact(Metadata!D131,"UBERON:zone of skin"),exact(Metadata!D131,"UBERON:skin of hand"),exact(Metadata!D131,"UBERON:skin of forehead"))))</f>
        <v>0</v>
      </c>
      <c r="T131">
        <f>AND(IF(Metadata!E131="",FALSE,TRUE),exact(Metadata!E131,"human skin metagenome"))</f>
        <v>0</v>
      </c>
      <c r="U131">
        <f>AND(IF(Metadata!F131="",FALSE,TRUE),exact(Metadata!F131,"539655"))</f>
        <v>0</v>
      </c>
    </row>
    <row r="132" spans="1:21">
      <c r="A132" s="4">
        <f>IF(B132=" "," ",HYPERLINK(CONCATENATE("#metadata!",ADDRESS(INDEX($L$2:$L$1001,MATCH(ROWS($J$2:J132),$J$2:$J$1001,0),0),1)),INDEX($O$2:$O$1001,MATCH(ROWS($J$2:J132),$J$2:$J$1001,0),0)))</f>
        <v>0</v>
      </c>
      <c r="B132" s="3">
        <f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>0</v>
      </c>
      <c r="C132" s="3">
        <f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>0</v>
      </c>
      <c r="D132" s="3">
        <f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>0</v>
      </c>
      <c r="E132" s="3">
        <f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>0</v>
      </c>
      <c r="F132" s="3">
        <f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>0</v>
      </c>
      <c r="J132">
        <v>0</v>
      </c>
      <c r="K132">
        <v>0</v>
      </c>
      <c r="L132">
        <v>0</v>
      </c>
      <c r="M132">
        <f>IF(N132,TRUE,AND(Q132:U132))</f>
        <v>0</v>
      </c>
      <c r="N132">
        <f>COUNTBLANK(Metadata!B132:F132)=COLUMNS(Metadata!B132:F132)</f>
        <v>0</v>
      </c>
      <c r="O132">
        <v>0</v>
      </c>
      <c r="Q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>
        <f>AND(IF(Metadata!C132="",FALSE,TRUE),exact(Metadata!C132,"human-skin"))</f>
        <v>0</v>
      </c>
      <c r="S132">
        <f>OR(AND(IF(Metadata!D132="",FALSE,TRUE),OR(exact(Metadata!D132,"missing: not collected"),exact(Metadata!D132,"missing: not provided"))),AND(IF(Metadata!D132="",FALSE,TRUE),OR(exact(Metadata!D132,"UBERON:zone of skin"),exact(Metadata!D132,"UBERON:skin of hand"),exact(Metadata!D132,"UBERON:skin of forehead"))))</f>
        <v>0</v>
      </c>
      <c r="T132">
        <f>AND(IF(Metadata!E132="",FALSE,TRUE),exact(Metadata!E132,"human skin metagenome"))</f>
        <v>0</v>
      </c>
      <c r="U132">
        <f>AND(IF(Metadata!F132="",FALSE,TRUE),exact(Metadata!F132,"539655"))</f>
        <v>0</v>
      </c>
    </row>
    <row r="133" spans="1:21">
      <c r="A133" s="4">
        <f>IF(B133=" "," ",HYPERLINK(CONCATENATE("#metadata!",ADDRESS(INDEX($L$2:$L$1001,MATCH(ROWS($J$2:J133),$J$2:$J$1001,0),0),1)),INDEX($O$2:$O$1001,MATCH(ROWS($J$2:J133),$J$2:$J$1001,0),0)))</f>
        <v>0</v>
      </c>
      <c r="B133" s="3">
        <f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>0</v>
      </c>
      <c r="C133" s="3">
        <f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>0</v>
      </c>
      <c r="D133" s="3">
        <f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>0</v>
      </c>
      <c r="E133" s="3">
        <f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>0</v>
      </c>
      <c r="F133" s="3">
        <f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>0</v>
      </c>
      <c r="J133">
        <v>0</v>
      </c>
      <c r="K133">
        <v>0</v>
      </c>
      <c r="L133">
        <v>0</v>
      </c>
      <c r="M133">
        <f>IF(N133,TRUE,AND(Q133:U133))</f>
        <v>0</v>
      </c>
      <c r="N133">
        <f>COUNTBLANK(Metadata!B133:F133)=COLUMNS(Metadata!B133:F133)</f>
        <v>0</v>
      </c>
      <c r="O133">
        <v>0</v>
      </c>
      <c r="Q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>
        <f>AND(IF(Metadata!C133="",FALSE,TRUE),exact(Metadata!C133,"human-skin"))</f>
        <v>0</v>
      </c>
      <c r="S133">
        <f>OR(AND(IF(Metadata!D133="",FALSE,TRUE),OR(exact(Metadata!D133,"missing: not collected"),exact(Metadata!D133,"missing: not provided"))),AND(IF(Metadata!D133="",FALSE,TRUE),OR(exact(Metadata!D133,"UBERON:zone of skin"),exact(Metadata!D133,"UBERON:skin of hand"),exact(Metadata!D133,"UBERON:skin of forehead"))))</f>
        <v>0</v>
      </c>
      <c r="T133">
        <f>AND(IF(Metadata!E133="",FALSE,TRUE),exact(Metadata!E133,"human skin metagenome"))</f>
        <v>0</v>
      </c>
      <c r="U133">
        <f>AND(IF(Metadata!F133="",FALSE,TRUE),exact(Metadata!F133,"539655"))</f>
        <v>0</v>
      </c>
    </row>
    <row r="134" spans="1:21">
      <c r="A134" s="4">
        <f>IF(B134=" "," ",HYPERLINK(CONCATENATE("#metadata!",ADDRESS(INDEX($L$2:$L$1001,MATCH(ROWS($J$2:J134),$J$2:$J$1001,0),0),1)),INDEX($O$2:$O$1001,MATCH(ROWS($J$2:J134),$J$2:$J$1001,0),0)))</f>
        <v>0</v>
      </c>
      <c r="B134" s="3">
        <f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>0</v>
      </c>
      <c r="C134" s="3">
        <f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>0</v>
      </c>
      <c r="D134" s="3">
        <f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>0</v>
      </c>
      <c r="E134" s="3">
        <f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>0</v>
      </c>
      <c r="F134" s="3">
        <f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>0</v>
      </c>
      <c r="J134">
        <v>0</v>
      </c>
      <c r="K134">
        <v>0</v>
      </c>
      <c r="L134">
        <v>0</v>
      </c>
      <c r="M134">
        <f>IF(N134,TRUE,AND(Q134:U134))</f>
        <v>0</v>
      </c>
      <c r="N134">
        <f>COUNTBLANK(Metadata!B134:F134)=COLUMNS(Metadata!B134:F134)</f>
        <v>0</v>
      </c>
      <c r="O134">
        <v>0</v>
      </c>
      <c r="Q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>
        <f>AND(IF(Metadata!C134="",FALSE,TRUE),exact(Metadata!C134,"human-skin"))</f>
        <v>0</v>
      </c>
      <c r="S134">
        <f>OR(AND(IF(Metadata!D134="",FALSE,TRUE),OR(exact(Metadata!D134,"missing: not collected"),exact(Metadata!D134,"missing: not provided"))),AND(IF(Metadata!D134="",FALSE,TRUE),OR(exact(Metadata!D134,"UBERON:zone of skin"),exact(Metadata!D134,"UBERON:skin of hand"),exact(Metadata!D134,"UBERON:skin of forehead"))))</f>
        <v>0</v>
      </c>
      <c r="T134">
        <f>AND(IF(Metadata!E134="",FALSE,TRUE),exact(Metadata!E134,"human skin metagenome"))</f>
        <v>0</v>
      </c>
      <c r="U134">
        <f>AND(IF(Metadata!F134="",FALSE,TRUE),exact(Metadata!F134,"539655"))</f>
        <v>0</v>
      </c>
    </row>
    <row r="135" spans="1:21">
      <c r="A135" s="4">
        <f>IF(B135=" "," ",HYPERLINK(CONCATENATE("#metadata!",ADDRESS(INDEX($L$2:$L$1001,MATCH(ROWS($J$2:J135),$J$2:$J$1001,0),0),1)),INDEX($O$2:$O$1001,MATCH(ROWS($J$2:J135),$J$2:$J$1001,0),0)))</f>
        <v>0</v>
      </c>
      <c r="B135" s="3">
        <f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>0</v>
      </c>
      <c r="C135" s="3">
        <f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>0</v>
      </c>
      <c r="D135" s="3">
        <f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>0</v>
      </c>
      <c r="E135" s="3">
        <f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>0</v>
      </c>
      <c r="F135" s="3">
        <f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>0</v>
      </c>
      <c r="J135">
        <v>0</v>
      </c>
      <c r="K135">
        <v>0</v>
      </c>
      <c r="L135">
        <v>0</v>
      </c>
      <c r="M135">
        <f>IF(N135,TRUE,AND(Q135:U135))</f>
        <v>0</v>
      </c>
      <c r="N135">
        <f>COUNTBLANK(Metadata!B135:F135)=COLUMNS(Metadata!B135:F135)</f>
        <v>0</v>
      </c>
      <c r="O135">
        <v>0</v>
      </c>
      <c r="Q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>
        <f>AND(IF(Metadata!C135="",FALSE,TRUE),exact(Metadata!C135,"human-skin"))</f>
        <v>0</v>
      </c>
      <c r="S135">
        <f>OR(AND(IF(Metadata!D135="",FALSE,TRUE),OR(exact(Metadata!D135,"missing: not collected"),exact(Metadata!D135,"missing: not provided"))),AND(IF(Metadata!D135="",FALSE,TRUE),OR(exact(Metadata!D135,"UBERON:zone of skin"),exact(Metadata!D135,"UBERON:skin of hand"),exact(Metadata!D135,"UBERON:skin of forehead"))))</f>
        <v>0</v>
      </c>
      <c r="T135">
        <f>AND(IF(Metadata!E135="",FALSE,TRUE),exact(Metadata!E135,"human skin metagenome"))</f>
        <v>0</v>
      </c>
      <c r="U135">
        <f>AND(IF(Metadata!F135="",FALSE,TRUE),exact(Metadata!F135,"539655"))</f>
        <v>0</v>
      </c>
    </row>
    <row r="136" spans="1:21">
      <c r="A136" s="4">
        <f>IF(B136=" "," ",HYPERLINK(CONCATENATE("#metadata!",ADDRESS(INDEX($L$2:$L$1001,MATCH(ROWS($J$2:J136),$J$2:$J$1001,0),0),1)),INDEX($O$2:$O$1001,MATCH(ROWS($J$2:J136),$J$2:$J$1001,0),0)))</f>
        <v>0</v>
      </c>
      <c r="B136" s="3">
        <f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>0</v>
      </c>
      <c r="C136" s="3">
        <f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>0</v>
      </c>
      <c r="D136" s="3">
        <f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>0</v>
      </c>
      <c r="E136" s="3">
        <f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>0</v>
      </c>
      <c r="F136" s="3">
        <f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>0</v>
      </c>
      <c r="J136">
        <v>0</v>
      </c>
      <c r="K136">
        <v>0</v>
      </c>
      <c r="L136">
        <v>0</v>
      </c>
      <c r="M136">
        <f>IF(N136,TRUE,AND(Q136:U136))</f>
        <v>0</v>
      </c>
      <c r="N136">
        <f>COUNTBLANK(Metadata!B136:F136)=COLUMNS(Metadata!B136:F136)</f>
        <v>0</v>
      </c>
      <c r="O136">
        <v>0</v>
      </c>
      <c r="Q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>
        <f>AND(IF(Metadata!C136="",FALSE,TRUE),exact(Metadata!C136,"human-skin"))</f>
        <v>0</v>
      </c>
      <c r="S136">
        <f>OR(AND(IF(Metadata!D136="",FALSE,TRUE),OR(exact(Metadata!D136,"missing: not collected"),exact(Metadata!D136,"missing: not provided"))),AND(IF(Metadata!D136="",FALSE,TRUE),OR(exact(Metadata!D136,"UBERON:zone of skin"),exact(Metadata!D136,"UBERON:skin of hand"),exact(Metadata!D136,"UBERON:skin of forehead"))))</f>
        <v>0</v>
      </c>
      <c r="T136">
        <f>AND(IF(Metadata!E136="",FALSE,TRUE),exact(Metadata!E136,"human skin metagenome"))</f>
        <v>0</v>
      </c>
      <c r="U136">
        <f>AND(IF(Metadata!F136="",FALSE,TRUE),exact(Metadata!F136,"539655"))</f>
        <v>0</v>
      </c>
    </row>
    <row r="137" spans="1:21">
      <c r="A137" s="4">
        <f>IF(B137=" "," ",HYPERLINK(CONCATENATE("#metadata!",ADDRESS(INDEX($L$2:$L$1001,MATCH(ROWS($J$2:J137),$J$2:$J$1001,0),0),1)),INDEX($O$2:$O$1001,MATCH(ROWS($J$2:J137),$J$2:$J$1001,0),0)))</f>
        <v>0</v>
      </c>
      <c r="B137" s="3">
        <f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>0</v>
      </c>
      <c r="C137" s="3">
        <f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>0</v>
      </c>
      <c r="D137" s="3">
        <f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>0</v>
      </c>
      <c r="E137" s="3">
        <f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>0</v>
      </c>
      <c r="F137" s="3">
        <f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>0</v>
      </c>
      <c r="J137">
        <v>0</v>
      </c>
      <c r="K137">
        <v>0</v>
      </c>
      <c r="L137">
        <v>0</v>
      </c>
      <c r="M137">
        <f>IF(N137,TRUE,AND(Q137:U137))</f>
        <v>0</v>
      </c>
      <c r="N137">
        <f>COUNTBLANK(Metadata!B137:F137)=COLUMNS(Metadata!B137:F137)</f>
        <v>0</v>
      </c>
      <c r="O137">
        <v>0</v>
      </c>
      <c r="Q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>
        <f>AND(IF(Metadata!C137="",FALSE,TRUE),exact(Metadata!C137,"human-skin"))</f>
        <v>0</v>
      </c>
      <c r="S137">
        <f>OR(AND(IF(Metadata!D137="",FALSE,TRUE),OR(exact(Metadata!D137,"missing: not collected"),exact(Metadata!D137,"missing: not provided"))),AND(IF(Metadata!D137="",FALSE,TRUE),OR(exact(Metadata!D137,"UBERON:zone of skin"),exact(Metadata!D137,"UBERON:skin of hand"),exact(Metadata!D137,"UBERON:skin of forehead"))))</f>
        <v>0</v>
      </c>
      <c r="T137">
        <f>AND(IF(Metadata!E137="",FALSE,TRUE),exact(Metadata!E137,"human skin metagenome"))</f>
        <v>0</v>
      </c>
      <c r="U137">
        <f>AND(IF(Metadata!F137="",FALSE,TRUE),exact(Metadata!F137,"539655"))</f>
        <v>0</v>
      </c>
    </row>
    <row r="138" spans="1:21">
      <c r="A138" s="4">
        <f>IF(B138=" "," ",HYPERLINK(CONCATENATE("#metadata!",ADDRESS(INDEX($L$2:$L$1001,MATCH(ROWS($J$2:J138),$J$2:$J$1001,0),0),1)),INDEX($O$2:$O$1001,MATCH(ROWS($J$2:J138),$J$2:$J$1001,0),0)))</f>
        <v>0</v>
      </c>
      <c r="B138" s="3">
        <f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>0</v>
      </c>
      <c r="C138" s="3">
        <f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>0</v>
      </c>
      <c r="D138" s="3">
        <f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>0</v>
      </c>
      <c r="E138" s="3">
        <f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>0</v>
      </c>
      <c r="F138" s="3">
        <f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>0</v>
      </c>
      <c r="J138">
        <v>0</v>
      </c>
      <c r="K138">
        <v>0</v>
      </c>
      <c r="L138">
        <v>0</v>
      </c>
      <c r="M138">
        <f>IF(N138,TRUE,AND(Q138:U138))</f>
        <v>0</v>
      </c>
      <c r="N138">
        <f>COUNTBLANK(Metadata!B138:F138)=COLUMNS(Metadata!B138:F138)</f>
        <v>0</v>
      </c>
      <c r="O138">
        <v>0</v>
      </c>
      <c r="Q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>
        <f>AND(IF(Metadata!C138="",FALSE,TRUE),exact(Metadata!C138,"human-skin"))</f>
        <v>0</v>
      </c>
      <c r="S138">
        <f>OR(AND(IF(Metadata!D138="",FALSE,TRUE),OR(exact(Metadata!D138,"missing: not collected"),exact(Metadata!D138,"missing: not provided"))),AND(IF(Metadata!D138="",FALSE,TRUE),OR(exact(Metadata!D138,"UBERON:zone of skin"),exact(Metadata!D138,"UBERON:skin of hand"),exact(Metadata!D138,"UBERON:skin of forehead"))))</f>
        <v>0</v>
      </c>
      <c r="T138">
        <f>AND(IF(Metadata!E138="",FALSE,TRUE),exact(Metadata!E138,"human skin metagenome"))</f>
        <v>0</v>
      </c>
      <c r="U138">
        <f>AND(IF(Metadata!F138="",FALSE,TRUE),exact(Metadata!F138,"539655"))</f>
        <v>0</v>
      </c>
    </row>
    <row r="139" spans="1:21">
      <c r="A139" s="4">
        <f>IF(B139=" "," ",HYPERLINK(CONCATENATE("#metadata!",ADDRESS(INDEX($L$2:$L$1001,MATCH(ROWS($J$2:J139),$J$2:$J$1001,0),0),1)),INDEX($O$2:$O$1001,MATCH(ROWS($J$2:J139),$J$2:$J$1001,0),0)))</f>
        <v>0</v>
      </c>
      <c r="B139" s="3">
        <f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>0</v>
      </c>
      <c r="C139" s="3">
        <f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>0</v>
      </c>
      <c r="D139" s="3">
        <f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>0</v>
      </c>
      <c r="E139" s="3">
        <f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>0</v>
      </c>
      <c r="F139" s="3">
        <f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>0</v>
      </c>
      <c r="J139">
        <v>0</v>
      </c>
      <c r="K139">
        <v>0</v>
      </c>
      <c r="L139">
        <v>0</v>
      </c>
      <c r="M139">
        <f>IF(N139,TRUE,AND(Q139:U139))</f>
        <v>0</v>
      </c>
      <c r="N139">
        <f>COUNTBLANK(Metadata!B139:F139)=COLUMNS(Metadata!B139:F139)</f>
        <v>0</v>
      </c>
      <c r="O139">
        <v>0</v>
      </c>
      <c r="Q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>
        <f>AND(IF(Metadata!C139="",FALSE,TRUE),exact(Metadata!C139,"human-skin"))</f>
        <v>0</v>
      </c>
      <c r="S139">
        <f>OR(AND(IF(Metadata!D139="",FALSE,TRUE),OR(exact(Metadata!D139,"missing: not collected"),exact(Metadata!D139,"missing: not provided"))),AND(IF(Metadata!D139="",FALSE,TRUE),OR(exact(Metadata!D139,"UBERON:zone of skin"),exact(Metadata!D139,"UBERON:skin of hand"),exact(Metadata!D139,"UBERON:skin of forehead"))))</f>
        <v>0</v>
      </c>
      <c r="T139">
        <f>AND(IF(Metadata!E139="",FALSE,TRUE),exact(Metadata!E139,"human skin metagenome"))</f>
        <v>0</v>
      </c>
      <c r="U139">
        <f>AND(IF(Metadata!F139="",FALSE,TRUE),exact(Metadata!F139,"539655"))</f>
        <v>0</v>
      </c>
    </row>
    <row r="140" spans="1:21">
      <c r="A140" s="4">
        <f>IF(B140=" "," ",HYPERLINK(CONCATENATE("#metadata!",ADDRESS(INDEX($L$2:$L$1001,MATCH(ROWS($J$2:J140),$J$2:$J$1001,0),0),1)),INDEX($O$2:$O$1001,MATCH(ROWS($J$2:J140),$J$2:$J$1001,0),0)))</f>
        <v>0</v>
      </c>
      <c r="B140" s="3">
        <f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>0</v>
      </c>
      <c r="C140" s="3">
        <f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>0</v>
      </c>
      <c r="D140" s="3">
        <f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>0</v>
      </c>
      <c r="E140" s="3">
        <f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>0</v>
      </c>
      <c r="F140" s="3">
        <f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>0</v>
      </c>
      <c r="J140">
        <v>0</v>
      </c>
      <c r="K140">
        <v>0</v>
      </c>
      <c r="L140">
        <v>0</v>
      </c>
      <c r="M140">
        <f>IF(N140,TRUE,AND(Q140:U140))</f>
        <v>0</v>
      </c>
      <c r="N140">
        <f>COUNTBLANK(Metadata!B140:F140)=COLUMNS(Metadata!B140:F140)</f>
        <v>0</v>
      </c>
      <c r="O140">
        <v>0</v>
      </c>
      <c r="Q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>
        <f>AND(IF(Metadata!C140="",FALSE,TRUE),exact(Metadata!C140,"human-skin"))</f>
        <v>0</v>
      </c>
      <c r="S140">
        <f>OR(AND(IF(Metadata!D140="",FALSE,TRUE),OR(exact(Metadata!D140,"missing: not collected"),exact(Metadata!D140,"missing: not provided"))),AND(IF(Metadata!D140="",FALSE,TRUE),OR(exact(Metadata!D140,"UBERON:zone of skin"),exact(Metadata!D140,"UBERON:skin of hand"),exact(Metadata!D140,"UBERON:skin of forehead"))))</f>
        <v>0</v>
      </c>
      <c r="T140">
        <f>AND(IF(Metadata!E140="",FALSE,TRUE),exact(Metadata!E140,"human skin metagenome"))</f>
        <v>0</v>
      </c>
      <c r="U140">
        <f>AND(IF(Metadata!F140="",FALSE,TRUE),exact(Metadata!F140,"539655"))</f>
        <v>0</v>
      </c>
    </row>
    <row r="141" spans="1:21">
      <c r="A141" s="4">
        <f>IF(B141=" "," ",HYPERLINK(CONCATENATE("#metadata!",ADDRESS(INDEX($L$2:$L$1001,MATCH(ROWS($J$2:J141),$J$2:$J$1001,0),0),1)),INDEX($O$2:$O$1001,MATCH(ROWS($J$2:J141),$J$2:$J$1001,0),0)))</f>
        <v>0</v>
      </c>
      <c r="B141" s="3">
        <f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>0</v>
      </c>
      <c r="C141" s="3">
        <f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>0</v>
      </c>
      <c r="D141" s="3">
        <f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>0</v>
      </c>
      <c r="E141" s="3">
        <f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>0</v>
      </c>
      <c r="F141" s="3">
        <f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>0</v>
      </c>
      <c r="J141">
        <v>0</v>
      </c>
      <c r="K141">
        <v>0</v>
      </c>
      <c r="L141">
        <v>0</v>
      </c>
      <c r="M141">
        <f>IF(N141,TRUE,AND(Q141:U141))</f>
        <v>0</v>
      </c>
      <c r="N141">
        <f>COUNTBLANK(Metadata!B141:F141)=COLUMNS(Metadata!B141:F141)</f>
        <v>0</v>
      </c>
      <c r="O141">
        <v>0</v>
      </c>
      <c r="Q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>
        <f>AND(IF(Metadata!C141="",FALSE,TRUE),exact(Metadata!C141,"human-skin"))</f>
        <v>0</v>
      </c>
      <c r="S141">
        <f>OR(AND(IF(Metadata!D141="",FALSE,TRUE),OR(exact(Metadata!D141,"missing: not collected"),exact(Metadata!D141,"missing: not provided"))),AND(IF(Metadata!D141="",FALSE,TRUE),OR(exact(Metadata!D141,"UBERON:zone of skin"),exact(Metadata!D141,"UBERON:skin of hand"),exact(Metadata!D141,"UBERON:skin of forehead"))))</f>
        <v>0</v>
      </c>
      <c r="T141">
        <f>AND(IF(Metadata!E141="",FALSE,TRUE),exact(Metadata!E141,"human skin metagenome"))</f>
        <v>0</v>
      </c>
      <c r="U141">
        <f>AND(IF(Metadata!F141="",FALSE,TRUE),exact(Metadata!F141,"539655"))</f>
        <v>0</v>
      </c>
    </row>
    <row r="142" spans="1:21">
      <c r="A142" s="4">
        <f>IF(B142=" "," ",HYPERLINK(CONCATENATE("#metadata!",ADDRESS(INDEX($L$2:$L$1001,MATCH(ROWS($J$2:J142),$J$2:$J$1001,0),0),1)),INDEX($O$2:$O$1001,MATCH(ROWS($J$2:J142),$J$2:$J$1001,0),0)))</f>
        <v>0</v>
      </c>
      <c r="B142" s="3">
        <f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>0</v>
      </c>
      <c r="C142" s="3">
        <f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>0</v>
      </c>
      <c r="D142" s="3">
        <f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>0</v>
      </c>
      <c r="E142" s="3">
        <f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>0</v>
      </c>
      <c r="F142" s="3">
        <f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>0</v>
      </c>
      <c r="J142">
        <v>0</v>
      </c>
      <c r="K142">
        <v>0</v>
      </c>
      <c r="L142">
        <v>0</v>
      </c>
      <c r="M142">
        <f>IF(N142,TRUE,AND(Q142:U142))</f>
        <v>0</v>
      </c>
      <c r="N142">
        <f>COUNTBLANK(Metadata!B142:F142)=COLUMNS(Metadata!B142:F142)</f>
        <v>0</v>
      </c>
      <c r="O142">
        <v>0</v>
      </c>
      <c r="Q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>
        <f>AND(IF(Metadata!C142="",FALSE,TRUE),exact(Metadata!C142,"human-skin"))</f>
        <v>0</v>
      </c>
      <c r="S142">
        <f>OR(AND(IF(Metadata!D142="",FALSE,TRUE),OR(exact(Metadata!D142,"missing: not collected"),exact(Metadata!D142,"missing: not provided"))),AND(IF(Metadata!D142="",FALSE,TRUE),OR(exact(Metadata!D142,"UBERON:zone of skin"),exact(Metadata!D142,"UBERON:skin of hand"),exact(Metadata!D142,"UBERON:skin of forehead"))))</f>
        <v>0</v>
      </c>
      <c r="T142">
        <f>AND(IF(Metadata!E142="",FALSE,TRUE),exact(Metadata!E142,"human skin metagenome"))</f>
        <v>0</v>
      </c>
      <c r="U142">
        <f>AND(IF(Metadata!F142="",FALSE,TRUE),exact(Metadata!F142,"539655"))</f>
        <v>0</v>
      </c>
    </row>
    <row r="143" spans="1:21">
      <c r="A143" s="4">
        <f>IF(B143=" "," ",HYPERLINK(CONCATENATE("#metadata!",ADDRESS(INDEX($L$2:$L$1001,MATCH(ROWS($J$2:J143),$J$2:$J$1001,0),0),1)),INDEX($O$2:$O$1001,MATCH(ROWS($J$2:J143),$J$2:$J$1001,0),0)))</f>
        <v>0</v>
      </c>
      <c r="B143" s="3">
        <f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>0</v>
      </c>
      <c r="C143" s="3">
        <f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>0</v>
      </c>
      <c r="D143" s="3">
        <f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>0</v>
      </c>
      <c r="E143" s="3">
        <f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>0</v>
      </c>
      <c r="F143" s="3">
        <f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>0</v>
      </c>
      <c r="J143">
        <v>0</v>
      </c>
      <c r="K143">
        <v>0</v>
      </c>
      <c r="L143">
        <v>0</v>
      </c>
      <c r="M143">
        <f>IF(N143,TRUE,AND(Q143:U143))</f>
        <v>0</v>
      </c>
      <c r="N143">
        <f>COUNTBLANK(Metadata!B143:F143)=COLUMNS(Metadata!B143:F143)</f>
        <v>0</v>
      </c>
      <c r="O143">
        <v>0</v>
      </c>
      <c r="Q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>
        <f>AND(IF(Metadata!C143="",FALSE,TRUE),exact(Metadata!C143,"human-skin"))</f>
        <v>0</v>
      </c>
      <c r="S143">
        <f>OR(AND(IF(Metadata!D143="",FALSE,TRUE),OR(exact(Metadata!D143,"missing: not collected"),exact(Metadata!D143,"missing: not provided"))),AND(IF(Metadata!D143="",FALSE,TRUE),OR(exact(Metadata!D143,"UBERON:zone of skin"),exact(Metadata!D143,"UBERON:skin of hand"),exact(Metadata!D143,"UBERON:skin of forehead"))))</f>
        <v>0</v>
      </c>
      <c r="T143">
        <f>AND(IF(Metadata!E143="",FALSE,TRUE),exact(Metadata!E143,"human skin metagenome"))</f>
        <v>0</v>
      </c>
      <c r="U143">
        <f>AND(IF(Metadata!F143="",FALSE,TRUE),exact(Metadata!F143,"539655"))</f>
        <v>0</v>
      </c>
    </row>
    <row r="144" spans="1:21">
      <c r="A144" s="4">
        <f>IF(B144=" "," ",HYPERLINK(CONCATENATE("#metadata!",ADDRESS(INDEX($L$2:$L$1001,MATCH(ROWS($J$2:J144),$J$2:$J$1001,0),0),1)),INDEX($O$2:$O$1001,MATCH(ROWS($J$2:J144),$J$2:$J$1001,0),0)))</f>
        <v>0</v>
      </c>
      <c r="B144" s="3">
        <f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>0</v>
      </c>
      <c r="C144" s="3">
        <f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>0</v>
      </c>
      <c r="D144" s="3">
        <f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>0</v>
      </c>
      <c r="E144" s="3">
        <f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>0</v>
      </c>
      <c r="F144" s="3">
        <f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>0</v>
      </c>
      <c r="J144">
        <v>0</v>
      </c>
      <c r="K144">
        <v>0</v>
      </c>
      <c r="L144">
        <v>0</v>
      </c>
      <c r="M144">
        <f>IF(N144,TRUE,AND(Q144:U144))</f>
        <v>0</v>
      </c>
      <c r="N144">
        <f>COUNTBLANK(Metadata!B144:F144)=COLUMNS(Metadata!B144:F144)</f>
        <v>0</v>
      </c>
      <c r="O144">
        <v>0</v>
      </c>
      <c r="Q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>
        <f>AND(IF(Metadata!C144="",FALSE,TRUE),exact(Metadata!C144,"human-skin"))</f>
        <v>0</v>
      </c>
      <c r="S144">
        <f>OR(AND(IF(Metadata!D144="",FALSE,TRUE),OR(exact(Metadata!D144,"missing: not collected"),exact(Metadata!D144,"missing: not provided"))),AND(IF(Metadata!D144="",FALSE,TRUE),OR(exact(Metadata!D144,"UBERON:zone of skin"),exact(Metadata!D144,"UBERON:skin of hand"),exact(Metadata!D144,"UBERON:skin of forehead"))))</f>
        <v>0</v>
      </c>
      <c r="T144">
        <f>AND(IF(Metadata!E144="",FALSE,TRUE),exact(Metadata!E144,"human skin metagenome"))</f>
        <v>0</v>
      </c>
      <c r="U144">
        <f>AND(IF(Metadata!F144="",FALSE,TRUE),exact(Metadata!F144,"539655"))</f>
        <v>0</v>
      </c>
    </row>
    <row r="145" spans="1:21">
      <c r="A145" s="4">
        <f>IF(B145=" "," ",HYPERLINK(CONCATENATE("#metadata!",ADDRESS(INDEX($L$2:$L$1001,MATCH(ROWS($J$2:J145),$J$2:$J$1001,0),0),1)),INDEX($O$2:$O$1001,MATCH(ROWS($J$2:J145),$J$2:$J$1001,0),0)))</f>
        <v>0</v>
      </c>
      <c r="B145" s="3">
        <f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>0</v>
      </c>
      <c r="C145" s="3">
        <f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>0</v>
      </c>
      <c r="D145" s="3">
        <f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>0</v>
      </c>
      <c r="E145" s="3">
        <f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>0</v>
      </c>
      <c r="F145" s="3">
        <f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>0</v>
      </c>
      <c r="J145">
        <v>0</v>
      </c>
      <c r="K145">
        <v>0</v>
      </c>
      <c r="L145">
        <v>0</v>
      </c>
      <c r="M145">
        <f>IF(N145,TRUE,AND(Q145:U145))</f>
        <v>0</v>
      </c>
      <c r="N145">
        <f>COUNTBLANK(Metadata!B145:F145)=COLUMNS(Metadata!B145:F145)</f>
        <v>0</v>
      </c>
      <c r="O145">
        <v>0</v>
      </c>
      <c r="Q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>
        <f>AND(IF(Metadata!C145="",FALSE,TRUE),exact(Metadata!C145,"human-skin"))</f>
        <v>0</v>
      </c>
      <c r="S145">
        <f>OR(AND(IF(Metadata!D145="",FALSE,TRUE),OR(exact(Metadata!D145,"missing: not collected"),exact(Metadata!D145,"missing: not provided"))),AND(IF(Metadata!D145="",FALSE,TRUE),OR(exact(Metadata!D145,"UBERON:zone of skin"),exact(Metadata!D145,"UBERON:skin of hand"),exact(Metadata!D145,"UBERON:skin of forehead"))))</f>
        <v>0</v>
      </c>
      <c r="T145">
        <f>AND(IF(Metadata!E145="",FALSE,TRUE),exact(Metadata!E145,"human skin metagenome"))</f>
        <v>0</v>
      </c>
      <c r="U145">
        <f>AND(IF(Metadata!F145="",FALSE,TRUE),exact(Metadata!F145,"539655"))</f>
        <v>0</v>
      </c>
    </row>
    <row r="146" spans="1:21">
      <c r="A146" s="4">
        <f>IF(B146=" "," ",HYPERLINK(CONCATENATE("#metadata!",ADDRESS(INDEX($L$2:$L$1001,MATCH(ROWS($J$2:J146),$J$2:$J$1001,0),0),1)),INDEX($O$2:$O$1001,MATCH(ROWS($J$2:J146),$J$2:$J$1001,0),0)))</f>
        <v>0</v>
      </c>
      <c r="B146" s="3">
        <f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>0</v>
      </c>
      <c r="C146" s="3">
        <f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>0</v>
      </c>
      <c r="D146" s="3">
        <f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>0</v>
      </c>
      <c r="E146" s="3">
        <f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>0</v>
      </c>
      <c r="F146" s="3">
        <f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>0</v>
      </c>
      <c r="J146">
        <v>0</v>
      </c>
      <c r="K146">
        <v>0</v>
      </c>
      <c r="L146">
        <v>0</v>
      </c>
      <c r="M146">
        <f>IF(N146,TRUE,AND(Q146:U146))</f>
        <v>0</v>
      </c>
      <c r="N146">
        <f>COUNTBLANK(Metadata!B146:F146)=COLUMNS(Metadata!B146:F146)</f>
        <v>0</v>
      </c>
      <c r="O146">
        <v>0</v>
      </c>
      <c r="Q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>
        <f>AND(IF(Metadata!C146="",FALSE,TRUE),exact(Metadata!C146,"human-skin"))</f>
        <v>0</v>
      </c>
      <c r="S146">
        <f>OR(AND(IF(Metadata!D146="",FALSE,TRUE),OR(exact(Metadata!D146,"missing: not collected"),exact(Metadata!D146,"missing: not provided"))),AND(IF(Metadata!D146="",FALSE,TRUE),OR(exact(Metadata!D146,"UBERON:zone of skin"),exact(Metadata!D146,"UBERON:skin of hand"),exact(Metadata!D146,"UBERON:skin of forehead"))))</f>
        <v>0</v>
      </c>
      <c r="T146">
        <f>AND(IF(Metadata!E146="",FALSE,TRUE),exact(Metadata!E146,"human skin metagenome"))</f>
        <v>0</v>
      </c>
      <c r="U146">
        <f>AND(IF(Metadata!F146="",FALSE,TRUE),exact(Metadata!F146,"539655"))</f>
        <v>0</v>
      </c>
    </row>
    <row r="147" spans="1:21">
      <c r="A147" s="4">
        <f>IF(B147=" "," ",HYPERLINK(CONCATENATE("#metadata!",ADDRESS(INDEX($L$2:$L$1001,MATCH(ROWS($J$2:J147),$J$2:$J$1001,0),0),1)),INDEX($O$2:$O$1001,MATCH(ROWS($J$2:J147),$J$2:$J$1001,0),0)))</f>
        <v>0</v>
      </c>
      <c r="B147" s="3">
        <f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>0</v>
      </c>
      <c r="C147" s="3">
        <f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>0</v>
      </c>
      <c r="D147" s="3">
        <f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>0</v>
      </c>
      <c r="E147" s="3">
        <f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>0</v>
      </c>
      <c r="F147" s="3">
        <f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>0</v>
      </c>
      <c r="J147">
        <v>0</v>
      </c>
      <c r="K147">
        <v>0</v>
      </c>
      <c r="L147">
        <v>0</v>
      </c>
      <c r="M147">
        <f>IF(N147,TRUE,AND(Q147:U147))</f>
        <v>0</v>
      </c>
      <c r="N147">
        <f>COUNTBLANK(Metadata!B147:F147)=COLUMNS(Metadata!B147:F147)</f>
        <v>0</v>
      </c>
      <c r="O147">
        <v>0</v>
      </c>
      <c r="Q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>
        <f>AND(IF(Metadata!C147="",FALSE,TRUE),exact(Metadata!C147,"human-skin"))</f>
        <v>0</v>
      </c>
      <c r="S147">
        <f>OR(AND(IF(Metadata!D147="",FALSE,TRUE),OR(exact(Metadata!D147,"missing: not collected"),exact(Metadata!D147,"missing: not provided"))),AND(IF(Metadata!D147="",FALSE,TRUE),OR(exact(Metadata!D147,"UBERON:zone of skin"),exact(Metadata!D147,"UBERON:skin of hand"),exact(Metadata!D147,"UBERON:skin of forehead"))))</f>
        <v>0</v>
      </c>
      <c r="T147">
        <f>AND(IF(Metadata!E147="",FALSE,TRUE),exact(Metadata!E147,"human skin metagenome"))</f>
        <v>0</v>
      </c>
      <c r="U147">
        <f>AND(IF(Metadata!F147="",FALSE,TRUE),exact(Metadata!F147,"539655"))</f>
        <v>0</v>
      </c>
    </row>
    <row r="148" spans="1:21">
      <c r="A148" s="4">
        <f>IF(B148=" "," ",HYPERLINK(CONCATENATE("#metadata!",ADDRESS(INDEX($L$2:$L$1001,MATCH(ROWS($J$2:J148),$J$2:$J$1001,0),0),1)),INDEX($O$2:$O$1001,MATCH(ROWS($J$2:J148),$J$2:$J$1001,0),0)))</f>
        <v>0</v>
      </c>
      <c r="B148" s="3">
        <f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>0</v>
      </c>
      <c r="C148" s="3">
        <f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>0</v>
      </c>
      <c r="D148" s="3">
        <f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>0</v>
      </c>
      <c r="E148" s="3">
        <f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>0</v>
      </c>
      <c r="F148" s="3">
        <f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>0</v>
      </c>
      <c r="J148">
        <v>0</v>
      </c>
      <c r="K148">
        <v>0</v>
      </c>
      <c r="L148">
        <v>0</v>
      </c>
      <c r="M148">
        <f>IF(N148,TRUE,AND(Q148:U148))</f>
        <v>0</v>
      </c>
      <c r="N148">
        <f>COUNTBLANK(Metadata!B148:F148)=COLUMNS(Metadata!B148:F148)</f>
        <v>0</v>
      </c>
      <c r="O148">
        <v>0</v>
      </c>
      <c r="Q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>
        <f>AND(IF(Metadata!C148="",FALSE,TRUE),exact(Metadata!C148,"human-skin"))</f>
        <v>0</v>
      </c>
      <c r="S148">
        <f>OR(AND(IF(Metadata!D148="",FALSE,TRUE),OR(exact(Metadata!D148,"missing: not collected"),exact(Metadata!D148,"missing: not provided"))),AND(IF(Metadata!D148="",FALSE,TRUE),OR(exact(Metadata!D148,"UBERON:zone of skin"),exact(Metadata!D148,"UBERON:skin of hand"),exact(Metadata!D148,"UBERON:skin of forehead"))))</f>
        <v>0</v>
      </c>
      <c r="T148">
        <f>AND(IF(Metadata!E148="",FALSE,TRUE),exact(Metadata!E148,"human skin metagenome"))</f>
        <v>0</v>
      </c>
      <c r="U148">
        <f>AND(IF(Metadata!F148="",FALSE,TRUE),exact(Metadata!F148,"539655"))</f>
        <v>0</v>
      </c>
    </row>
    <row r="149" spans="1:21">
      <c r="A149" s="4">
        <f>IF(B149=" "," ",HYPERLINK(CONCATENATE("#metadata!",ADDRESS(INDEX($L$2:$L$1001,MATCH(ROWS($J$2:J149),$J$2:$J$1001,0),0),1)),INDEX($O$2:$O$1001,MATCH(ROWS($J$2:J149),$J$2:$J$1001,0),0)))</f>
        <v>0</v>
      </c>
      <c r="B149" s="3">
        <f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>0</v>
      </c>
      <c r="C149" s="3">
        <f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>0</v>
      </c>
      <c r="D149" s="3">
        <f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>0</v>
      </c>
      <c r="E149" s="3">
        <f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>0</v>
      </c>
      <c r="F149" s="3">
        <f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>0</v>
      </c>
      <c r="J149">
        <v>0</v>
      </c>
      <c r="K149">
        <v>0</v>
      </c>
      <c r="L149">
        <v>0</v>
      </c>
      <c r="M149">
        <f>IF(N149,TRUE,AND(Q149:U149))</f>
        <v>0</v>
      </c>
      <c r="N149">
        <f>COUNTBLANK(Metadata!B149:F149)=COLUMNS(Metadata!B149:F149)</f>
        <v>0</v>
      </c>
      <c r="O149">
        <v>0</v>
      </c>
      <c r="Q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>
        <f>AND(IF(Metadata!C149="",FALSE,TRUE),exact(Metadata!C149,"human-skin"))</f>
        <v>0</v>
      </c>
      <c r="S149">
        <f>OR(AND(IF(Metadata!D149="",FALSE,TRUE),OR(exact(Metadata!D149,"missing: not collected"),exact(Metadata!D149,"missing: not provided"))),AND(IF(Metadata!D149="",FALSE,TRUE),OR(exact(Metadata!D149,"UBERON:zone of skin"),exact(Metadata!D149,"UBERON:skin of hand"),exact(Metadata!D149,"UBERON:skin of forehead"))))</f>
        <v>0</v>
      </c>
      <c r="T149">
        <f>AND(IF(Metadata!E149="",FALSE,TRUE),exact(Metadata!E149,"human skin metagenome"))</f>
        <v>0</v>
      </c>
      <c r="U149">
        <f>AND(IF(Metadata!F149="",FALSE,TRUE),exact(Metadata!F149,"539655"))</f>
        <v>0</v>
      </c>
    </row>
    <row r="150" spans="1:21">
      <c r="A150" s="4">
        <f>IF(B150=" "," ",HYPERLINK(CONCATENATE("#metadata!",ADDRESS(INDEX($L$2:$L$1001,MATCH(ROWS($J$2:J150),$J$2:$J$1001,0),0),1)),INDEX($O$2:$O$1001,MATCH(ROWS($J$2:J150),$J$2:$J$1001,0),0)))</f>
        <v>0</v>
      </c>
      <c r="B150" s="3">
        <f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>0</v>
      </c>
      <c r="C150" s="3">
        <f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>0</v>
      </c>
      <c r="D150" s="3">
        <f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>0</v>
      </c>
      <c r="E150" s="3">
        <f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>0</v>
      </c>
      <c r="F150" s="3">
        <f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>0</v>
      </c>
      <c r="J150">
        <v>0</v>
      </c>
      <c r="K150">
        <v>0</v>
      </c>
      <c r="L150">
        <v>0</v>
      </c>
      <c r="M150">
        <f>IF(N150,TRUE,AND(Q150:U150))</f>
        <v>0</v>
      </c>
      <c r="N150">
        <f>COUNTBLANK(Metadata!B150:F150)=COLUMNS(Metadata!B150:F150)</f>
        <v>0</v>
      </c>
      <c r="O150">
        <v>0</v>
      </c>
      <c r="Q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>
        <f>AND(IF(Metadata!C150="",FALSE,TRUE),exact(Metadata!C150,"human-skin"))</f>
        <v>0</v>
      </c>
      <c r="S150">
        <f>OR(AND(IF(Metadata!D150="",FALSE,TRUE),OR(exact(Metadata!D150,"missing: not collected"),exact(Metadata!D150,"missing: not provided"))),AND(IF(Metadata!D150="",FALSE,TRUE),OR(exact(Metadata!D150,"UBERON:zone of skin"),exact(Metadata!D150,"UBERON:skin of hand"),exact(Metadata!D150,"UBERON:skin of forehead"))))</f>
        <v>0</v>
      </c>
      <c r="T150">
        <f>AND(IF(Metadata!E150="",FALSE,TRUE),exact(Metadata!E150,"human skin metagenome"))</f>
        <v>0</v>
      </c>
      <c r="U150">
        <f>AND(IF(Metadata!F150="",FALSE,TRUE),exact(Metadata!F150,"539655"))</f>
        <v>0</v>
      </c>
    </row>
    <row r="151" spans="1:21">
      <c r="A151" s="4">
        <f>IF(B151=" "," ",HYPERLINK(CONCATENATE("#metadata!",ADDRESS(INDEX($L$2:$L$1001,MATCH(ROWS($J$2:J151),$J$2:$J$1001,0),0),1)),INDEX($O$2:$O$1001,MATCH(ROWS($J$2:J151),$J$2:$J$1001,0),0)))</f>
        <v>0</v>
      </c>
      <c r="B151" s="3">
        <f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>0</v>
      </c>
      <c r="C151" s="3">
        <f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>0</v>
      </c>
      <c r="D151" s="3">
        <f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>0</v>
      </c>
      <c r="E151" s="3">
        <f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>0</v>
      </c>
      <c r="F151" s="3">
        <f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>0</v>
      </c>
      <c r="J151">
        <v>0</v>
      </c>
      <c r="K151">
        <v>0</v>
      </c>
      <c r="L151">
        <v>0</v>
      </c>
      <c r="M151">
        <f>IF(N151,TRUE,AND(Q151:U151))</f>
        <v>0</v>
      </c>
      <c r="N151">
        <f>COUNTBLANK(Metadata!B151:F151)=COLUMNS(Metadata!B151:F151)</f>
        <v>0</v>
      </c>
      <c r="O151">
        <v>0</v>
      </c>
      <c r="Q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>
        <f>AND(IF(Metadata!C151="",FALSE,TRUE),exact(Metadata!C151,"human-skin"))</f>
        <v>0</v>
      </c>
      <c r="S151">
        <f>OR(AND(IF(Metadata!D151="",FALSE,TRUE),OR(exact(Metadata!D151,"missing: not collected"),exact(Metadata!D151,"missing: not provided"))),AND(IF(Metadata!D151="",FALSE,TRUE),OR(exact(Metadata!D151,"UBERON:zone of skin"),exact(Metadata!D151,"UBERON:skin of hand"),exact(Metadata!D151,"UBERON:skin of forehead"))))</f>
        <v>0</v>
      </c>
      <c r="T151">
        <f>AND(IF(Metadata!E151="",FALSE,TRUE),exact(Metadata!E151,"human skin metagenome"))</f>
        <v>0</v>
      </c>
      <c r="U151">
        <f>AND(IF(Metadata!F151="",FALSE,TRUE),exact(Metadata!F151,"539655"))</f>
        <v>0</v>
      </c>
    </row>
    <row r="152" spans="1:21">
      <c r="A152" s="4">
        <f>IF(B152=" "," ",HYPERLINK(CONCATENATE("#metadata!",ADDRESS(INDEX($L$2:$L$1001,MATCH(ROWS($J$2:J152),$J$2:$J$1001,0),0),1)),INDEX($O$2:$O$1001,MATCH(ROWS($J$2:J152),$J$2:$J$1001,0),0)))</f>
        <v>0</v>
      </c>
      <c r="B152" s="3">
        <f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>0</v>
      </c>
      <c r="C152" s="3">
        <f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>0</v>
      </c>
      <c r="D152" s="3">
        <f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>0</v>
      </c>
      <c r="E152" s="3">
        <f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>0</v>
      </c>
      <c r="F152" s="3">
        <f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>0</v>
      </c>
      <c r="J152">
        <v>0</v>
      </c>
      <c r="K152">
        <v>0</v>
      </c>
      <c r="L152">
        <v>0</v>
      </c>
      <c r="M152">
        <f>IF(N152,TRUE,AND(Q152:U152))</f>
        <v>0</v>
      </c>
      <c r="N152">
        <f>COUNTBLANK(Metadata!B152:F152)=COLUMNS(Metadata!B152:F152)</f>
        <v>0</v>
      </c>
      <c r="O152">
        <v>0</v>
      </c>
      <c r="Q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>
        <f>AND(IF(Metadata!C152="",FALSE,TRUE),exact(Metadata!C152,"human-skin"))</f>
        <v>0</v>
      </c>
      <c r="S152">
        <f>OR(AND(IF(Metadata!D152="",FALSE,TRUE),OR(exact(Metadata!D152,"missing: not collected"),exact(Metadata!D152,"missing: not provided"))),AND(IF(Metadata!D152="",FALSE,TRUE),OR(exact(Metadata!D152,"UBERON:zone of skin"),exact(Metadata!D152,"UBERON:skin of hand"),exact(Metadata!D152,"UBERON:skin of forehead"))))</f>
        <v>0</v>
      </c>
      <c r="T152">
        <f>AND(IF(Metadata!E152="",FALSE,TRUE),exact(Metadata!E152,"human skin metagenome"))</f>
        <v>0</v>
      </c>
      <c r="U152">
        <f>AND(IF(Metadata!F152="",FALSE,TRUE),exact(Metadata!F152,"539655"))</f>
        <v>0</v>
      </c>
    </row>
    <row r="153" spans="1:21">
      <c r="A153" s="4">
        <f>IF(B153=" "," ",HYPERLINK(CONCATENATE("#metadata!",ADDRESS(INDEX($L$2:$L$1001,MATCH(ROWS($J$2:J153),$J$2:$J$1001,0),0),1)),INDEX($O$2:$O$1001,MATCH(ROWS($J$2:J153),$J$2:$J$1001,0),0)))</f>
        <v>0</v>
      </c>
      <c r="B153" s="3">
        <f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>0</v>
      </c>
      <c r="C153" s="3">
        <f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>0</v>
      </c>
      <c r="D153" s="3">
        <f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>0</v>
      </c>
      <c r="E153" s="3">
        <f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>0</v>
      </c>
      <c r="F153" s="3">
        <f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>0</v>
      </c>
      <c r="J153">
        <v>0</v>
      </c>
      <c r="K153">
        <v>0</v>
      </c>
      <c r="L153">
        <v>0</v>
      </c>
      <c r="M153">
        <f>IF(N153,TRUE,AND(Q153:U153))</f>
        <v>0</v>
      </c>
      <c r="N153">
        <f>COUNTBLANK(Metadata!B153:F153)=COLUMNS(Metadata!B153:F153)</f>
        <v>0</v>
      </c>
      <c r="O153">
        <v>0</v>
      </c>
      <c r="Q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>
        <f>AND(IF(Metadata!C153="",FALSE,TRUE),exact(Metadata!C153,"human-skin"))</f>
        <v>0</v>
      </c>
      <c r="S153">
        <f>OR(AND(IF(Metadata!D153="",FALSE,TRUE),OR(exact(Metadata!D153,"missing: not collected"),exact(Metadata!D153,"missing: not provided"))),AND(IF(Metadata!D153="",FALSE,TRUE),OR(exact(Metadata!D153,"UBERON:zone of skin"),exact(Metadata!D153,"UBERON:skin of hand"),exact(Metadata!D153,"UBERON:skin of forehead"))))</f>
        <v>0</v>
      </c>
      <c r="T153">
        <f>AND(IF(Metadata!E153="",FALSE,TRUE),exact(Metadata!E153,"human skin metagenome"))</f>
        <v>0</v>
      </c>
      <c r="U153">
        <f>AND(IF(Metadata!F153="",FALSE,TRUE),exact(Metadata!F153,"539655"))</f>
        <v>0</v>
      </c>
    </row>
    <row r="154" spans="1:21">
      <c r="A154" s="4">
        <f>IF(B154=" "," ",HYPERLINK(CONCATENATE("#metadata!",ADDRESS(INDEX($L$2:$L$1001,MATCH(ROWS($J$2:J154),$J$2:$J$1001,0),0),1)),INDEX($O$2:$O$1001,MATCH(ROWS($J$2:J154),$J$2:$J$1001,0),0)))</f>
        <v>0</v>
      </c>
      <c r="B154" s="3">
        <f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>0</v>
      </c>
      <c r="C154" s="3">
        <f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>0</v>
      </c>
      <c r="D154" s="3">
        <f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>0</v>
      </c>
      <c r="E154" s="3">
        <f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>0</v>
      </c>
      <c r="F154" s="3">
        <f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>0</v>
      </c>
      <c r="J154">
        <v>0</v>
      </c>
      <c r="K154">
        <v>0</v>
      </c>
      <c r="L154">
        <v>0</v>
      </c>
      <c r="M154">
        <f>IF(N154,TRUE,AND(Q154:U154))</f>
        <v>0</v>
      </c>
      <c r="N154">
        <f>COUNTBLANK(Metadata!B154:F154)=COLUMNS(Metadata!B154:F154)</f>
        <v>0</v>
      </c>
      <c r="O154">
        <v>0</v>
      </c>
      <c r="Q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>
        <f>AND(IF(Metadata!C154="",FALSE,TRUE),exact(Metadata!C154,"human-skin"))</f>
        <v>0</v>
      </c>
      <c r="S154">
        <f>OR(AND(IF(Metadata!D154="",FALSE,TRUE),OR(exact(Metadata!D154,"missing: not collected"),exact(Metadata!D154,"missing: not provided"))),AND(IF(Metadata!D154="",FALSE,TRUE),OR(exact(Metadata!D154,"UBERON:zone of skin"),exact(Metadata!D154,"UBERON:skin of hand"),exact(Metadata!D154,"UBERON:skin of forehead"))))</f>
        <v>0</v>
      </c>
      <c r="T154">
        <f>AND(IF(Metadata!E154="",FALSE,TRUE),exact(Metadata!E154,"human skin metagenome"))</f>
        <v>0</v>
      </c>
      <c r="U154">
        <f>AND(IF(Metadata!F154="",FALSE,TRUE),exact(Metadata!F154,"539655"))</f>
        <v>0</v>
      </c>
    </row>
    <row r="155" spans="1:21">
      <c r="A155" s="4">
        <f>IF(B155=" "," ",HYPERLINK(CONCATENATE("#metadata!",ADDRESS(INDEX($L$2:$L$1001,MATCH(ROWS($J$2:J155),$J$2:$J$1001,0),0),1)),INDEX($O$2:$O$1001,MATCH(ROWS($J$2:J155),$J$2:$J$1001,0),0)))</f>
        <v>0</v>
      </c>
      <c r="B155" s="3">
        <f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>0</v>
      </c>
      <c r="C155" s="3">
        <f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>0</v>
      </c>
      <c r="D155" s="3">
        <f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>0</v>
      </c>
      <c r="E155" s="3">
        <f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>0</v>
      </c>
      <c r="F155" s="3">
        <f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>0</v>
      </c>
      <c r="J155">
        <v>0</v>
      </c>
      <c r="K155">
        <v>0</v>
      </c>
      <c r="L155">
        <v>0</v>
      </c>
      <c r="M155">
        <f>IF(N155,TRUE,AND(Q155:U155))</f>
        <v>0</v>
      </c>
      <c r="N155">
        <f>COUNTBLANK(Metadata!B155:F155)=COLUMNS(Metadata!B155:F155)</f>
        <v>0</v>
      </c>
      <c r="O155">
        <v>0</v>
      </c>
      <c r="Q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>
        <f>AND(IF(Metadata!C155="",FALSE,TRUE),exact(Metadata!C155,"human-skin"))</f>
        <v>0</v>
      </c>
      <c r="S155">
        <f>OR(AND(IF(Metadata!D155="",FALSE,TRUE),OR(exact(Metadata!D155,"missing: not collected"),exact(Metadata!D155,"missing: not provided"))),AND(IF(Metadata!D155="",FALSE,TRUE),OR(exact(Metadata!D155,"UBERON:zone of skin"),exact(Metadata!D155,"UBERON:skin of hand"),exact(Metadata!D155,"UBERON:skin of forehead"))))</f>
        <v>0</v>
      </c>
      <c r="T155">
        <f>AND(IF(Metadata!E155="",FALSE,TRUE),exact(Metadata!E155,"human skin metagenome"))</f>
        <v>0</v>
      </c>
      <c r="U155">
        <f>AND(IF(Metadata!F155="",FALSE,TRUE),exact(Metadata!F155,"539655"))</f>
        <v>0</v>
      </c>
    </row>
    <row r="156" spans="1:21">
      <c r="A156" s="4">
        <f>IF(B156=" "," ",HYPERLINK(CONCATENATE("#metadata!",ADDRESS(INDEX($L$2:$L$1001,MATCH(ROWS($J$2:J156),$J$2:$J$1001,0),0),1)),INDEX($O$2:$O$1001,MATCH(ROWS($J$2:J156),$J$2:$J$1001,0),0)))</f>
        <v>0</v>
      </c>
      <c r="B156" s="3">
        <f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>0</v>
      </c>
      <c r="C156" s="3">
        <f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>0</v>
      </c>
      <c r="D156" s="3">
        <f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>0</v>
      </c>
      <c r="E156" s="3">
        <f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>0</v>
      </c>
      <c r="F156" s="3">
        <f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>0</v>
      </c>
      <c r="J156">
        <v>0</v>
      </c>
      <c r="K156">
        <v>0</v>
      </c>
      <c r="L156">
        <v>0</v>
      </c>
      <c r="M156">
        <f>IF(N156,TRUE,AND(Q156:U156))</f>
        <v>0</v>
      </c>
      <c r="N156">
        <f>COUNTBLANK(Metadata!B156:F156)=COLUMNS(Metadata!B156:F156)</f>
        <v>0</v>
      </c>
      <c r="O156">
        <v>0</v>
      </c>
      <c r="Q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>
        <f>AND(IF(Metadata!C156="",FALSE,TRUE),exact(Metadata!C156,"human-skin"))</f>
        <v>0</v>
      </c>
      <c r="S156">
        <f>OR(AND(IF(Metadata!D156="",FALSE,TRUE),OR(exact(Metadata!D156,"missing: not collected"),exact(Metadata!D156,"missing: not provided"))),AND(IF(Metadata!D156="",FALSE,TRUE),OR(exact(Metadata!D156,"UBERON:zone of skin"),exact(Metadata!D156,"UBERON:skin of hand"),exact(Metadata!D156,"UBERON:skin of forehead"))))</f>
        <v>0</v>
      </c>
      <c r="T156">
        <f>AND(IF(Metadata!E156="",FALSE,TRUE),exact(Metadata!E156,"human skin metagenome"))</f>
        <v>0</v>
      </c>
      <c r="U156">
        <f>AND(IF(Metadata!F156="",FALSE,TRUE),exact(Metadata!F156,"539655"))</f>
        <v>0</v>
      </c>
    </row>
    <row r="157" spans="1:21">
      <c r="A157" s="4">
        <f>IF(B157=" "," ",HYPERLINK(CONCATENATE("#metadata!",ADDRESS(INDEX($L$2:$L$1001,MATCH(ROWS($J$2:J157),$J$2:$J$1001,0),0),1)),INDEX($O$2:$O$1001,MATCH(ROWS($J$2:J157),$J$2:$J$1001,0),0)))</f>
        <v>0</v>
      </c>
      <c r="B157" s="3">
        <f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>0</v>
      </c>
      <c r="C157" s="3">
        <f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>0</v>
      </c>
      <c r="D157" s="3">
        <f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>0</v>
      </c>
      <c r="E157" s="3">
        <f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>0</v>
      </c>
      <c r="F157" s="3">
        <f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>0</v>
      </c>
      <c r="J157">
        <v>0</v>
      </c>
      <c r="K157">
        <v>0</v>
      </c>
      <c r="L157">
        <v>0</v>
      </c>
      <c r="M157">
        <f>IF(N157,TRUE,AND(Q157:U157))</f>
        <v>0</v>
      </c>
      <c r="N157">
        <f>COUNTBLANK(Metadata!B157:F157)=COLUMNS(Metadata!B157:F157)</f>
        <v>0</v>
      </c>
      <c r="O157">
        <v>0</v>
      </c>
      <c r="Q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>
        <f>AND(IF(Metadata!C157="",FALSE,TRUE),exact(Metadata!C157,"human-skin"))</f>
        <v>0</v>
      </c>
      <c r="S157">
        <f>OR(AND(IF(Metadata!D157="",FALSE,TRUE),OR(exact(Metadata!D157,"missing: not collected"),exact(Metadata!D157,"missing: not provided"))),AND(IF(Metadata!D157="",FALSE,TRUE),OR(exact(Metadata!D157,"UBERON:zone of skin"),exact(Metadata!D157,"UBERON:skin of hand"),exact(Metadata!D157,"UBERON:skin of forehead"))))</f>
        <v>0</v>
      </c>
      <c r="T157">
        <f>AND(IF(Metadata!E157="",FALSE,TRUE),exact(Metadata!E157,"human skin metagenome"))</f>
        <v>0</v>
      </c>
      <c r="U157">
        <f>AND(IF(Metadata!F157="",FALSE,TRUE),exact(Metadata!F157,"539655"))</f>
        <v>0</v>
      </c>
    </row>
    <row r="158" spans="1:21">
      <c r="A158" s="4">
        <f>IF(B158=" "," ",HYPERLINK(CONCATENATE("#metadata!",ADDRESS(INDEX($L$2:$L$1001,MATCH(ROWS($J$2:J158),$J$2:$J$1001,0),0),1)),INDEX($O$2:$O$1001,MATCH(ROWS($J$2:J158),$J$2:$J$1001,0),0)))</f>
        <v>0</v>
      </c>
      <c r="B158" s="3">
        <f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>0</v>
      </c>
      <c r="C158" s="3">
        <f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>0</v>
      </c>
      <c r="D158" s="3">
        <f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>0</v>
      </c>
      <c r="E158" s="3">
        <f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>0</v>
      </c>
      <c r="F158" s="3">
        <f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>0</v>
      </c>
      <c r="J158">
        <v>0</v>
      </c>
      <c r="K158">
        <v>0</v>
      </c>
      <c r="L158">
        <v>0</v>
      </c>
      <c r="M158">
        <f>IF(N158,TRUE,AND(Q158:U158))</f>
        <v>0</v>
      </c>
      <c r="N158">
        <f>COUNTBLANK(Metadata!B158:F158)=COLUMNS(Metadata!B158:F158)</f>
        <v>0</v>
      </c>
      <c r="O158">
        <v>0</v>
      </c>
      <c r="Q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>
        <f>AND(IF(Metadata!C158="",FALSE,TRUE),exact(Metadata!C158,"human-skin"))</f>
        <v>0</v>
      </c>
      <c r="S158">
        <f>OR(AND(IF(Metadata!D158="",FALSE,TRUE),OR(exact(Metadata!D158,"missing: not collected"),exact(Metadata!D158,"missing: not provided"))),AND(IF(Metadata!D158="",FALSE,TRUE),OR(exact(Metadata!D158,"UBERON:zone of skin"),exact(Metadata!D158,"UBERON:skin of hand"),exact(Metadata!D158,"UBERON:skin of forehead"))))</f>
        <v>0</v>
      </c>
      <c r="T158">
        <f>AND(IF(Metadata!E158="",FALSE,TRUE),exact(Metadata!E158,"human skin metagenome"))</f>
        <v>0</v>
      </c>
      <c r="U158">
        <f>AND(IF(Metadata!F158="",FALSE,TRUE),exact(Metadata!F158,"539655"))</f>
        <v>0</v>
      </c>
    </row>
    <row r="159" spans="1:21">
      <c r="A159" s="4">
        <f>IF(B159=" "," ",HYPERLINK(CONCATENATE("#metadata!",ADDRESS(INDEX($L$2:$L$1001,MATCH(ROWS($J$2:J159),$J$2:$J$1001,0),0),1)),INDEX($O$2:$O$1001,MATCH(ROWS($J$2:J159),$J$2:$J$1001,0),0)))</f>
        <v>0</v>
      </c>
      <c r="B159" s="3">
        <f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>0</v>
      </c>
      <c r="C159" s="3">
        <f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>0</v>
      </c>
      <c r="D159" s="3">
        <f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>0</v>
      </c>
      <c r="E159" s="3">
        <f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>0</v>
      </c>
      <c r="F159" s="3">
        <f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>0</v>
      </c>
      <c r="J159">
        <v>0</v>
      </c>
      <c r="K159">
        <v>0</v>
      </c>
      <c r="L159">
        <v>0</v>
      </c>
      <c r="M159">
        <f>IF(N159,TRUE,AND(Q159:U159))</f>
        <v>0</v>
      </c>
      <c r="N159">
        <f>COUNTBLANK(Metadata!B159:F159)=COLUMNS(Metadata!B159:F159)</f>
        <v>0</v>
      </c>
      <c r="O159">
        <v>0</v>
      </c>
      <c r="Q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>
        <f>AND(IF(Metadata!C159="",FALSE,TRUE),exact(Metadata!C159,"human-skin"))</f>
        <v>0</v>
      </c>
      <c r="S159">
        <f>OR(AND(IF(Metadata!D159="",FALSE,TRUE),OR(exact(Metadata!D159,"missing: not collected"),exact(Metadata!D159,"missing: not provided"))),AND(IF(Metadata!D159="",FALSE,TRUE),OR(exact(Metadata!D159,"UBERON:zone of skin"),exact(Metadata!D159,"UBERON:skin of hand"),exact(Metadata!D159,"UBERON:skin of forehead"))))</f>
        <v>0</v>
      </c>
      <c r="T159">
        <f>AND(IF(Metadata!E159="",FALSE,TRUE),exact(Metadata!E159,"human skin metagenome"))</f>
        <v>0</v>
      </c>
      <c r="U159">
        <f>AND(IF(Metadata!F159="",FALSE,TRUE),exact(Metadata!F159,"539655"))</f>
        <v>0</v>
      </c>
    </row>
    <row r="160" spans="1:21">
      <c r="A160" s="4">
        <f>IF(B160=" "," ",HYPERLINK(CONCATENATE("#metadata!",ADDRESS(INDEX($L$2:$L$1001,MATCH(ROWS($J$2:J160),$J$2:$J$1001,0),0),1)),INDEX($O$2:$O$1001,MATCH(ROWS($J$2:J160),$J$2:$J$1001,0),0)))</f>
        <v>0</v>
      </c>
      <c r="B160" s="3">
        <f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>0</v>
      </c>
      <c r="C160" s="3">
        <f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>0</v>
      </c>
      <c r="D160" s="3">
        <f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>0</v>
      </c>
      <c r="E160" s="3">
        <f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>0</v>
      </c>
      <c r="F160" s="3">
        <f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>0</v>
      </c>
      <c r="J160">
        <v>0</v>
      </c>
      <c r="K160">
        <v>0</v>
      </c>
      <c r="L160">
        <v>0</v>
      </c>
      <c r="M160">
        <f>IF(N160,TRUE,AND(Q160:U160))</f>
        <v>0</v>
      </c>
      <c r="N160">
        <f>COUNTBLANK(Metadata!B160:F160)=COLUMNS(Metadata!B160:F160)</f>
        <v>0</v>
      </c>
      <c r="O160">
        <v>0</v>
      </c>
      <c r="Q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>
        <f>AND(IF(Metadata!C160="",FALSE,TRUE),exact(Metadata!C160,"human-skin"))</f>
        <v>0</v>
      </c>
      <c r="S160">
        <f>OR(AND(IF(Metadata!D160="",FALSE,TRUE),OR(exact(Metadata!D160,"missing: not collected"),exact(Metadata!D160,"missing: not provided"))),AND(IF(Metadata!D160="",FALSE,TRUE),OR(exact(Metadata!D160,"UBERON:zone of skin"),exact(Metadata!D160,"UBERON:skin of hand"),exact(Metadata!D160,"UBERON:skin of forehead"))))</f>
        <v>0</v>
      </c>
      <c r="T160">
        <f>AND(IF(Metadata!E160="",FALSE,TRUE),exact(Metadata!E160,"human skin metagenome"))</f>
        <v>0</v>
      </c>
      <c r="U160">
        <f>AND(IF(Metadata!F160="",FALSE,TRUE),exact(Metadata!F160,"539655"))</f>
        <v>0</v>
      </c>
    </row>
    <row r="161" spans="1:21">
      <c r="A161" s="4">
        <f>IF(B161=" "," ",HYPERLINK(CONCATENATE("#metadata!",ADDRESS(INDEX($L$2:$L$1001,MATCH(ROWS($J$2:J161),$J$2:$J$1001,0),0),1)),INDEX($O$2:$O$1001,MATCH(ROWS($J$2:J161),$J$2:$J$1001,0),0)))</f>
        <v>0</v>
      </c>
      <c r="B161" s="3">
        <f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>0</v>
      </c>
      <c r="C161" s="3">
        <f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>0</v>
      </c>
      <c r="D161" s="3">
        <f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>0</v>
      </c>
      <c r="E161" s="3">
        <f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>0</v>
      </c>
      <c r="F161" s="3">
        <f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>0</v>
      </c>
      <c r="J161">
        <v>0</v>
      </c>
      <c r="K161">
        <v>0</v>
      </c>
      <c r="L161">
        <v>0</v>
      </c>
      <c r="M161">
        <f>IF(N161,TRUE,AND(Q161:U161))</f>
        <v>0</v>
      </c>
      <c r="N161">
        <f>COUNTBLANK(Metadata!B161:F161)=COLUMNS(Metadata!B161:F161)</f>
        <v>0</v>
      </c>
      <c r="O161">
        <v>0</v>
      </c>
      <c r="Q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>
        <f>AND(IF(Metadata!C161="",FALSE,TRUE),exact(Metadata!C161,"human-skin"))</f>
        <v>0</v>
      </c>
      <c r="S161">
        <f>OR(AND(IF(Metadata!D161="",FALSE,TRUE),OR(exact(Metadata!D161,"missing: not collected"),exact(Metadata!D161,"missing: not provided"))),AND(IF(Metadata!D161="",FALSE,TRUE),OR(exact(Metadata!D161,"UBERON:zone of skin"),exact(Metadata!D161,"UBERON:skin of hand"),exact(Metadata!D161,"UBERON:skin of forehead"))))</f>
        <v>0</v>
      </c>
      <c r="T161">
        <f>AND(IF(Metadata!E161="",FALSE,TRUE),exact(Metadata!E161,"human skin metagenome"))</f>
        <v>0</v>
      </c>
      <c r="U161">
        <f>AND(IF(Metadata!F161="",FALSE,TRUE),exact(Metadata!F161,"539655"))</f>
        <v>0</v>
      </c>
    </row>
    <row r="162" spans="1:21">
      <c r="A162" s="4">
        <f>IF(B162=" "," ",HYPERLINK(CONCATENATE("#metadata!",ADDRESS(INDEX($L$2:$L$1001,MATCH(ROWS($J$2:J162),$J$2:$J$1001,0),0),1)),INDEX($O$2:$O$1001,MATCH(ROWS($J$2:J162),$J$2:$J$1001,0),0)))</f>
        <v>0</v>
      </c>
      <c r="B162" s="3">
        <f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>0</v>
      </c>
      <c r="C162" s="3">
        <f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>0</v>
      </c>
      <c r="D162" s="3">
        <f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>0</v>
      </c>
      <c r="E162" s="3">
        <f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>0</v>
      </c>
      <c r="F162" s="3">
        <f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>0</v>
      </c>
      <c r="J162">
        <v>0</v>
      </c>
      <c r="K162">
        <v>0</v>
      </c>
      <c r="L162">
        <v>0</v>
      </c>
      <c r="M162">
        <f>IF(N162,TRUE,AND(Q162:U162))</f>
        <v>0</v>
      </c>
      <c r="N162">
        <f>COUNTBLANK(Metadata!B162:F162)=COLUMNS(Metadata!B162:F162)</f>
        <v>0</v>
      </c>
      <c r="O162">
        <v>0</v>
      </c>
      <c r="Q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>
        <f>AND(IF(Metadata!C162="",FALSE,TRUE),exact(Metadata!C162,"human-skin"))</f>
        <v>0</v>
      </c>
      <c r="S162">
        <f>OR(AND(IF(Metadata!D162="",FALSE,TRUE),OR(exact(Metadata!D162,"missing: not collected"),exact(Metadata!D162,"missing: not provided"))),AND(IF(Metadata!D162="",FALSE,TRUE),OR(exact(Metadata!D162,"UBERON:zone of skin"),exact(Metadata!D162,"UBERON:skin of hand"),exact(Metadata!D162,"UBERON:skin of forehead"))))</f>
        <v>0</v>
      </c>
      <c r="T162">
        <f>AND(IF(Metadata!E162="",FALSE,TRUE),exact(Metadata!E162,"human skin metagenome"))</f>
        <v>0</v>
      </c>
      <c r="U162">
        <f>AND(IF(Metadata!F162="",FALSE,TRUE),exact(Metadata!F162,"539655"))</f>
        <v>0</v>
      </c>
    </row>
    <row r="163" spans="1:21">
      <c r="A163" s="4">
        <f>IF(B163=" "," ",HYPERLINK(CONCATENATE("#metadata!",ADDRESS(INDEX($L$2:$L$1001,MATCH(ROWS($J$2:J163),$J$2:$J$1001,0),0),1)),INDEX($O$2:$O$1001,MATCH(ROWS($J$2:J163),$J$2:$J$1001,0),0)))</f>
        <v>0</v>
      </c>
      <c r="B163" s="3">
        <f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>0</v>
      </c>
      <c r="C163" s="3">
        <f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>0</v>
      </c>
      <c r="D163" s="3">
        <f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>0</v>
      </c>
      <c r="E163" s="3">
        <f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>0</v>
      </c>
      <c r="F163" s="3">
        <f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>0</v>
      </c>
      <c r="J163">
        <v>0</v>
      </c>
      <c r="K163">
        <v>0</v>
      </c>
      <c r="L163">
        <v>0</v>
      </c>
      <c r="M163">
        <f>IF(N163,TRUE,AND(Q163:U163))</f>
        <v>0</v>
      </c>
      <c r="N163">
        <f>COUNTBLANK(Metadata!B163:F163)=COLUMNS(Metadata!B163:F163)</f>
        <v>0</v>
      </c>
      <c r="O163">
        <v>0</v>
      </c>
      <c r="Q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>
        <f>AND(IF(Metadata!C163="",FALSE,TRUE),exact(Metadata!C163,"human-skin"))</f>
        <v>0</v>
      </c>
      <c r="S163">
        <f>OR(AND(IF(Metadata!D163="",FALSE,TRUE),OR(exact(Metadata!D163,"missing: not collected"),exact(Metadata!D163,"missing: not provided"))),AND(IF(Metadata!D163="",FALSE,TRUE),OR(exact(Metadata!D163,"UBERON:zone of skin"),exact(Metadata!D163,"UBERON:skin of hand"),exact(Metadata!D163,"UBERON:skin of forehead"))))</f>
        <v>0</v>
      </c>
      <c r="T163">
        <f>AND(IF(Metadata!E163="",FALSE,TRUE),exact(Metadata!E163,"human skin metagenome"))</f>
        <v>0</v>
      </c>
      <c r="U163">
        <f>AND(IF(Metadata!F163="",FALSE,TRUE),exact(Metadata!F163,"539655"))</f>
        <v>0</v>
      </c>
    </row>
    <row r="164" spans="1:21">
      <c r="A164" s="4">
        <f>IF(B164=" "," ",HYPERLINK(CONCATENATE("#metadata!",ADDRESS(INDEX($L$2:$L$1001,MATCH(ROWS($J$2:J164),$J$2:$J$1001,0),0),1)),INDEX($O$2:$O$1001,MATCH(ROWS($J$2:J164),$J$2:$J$1001,0),0)))</f>
        <v>0</v>
      </c>
      <c r="B164" s="3">
        <f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>0</v>
      </c>
      <c r="C164" s="3">
        <f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>0</v>
      </c>
      <c r="D164" s="3">
        <f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>0</v>
      </c>
      <c r="E164" s="3">
        <f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>0</v>
      </c>
      <c r="F164" s="3">
        <f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>0</v>
      </c>
      <c r="J164">
        <v>0</v>
      </c>
      <c r="K164">
        <v>0</v>
      </c>
      <c r="L164">
        <v>0</v>
      </c>
      <c r="M164">
        <f>IF(N164,TRUE,AND(Q164:U164))</f>
        <v>0</v>
      </c>
      <c r="N164">
        <f>COUNTBLANK(Metadata!B164:F164)=COLUMNS(Metadata!B164:F164)</f>
        <v>0</v>
      </c>
      <c r="O164">
        <v>0</v>
      </c>
      <c r="Q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>
        <f>AND(IF(Metadata!C164="",FALSE,TRUE),exact(Metadata!C164,"human-skin"))</f>
        <v>0</v>
      </c>
      <c r="S164">
        <f>OR(AND(IF(Metadata!D164="",FALSE,TRUE),OR(exact(Metadata!D164,"missing: not collected"),exact(Metadata!D164,"missing: not provided"))),AND(IF(Metadata!D164="",FALSE,TRUE),OR(exact(Metadata!D164,"UBERON:zone of skin"),exact(Metadata!D164,"UBERON:skin of hand"),exact(Metadata!D164,"UBERON:skin of forehead"))))</f>
        <v>0</v>
      </c>
      <c r="T164">
        <f>AND(IF(Metadata!E164="",FALSE,TRUE),exact(Metadata!E164,"human skin metagenome"))</f>
        <v>0</v>
      </c>
      <c r="U164">
        <f>AND(IF(Metadata!F164="",FALSE,TRUE),exact(Metadata!F164,"539655"))</f>
        <v>0</v>
      </c>
    </row>
    <row r="165" spans="1:21">
      <c r="A165" s="4">
        <f>IF(B165=" "," ",HYPERLINK(CONCATENATE("#metadata!",ADDRESS(INDEX($L$2:$L$1001,MATCH(ROWS($J$2:J165),$J$2:$J$1001,0),0),1)),INDEX($O$2:$O$1001,MATCH(ROWS($J$2:J165),$J$2:$J$1001,0),0)))</f>
        <v>0</v>
      </c>
      <c r="B165" s="3">
        <f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>0</v>
      </c>
      <c r="C165" s="3">
        <f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>0</v>
      </c>
      <c r="D165" s="3">
        <f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>0</v>
      </c>
      <c r="E165" s="3">
        <f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>0</v>
      </c>
      <c r="F165" s="3">
        <f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>0</v>
      </c>
      <c r="J165">
        <v>0</v>
      </c>
      <c r="K165">
        <v>0</v>
      </c>
      <c r="L165">
        <v>0</v>
      </c>
      <c r="M165">
        <f>IF(N165,TRUE,AND(Q165:U165))</f>
        <v>0</v>
      </c>
      <c r="N165">
        <f>COUNTBLANK(Metadata!B165:F165)=COLUMNS(Metadata!B165:F165)</f>
        <v>0</v>
      </c>
      <c r="O165">
        <v>0</v>
      </c>
      <c r="Q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>
        <f>AND(IF(Metadata!C165="",FALSE,TRUE),exact(Metadata!C165,"human-skin"))</f>
        <v>0</v>
      </c>
      <c r="S165">
        <f>OR(AND(IF(Metadata!D165="",FALSE,TRUE),OR(exact(Metadata!D165,"missing: not collected"),exact(Metadata!D165,"missing: not provided"))),AND(IF(Metadata!D165="",FALSE,TRUE),OR(exact(Metadata!D165,"UBERON:zone of skin"),exact(Metadata!D165,"UBERON:skin of hand"),exact(Metadata!D165,"UBERON:skin of forehead"))))</f>
        <v>0</v>
      </c>
      <c r="T165">
        <f>AND(IF(Metadata!E165="",FALSE,TRUE),exact(Metadata!E165,"human skin metagenome"))</f>
        <v>0</v>
      </c>
      <c r="U165">
        <f>AND(IF(Metadata!F165="",FALSE,TRUE),exact(Metadata!F165,"539655"))</f>
        <v>0</v>
      </c>
    </row>
    <row r="166" spans="1:21">
      <c r="A166" s="4">
        <f>IF(B166=" "," ",HYPERLINK(CONCATENATE("#metadata!",ADDRESS(INDEX($L$2:$L$1001,MATCH(ROWS($J$2:J166),$J$2:$J$1001,0),0),1)),INDEX($O$2:$O$1001,MATCH(ROWS($J$2:J166),$J$2:$J$1001,0),0)))</f>
        <v>0</v>
      </c>
      <c r="B166" s="3">
        <f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>0</v>
      </c>
      <c r="C166" s="3">
        <f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>0</v>
      </c>
      <c r="D166" s="3">
        <f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>0</v>
      </c>
      <c r="E166" s="3">
        <f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>0</v>
      </c>
      <c r="F166" s="3">
        <f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>0</v>
      </c>
      <c r="J166">
        <v>0</v>
      </c>
      <c r="K166">
        <v>0</v>
      </c>
      <c r="L166">
        <v>0</v>
      </c>
      <c r="M166">
        <f>IF(N166,TRUE,AND(Q166:U166))</f>
        <v>0</v>
      </c>
      <c r="N166">
        <f>COUNTBLANK(Metadata!B166:F166)=COLUMNS(Metadata!B166:F166)</f>
        <v>0</v>
      </c>
      <c r="O166">
        <v>0</v>
      </c>
      <c r="Q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>
        <f>AND(IF(Metadata!C166="",FALSE,TRUE),exact(Metadata!C166,"human-skin"))</f>
        <v>0</v>
      </c>
      <c r="S166">
        <f>OR(AND(IF(Metadata!D166="",FALSE,TRUE),OR(exact(Metadata!D166,"missing: not collected"),exact(Metadata!D166,"missing: not provided"))),AND(IF(Metadata!D166="",FALSE,TRUE),OR(exact(Metadata!D166,"UBERON:zone of skin"),exact(Metadata!D166,"UBERON:skin of hand"),exact(Metadata!D166,"UBERON:skin of forehead"))))</f>
        <v>0</v>
      </c>
      <c r="T166">
        <f>AND(IF(Metadata!E166="",FALSE,TRUE),exact(Metadata!E166,"human skin metagenome"))</f>
        <v>0</v>
      </c>
      <c r="U166">
        <f>AND(IF(Metadata!F166="",FALSE,TRUE),exact(Metadata!F166,"539655"))</f>
        <v>0</v>
      </c>
    </row>
    <row r="167" spans="1:21">
      <c r="A167" s="4">
        <f>IF(B167=" "," ",HYPERLINK(CONCATENATE("#metadata!",ADDRESS(INDEX($L$2:$L$1001,MATCH(ROWS($J$2:J167),$J$2:$J$1001,0),0),1)),INDEX($O$2:$O$1001,MATCH(ROWS($J$2:J167),$J$2:$J$1001,0),0)))</f>
        <v>0</v>
      </c>
      <c r="B167" s="3">
        <f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>0</v>
      </c>
      <c r="C167" s="3">
        <f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>0</v>
      </c>
      <c r="D167" s="3">
        <f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>0</v>
      </c>
      <c r="E167" s="3">
        <f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>0</v>
      </c>
      <c r="F167" s="3">
        <f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>0</v>
      </c>
      <c r="J167">
        <v>0</v>
      </c>
      <c r="K167">
        <v>0</v>
      </c>
      <c r="L167">
        <v>0</v>
      </c>
      <c r="M167">
        <f>IF(N167,TRUE,AND(Q167:U167))</f>
        <v>0</v>
      </c>
      <c r="N167">
        <f>COUNTBLANK(Metadata!B167:F167)=COLUMNS(Metadata!B167:F167)</f>
        <v>0</v>
      </c>
      <c r="O167">
        <v>0</v>
      </c>
      <c r="Q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>
        <f>AND(IF(Metadata!C167="",FALSE,TRUE),exact(Metadata!C167,"human-skin"))</f>
        <v>0</v>
      </c>
      <c r="S167">
        <f>OR(AND(IF(Metadata!D167="",FALSE,TRUE),OR(exact(Metadata!D167,"missing: not collected"),exact(Metadata!D167,"missing: not provided"))),AND(IF(Metadata!D167="",FALSE,TRUE),OR(exact(Metadata!D167,"UBERON:zone of skin"),exact(Metadata!D167,"UBERON:skin of hand"),exact(Metadata!D167,"UBERON:skin of forehead"))))</f>
        <v>0</v>
      </c>
      <c r="T167">
        <f>AND(IF(Metadata!E167="",FALSE,TRUE),exact(Metadata!E167,"human skin metagenome"))</f>
        <v>0</v>
      </c>
      <c r="U167">
        <f>AND(IF(Metadata!F167="",FALSE,TRUE),exact(Metadata!F167,"539655"))</f>
        <v>0</v>
      </c>
    </row>
    <row r="168" spans="1:21">
      <c r="A168" s="4">
        <f>IF(B168=" "," ",HYPERLINK(CONCATENATE("#metadata!",ADDRESS(INDEX($L$2:$L$1001,MATCH(ROWS($J$2:J168),$J$2:$J$1001,0),0),1)),INDEX($O$2:$O$1001,MATCH(ROWS($J$2:J168),$J$2:$J$1001,0),0)))</f>
        <v>0</v>
      </c>
      <c r="B168" s="3">
        <f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>0</v>
      </c>
      <c r="C168" s="3">
        <f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>0</v>
      </c>
      <c r="D168" s="3">
        <f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>0</v>
      </c>
      <c r="E168" s="3">
        <f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>0</v>
      </c>
      <c r="F168" s="3">
        <f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>0</v>
      </c>
      <c r="J168">
        <v>0</v>
      </c>
      <c r="K168">
        <v>0</v>
      </c>
      <c r="L168">
        <v>0</v>
      </c>
      <c r="M168">
        <f>IF(N168,TRUE,AND(Q168:U168))</f>
        <v>0</v>
      </c>
      <c r="N168">
        <f>COUNTBLANK(Metadata!B168:F168)=COLUMNS(Metadata!B168:F168)</f>
        <v>0</v>
      </c>
      <c r="O168">
        <v>0</v>
      </c>
      <c r="Q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>
        <f>AND(IF(Metadata!C168="",FALSE,TRUE),exact(Metadata!C168,"human-skin"))</f>
        <v>0</v>
      </c>
      <c r="S168">
        <f>OR(AND(IF(Metadata!D168="",FALSE,TRUE),OR(exact(Metadata!D168,"missing: not collected"),exact(Metadata!D168,"missing: not provided"))),AND(IF(Metadata!D168="",FALSE,TRUE),OR(exact(Metadata!D168,"UBERON:zone of skin"),exact(Metadata!D168,"UBERON:skin of hand"),exact(Metadata!D168,"UBERON:skin of forehead"))))</f>
        <v>0</v>
      </c>
      <c r="T168">
        <f>AND(IF(Metadata!E168="",FALSE,TRUE),exact(Metadata!E168,"human skin metagenome"))</f>
        <v>0</v>
      </c>
      <c r="U168">
        <f>AND(IF(Metadata!F168="",FALSE,TRUE),exact(Metadata!F168,"539655"))</f>
        <v>0</v>
      </c>
    </row>
    <row r="169" spans="1:21">
      <c r="A169" s="4">
        <f>IF(B169=" "," ",HYPERLINK(CONCATENATE("#metadata!",ADDRESS(INDEX($L$2:$L$1001,MATCH(ROWS($J$2:J169),$J$2:$J$1001,0),0),1)),INDEX($O$2:$O$1001,MATCH(ROWS($J$2:J169),$J$2:$J$1001,0),0)))</f>
        <v>0</v>
      </c>
      <c r="B169" s="3">
        <f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>0</v>
      </c>
      <c r="C169" s="3">
        <f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>0</v>
      </c>
      <c r="D169" s="3">
        <f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>0</v>
      </c>
      <c r="E169" s="3">
        <f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>0</v>
      </c>
      <c r="F169" s="3">
        <f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>0</v>
      </c>
      <c r="J169">
        <v>0</v>
      </c>
      <c r="K169">
        <v>0</v>
      </c>
      <c r="L169">
        <v>0</v>
      </c>
      <c r="M169">
        <f>IF(N169,TRUE,AND(Q169:U169))</f>
        <v>0</v>
      </c>
      <c r="N169">
        <f>COUNTBLANK(Metadata!B169:F169)=COLUMNS(Metadata!B169:F169)</f>
        <v>0</v>
      </c>
      <c r="O169">
        <v>0</v>
      </c>
      <c r="Q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>
        <f>AND(IF(Metadata!C169="",FALSE,TRUE),exact(Metadata!C169,"human-skin"))</f>
        <v>0</v>
      </c>
      <c r="S169">
        <f>OR(AND(IF(Metadata!D169="",FALSE,TRUE),OR(exact(Metadata!D169,"missing: not collected"),exact(Metadata!D169,"missing: not provided"))),AND(IF(Metadata!D169="",FALSE,TRUE),OR(exact(Metadata!D169,"UBERON:zone of skin"),exact(Metadata!D169,"UBERON:skin of hand"),exact(Metadata!D169,"UBERON:skin of forehead"))))</f>
        <v>0</v>
      </c>
      <c r="T169">
        <f>AND(IF(Metadata!E169="",FALSE,TRUE),exact(Metadata!E169,"human skin metagenome"))</f>
        <v>0</v>
      </c>
      <c r="U169">
        <f>AND(IF(Metadata!F169="",FALSE,TRUE),exact(Metadata!F169,"539655"))</f>
        <v>0</v>
      </c>
    </row>
    <row r="170" spans="1:21">
      <c r="A170" s="4">
        <f>IF(B170=" "," ",HYPERLINK(CONCATENATE("#metadata!",ADDRESS(INDEX($L$2:$L$1001,MATCH(ROWS($J$2:J170),$J$2:$J$1001,0),0),1)),INDEX($O$2:$O$1001,MATCH(ROWS($J$2:J170),$J$2:$J$1001,0),0)))</f>
        <v>0</v>
      </c>
      <c r="B170" s="3">
        <f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>0</v>
      </c>
      <c r="C170" s="3">
        <f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>0</v>
      </c>
      <c r="D170" s="3">
        <f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>0</v>
      </c>
      <c r="E170" s="3">
        <f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>0</v>
      </c>
      <c r="F170" s="3">
        <f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>0</v>
      </c>
      <c r="J170">
        <v>0</v>
      </c>
      <c r="K170">
        <v>0</v>
      </c>
      <c r="L170">
        <v>0</v>
      </c>
      <c r="M170">
        <f>IF(N170,TRUE,AND(Q170:U170))</f>
        <v>0</v>
      </c>
      <c r="N170">
        <f>COUNTBLANK(Metadata!B170:F170)=COLUMNS(Metadata!B170:F170)</f>
        <v>0</v>
      </c>
      <c r="O170">
        <v>0</v>
      </c>
      <c r="Q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>
        <f>AND(IF(Metadata!C170="",FALSE,TRUE),exact(Metadata!C170,"human-skin"))</f>
        <v>0</v>
      </c>
      <c r="S170">
        <f>OR(AND(IF(Metadata!D170="",FALSE,TRUE),OR(exact(Metadata!D170,"missing: not collected"),exact(Metadata!D170,"missing: not provided"))),AND(IF(Metadata!D170="",FALSE,TRUE),OR(exact(Metadata!D170,"UBERON:zone of skin"),exact(Metadata!D170,"UBERON:skin of hand"),exact(Metadata!D170,"UBERON:skin of forehead"))))</f>
        <v>0</v>
      </c>
      <c r="T170">
        <f>AND(IF(Metadata!E170="",FALSE,TRUE),exact(Metadata!E170,"human skin metagenome"))</f>
        <v>0</v>
      </c>
      <c r="U170">
        <f>AND(IF(Metadata!F170="",FALSE,TRUE),exact(Metadata!F170,"539655"))</f>
        <v>0</v>
      </c>
    </row>
    <row r="171" spans="1:21">
      <c r="A171" s="4">
        <f>IF(B171=" "," ",HYPERLINK(CONCATENATE("#metadata!",ADDRESS(INDEX($L$2:$L$1001,MATCH(ROWS($J$2:J171),$J$2:$J$1001,0),0),1)),INDEX($O$2:$O$1001,MATCH(ROWS($J$2:J171),$J$2:$J$1001,0),0)))</f>
        <v>0</v>
      </c>
      <c r="B171" s="3">
        <f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>0</v>
      </c>
      <c r="C171" s="3">
        <f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>0</v>
      </c>
      <c r="D171" s="3">
        <f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>0</v>
      </c>
      <c r="E171" s="3">
        <f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>0</v>
      </c>
      <c r="F171" s="3">
        <f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>0</v>
      </c>
      <c r="J171">
        <v>0</v>
      </c>
      <c r="K171">
        <v>0</v>
      </c>
      <c r="L171">
        <v>0</v>
      </c>
      <c r="M171">
        <f>IF(N171,TRUE,AND(Q171:U171))</f>
        <v>0</v>
      </c>
      <c r="N171">
        <f>COUNTBLANK(Metadata!B171:F171)=COLUMNS(Metadata!B171:F171)</f>
        <v>0</v>
      </c>
      <c r="O171">
        <v>0</v>
      </c>
      <c r="Q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>
        <f>AND(IF(Metadata!C171="",FALSE,TRUE),exact(Metadata!C171,"human-skin"))</f>
        <v>0</v>
      </c>
      <c r="S171">
        <f>OR(AND(IF(Metadata!D171="",FALSE,TRUE),OR(exact(Metadata!D171,"missing: not collected"),exact(Metadata!D171,"missing: not provided"))),AND(IF(Metadata!D171="",FALSE,TRUE),OR(exact(Metadata!D171,"UBERON:zone of skin"),exact(Metadata!D171,"UBERON:skin of hand"),exact(Metadata!D171,"UBERON:skin of forehead"))))</f>
        <v>0</v>
      </c>
      <c r="T171">
        <f>AND(IF(Metadata!E171="",FALSE,TRUE),exact(Metadata!E171,"human skin metagenome"))</f>
        <v>0</v>
      </c>
      <c r="U171">
        <f>AND(IF(Metadata!F171="",FALSE,TRUE),exact(Metadata!F171,"539655"))</f>
        <v>0</v>
      </c>
    </row>
    <row r="172" spans="1:21">
      <c r="A172" s="4">
        <f>IF(B172=" "," ",HYPERLINK(CONCATENATE("#metadata!",ADDRESS(INDEX($L$2:$L$1001,MATCH(ROWS($J$2:J172),$J$2:$J$1001,0),0),1)),INDEX($O$2:$O$1001,MATCH(ROWS($J$2:J172),$J$2:$J$1001,0),0)))</f>
        <v>0</v>
      </c>
      <c r="B172" s="3">
        <f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>0</v>
      </c>
      <c r="C172" s="3">
        <f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>0</v>
      </c>
      <c r="D172" s="3">
        <f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>0</v>
      </c>
      <c r="E172" s="3">
        <f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>0</v>
      </c>
      <c r="F172" s="3">
        <f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>0</v>
      </c>
      <c r="J172">
        <v>0</v>
      </c>
      <c r="K172">
        <v>0</v>
      </c>
      <c r="L172">
        <v>0</v>
      </c>
      <c r="M172">
        <f>IF(N172,TRUE,AND(Q172:U172))</f>
        <v>0</v>
      </c>
      <c r="N172">
        <f>COUNTBLANK(Metadata!B172:F172)=COLUMNS(Metadata!B172:F172)</f>
        <v>0</v>
      </c>
      <c r="O172">
        <v>0</v>
      </c>
      <c r="Q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>
        <f>AND(IF(Metadata!C172="",FALSE,TRUE),exact(Metadata!C172,"human-skin"))</f>
        <v>0</v>
      </c>
      <c r="S172">
        <f>OR(AND(IF(Metadata!D172="",FALSE,TRUE),OR(exact(Metadata!D172,"missing: not collected"),exact(Metadata!D172,"missing: not provided"))),AND(IF(Metadata!D172="",FALSE,TRUE),OR(exact(Metadata!D172,"UBERON:zone of skin"),exact(Metadata!D172,"UBERON:skin of hand"),exact(Metadata!D172,"UBERON:skin of forehead"))))</f>
        <v>0</v>
      </c>
      <c r="T172">
        <f>AND(IF(Metadata!E172="",FALSE,TRUE),exact(Metadata!E172,"human skin metagenome"))</f>
        <v>0</v>
      </c>
      <c r="U172">
        <f>AND(IF(Metadata!F172="",FALSE,TRUE),exact(Metadata!F172,"539655"))</f>
        <v>0</v>
      </c>
    </row>
    <row r="173" spans="1:21">
      <c r="A173" s="4">
        <f>IF(B173=" "," ",HYPERLINK(CONCATENATE("#metadata!",ADDRESS(INDEX($L$2:$L$1001,MATCH(ROWS($J$2:J173),$J$2:$J$1001,0),0),1)),INDEX($O$2:$O$1001,MATCH(ROWS($J$2:J173),$J$2:$J$1001,0),0)))</f>
        <v>0</v>
      </c>
      <c r="B173" s="3">
        <f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>0</v>
      </c>
      <c r="C173" s="3">
        <f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>0</v>
      </c>
      <c r="D173" s="3">
        <f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>0</v>
      </c>
      <c r="E173" s="3">
        <f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>0</v>
      </c>
      <c r="F173" s="3">
        <f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>0</v>
      </c>
      <c r="J173">
        <v>0</v>
      </c>
      <c r="K173">
        <v>0</v>
      </c>
      <c r="L173">
        <v>0</v>
      </c>
      <c r="M173">
        <f>IF(N173,TRUE,AND(Q173:U173))</f>
        <v>0</v>
      </c>
      <c r="N173">
        <f>COUNTBLANK(Metadata!B173:F173)=COLUMNS(Metadata!B173:F173)</f>
        <v>0</v>
      </c>
      <c r="O173">
        <v>0</v>
      </c>
      <c r="Q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>
        <f>AND(IF(Metadata!C173="",FALSE,TRUE),exact(Metadata!C173,"human-skin"))</f>
        <v>0</v>
      </c>
      <c r="S173">
        <f>OR(AND(IF(Metadata!D173="",FALSE,TRUE),OR(exact(Metadata!D173,"missing: not collected"),exact(Metadata!D173,"missing: not provided"))),AND(IF(Metadata!D173="",FALSE,TRUE),OR(exact(Metadata!D173,"UBERON:zone of skin"),exact(Metadata!D173,"UBERON:skin of hand"),exact(Metadata!D173,"UBERON:skin of forehead"))))</f>
        <v>0</v>
      </c>
      <c r="T173">
        <f>AND(IF(Metadata!E173="",FALSE,TRUE),exact(Metadata!E173,"human skin metagenome"))</f>
        <v>0</v>
      </c>
      <c r="U173">
        <f>AND(IF(Metadata!F173="",FALSE,TRUE),exact(Metadata!F173,"539655"))</f>
        <v>0</v>
      </c>
    </row>
    <row r="174" spans="1:21">
      <c r="A174" s="4">
        <f>IF(B174=" "," ",HYPERLINK(CONCATENATE("#metadata!",ADDRESS(INDEX($L$2:$L$1001,MATCH(ROWS($J$2:J174),$J$2:$J$1001,0),0),1)),INDEX($O$2:$O$1001,MATCH(ROWS($J$2:J174),$J$2:$J$1001,0),0)))</f>
        <v>0</v>
      </c>
      <c r="B174" s="3">
        <f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>0</v>
      </c>
      <c r="C174" s="3">
        <f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>0</v>
      </c>
      <c r="D174" s="3">
        <f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>0</v>
      </c>
      <c r="E174" s="3">
        <f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>0</v>
      </c>
      <c r="F174" s="3">
        <f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>0</v>
      </c>
      <c r="J174">
        <v>0</v>
      </c>
      <c r="K174">
        <v>0</v>
      </c>
      <c r="L174">
        <v>0</v>
      </c>
      <c r="M174">
        <f>IF(N174,TRUE,AND(Q174:U174))</f>
        <v>0</v>
      </c>
      <c r="N174">
        <f>COUNTBLANK(Metadata!B174:F174)=COLUMNS(Metadata!B174:F174)</f>
        <v>0</v>
      </c>
      <c r="O174">
        <v>0</v>
      </c>
      <c r="Q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>
        <f>AND(IF(Metadata!C174="",FALSE,TRUE),exact(Metadata!C174,"human-skin"))</f>
        <v>0</v>
      </c>
      <c r="S174">
        <f>OR(AND(IF(Metadata!D174="",FALSE,TRUE),OR(exact(Metadata!D174,"missing: not collected"),exact(Metadata!D174,"missing: not provided"))),AND(IF(Metadata!D174="",FALSE,TRUE),OR(exact(Metadata!D174,"UBERON:zone of skin"),exact(Metadata!D174,"UBERON:skin of hand"),exact(Metadata!D174,"UBERON:skin of forehead"))))</f>
        <v>0</v>
      </c>
      <c r="T174">
        <f>AND(IF(Metadata!E174="",FALSE,TRUE),exact(Metadata!E174,"human skin metagenome"))</f>
        <v>0</v>
      </c>
      <c r="U174">
        <f>AND(IF(Metadata!F174="",FALSE,TRUE),exact(Metadata!F174,"539655"))</f>
        <v>0</v>
      </c>
    </row>
    <row r="175" spans="1:21">
      <c r="A175" s="4">
        <f>IF(B175=" "," ",HYPERLINK(CONCATENATE("#metadata!",ADDRESS(INDEX($L$2:$L$1001,MATCH(ROWS($J$2:J175),$J$2:$J$1001,0),0),1)),INDEX($O$2:$O$1001,MATCH(ROWS($J$2:J175),$J$2:$J$1001,0),0)))</f>
        <v>0</v>
      </c>
      <c r="B175" s="3">
        <f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>0</v>
      </c>
      <c r="C175" s="3">
        <f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>0</v>
      </c>
      <c r="D175" s="3">
        <f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>0</v>
      </c>
      <c r="E175" s="3">
        <f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>0</v>
      </c>
      <c r="F175" s="3">
        <f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>0</v>
      </c>
      <c r="J175">
        <v>0</v>
      </c>
      <c r="K175">
        <v>0</v>
      </c>
      <c r="L175">
        <v>0</v>
      </c>
      <c r="M175">
        <f>IF(N175,TRUE,AND(Q175:U175))</f>
        <v>0</v>
      </c>
      <c r="N175">
        <f>COUNTBLANK(Metadata!B175:F175)=COLUMNS(Metadata!B175:F175)</f>
        <v>0</v>
      </c>
      <c r="O175">
        <v>0</v>
      </c>
      <c r="Q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>
        <f>AND(IF(Metadata!C175="",FALSE,TRUE),exact(Metadata!C175,"human-skin"))</f>
        <v>0</v>
      </c>
      <c r="S175">
        <f>OR(AND(IF(Metadata!D175="",FALSE,TRUE),OR(exact(Metadata!D175,"missing: not collected"),exact(Metadata!D175,"missing: not provided"))),AND(IF(Metadata!D175="",FALSE,TRUE),OR(exact(Metadata!D175,"UBERON:zone of skin"),exact(Metadata!D175,"UBERON:skin of hand"),exact(Metadata!D175,"UBERON:skin of forehead"))))</f>
        <v>0</v>
      </c>
      <c r="T175">
        <f>AND(IF(Metadata!E175="",FALSE,TRUE),exact(Metadata!E175,"human skin metagenome"))</f>
        <v>0</v>
      </c>
      <c r="U175">
        <f>AND(IF(Metadata!F175="",FALSE,TRUE),exact(Metadata!F175,"539655"))</f>
        <v>0</v>
      </c>
    </row>
    <row r="176" spans="1:21">
      <c r="A176" s="4">
        <f>IF(B176=" "," ",HYPERLINK(CONCATENATE("#metadata!",ADDRESS(INDEX($L$2:$L$1001,MATCH(ROWS($J$2:J176),$J$2:$J$1001,0),0),1)),INDEX($O$2:$O$1001,MATCH(ROWS($J$2:J176),$J$2:$J$1001,0),0)))</f>
        <v>0</v>
      </c>
      <c r="B176" s="3">
        <f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>0</v>
      </c>
      <c r="C176" s="3">
        <f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>0</v>
      </c>
      <c r="D176" s="3">
        <f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>0</v>
      </c>
      <c r="E176" s="3">
        <f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>0</v>
      </c>
      <c r="F176" s="3">
        <f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>0</v>
      </c>
      <c r="J176">
        <v>0</v>
      </c>
      <c r="K176">
        <v>0</v>
      </c>
      <c r="L176">
        <v>0</v>
      </c>
      <c r="M176">
        <f>IF(N176,TRUE,AND(Q176:U176))</f>
        <v>0</v>
      </c>
      <c r="N176">
        <f>COUNTBLANK(Metadata!B176:F176)=COLUMNS(Metadata!B176:F176)</f>
        <v>0</v>
      </c>
      <c r="O176">
        <v>0</v>
      </c>
      <c r="Q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>
        <f>AND(IF(Metadata!C176="",FALSE,TRUE),exact(Metadata!C176,"human-skin"))</f>
        <v>0</v>
      </c>
      <c r="S176">
        <f>OR(AND(IF(Metadata!D176="",FALSE,TRUE),OR(exact(Metadata!D176,"missing: not collected"),exact(Metadata!D176,"missing: not provided"))),AND(IF(Metadata!D176="",FALSE,TRUE),OR(exact(Metadata!D176,"UBERON:zone of skin"),exact(Metadata!D176,"UBERON:skin of hand"),exact(Metadata!D176,"UBERON:skin of forehead"))))</f>
        <v>0</v>
      </c>
      <c r="T176">
        <f>AND(IF(Metadata!E176="",FALSE,TRUE),exact(Metadata!E176,"human skin metagenome"))</f>
        <v>0</v>
      </c>
      <c r="U176">
        <f>AND(IF(Metadata!F176="",FALSE,TRUE),exact(Metadata!F176,"539655"))</f>
        <v>0</v>
      </c>
    </row>
    <row r="177" spans="1:21">
      <c r="A177" s="4">
        <f>IF(B177=" "," ",HYPERLINK(CONCATENATE("#metadata!",ADDRESS(INDEX($L$2:$L$1001,MATCH(ROWS($J$2:J177),$J$2:$J$1001,0),0),1)),INDEX($O$2:$O$1001,MATCH(ROWS($J$2:J177),$J$2:$J$1001,0),0)))</f>
        <v>0</v>
      </c>
      <c r="B177" s="3">
        <f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>0</v>
      </c>
      <c r="C177" s="3">
        <f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>0</v>
      </c>
      <c r="D177" s="3">
        <f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>0</v>
      </c>
      <c r="E177" s="3">
        <f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>0</v>
      </c>
      <c r="F177" s="3">
        <f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>0</v>
      </c>
      <c r="J177">
        <v>0</v>
      </c>
      <c r="K177">
        <v>0</v>
      </c>
      <c r="L177">
        <v>0</v>
      </c>
      <c r="M177">
        <f>IF(N177,TRUE,AND(Q177:U177))</f>
        <v>0</v>
      </c>
      <c r="N177">
        <f>COUNTBLANK(Metadata!B177:F177)=COLUMNS(Metadata!B177:F177)</f>
        <v>0</v>
      </c>
      <c r="O177">
        <v>0</v>
      </c>
      <c r="Q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>
        <f>AND(IF(Metadata!C177="",FALSE,TRUE),exact(Metadata!C177,"human-skin"))</f>
        <v>0</v>
      </c>
      <c r="S177">
        <f>OR(AND(IF(Metadata!D177="",FALSE,TRUE),OR(exact(Metadata!D177,"missing: not collected"),exact(Metadata!D177,"missing: not provided"))),AND(IF(Metadata!D177="",FALSE,TRUE),OR(exact(Metadata!D177,"UBERON:zone of skin"),exact(Metadata!D177,"UBERON:skin of hand"),exact(Metadata!D177,"UBERON:skin of forehead"))))</f>
        <v>0</v>
      </c>
      <c r="T177">
        <f>AND(IF(Metadata!E177="",FALSE,TRUE),exact(Metadata!E177,"human skin metagenome"))</f>
        <v>0</v>
      </c>
      <c r="U177">
        <f>AND(IF(Metadata!F177="",FALSE,TRUE),exact(Metadata!F177,"539655"))</f>
        <v>0</v>
      </c>
    </row>
    <row r="178" spans="1:21">
      <c r="A178" s="4">
        <f>IF(B178=" "," ",HYPERLINK(CONCATENATE("#metadata!",ADDRESS(INDEX($L$2:$L$1001,MATCH(ROWS($J$2:J178),$J$2:$J$1001,0),0),1)),INDEX($O$2:$O$1001,MATCH(ROWS($J$2:J178),$J$2:$J$1001,0),0)))</f>
        <v>0</v>
      </c>
      <c r="B178" s="3">
        <f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>0</v>
      </c>
      <c r="C178" s="3">
        <f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>0</v>
      </c>
      <c r="D178" s="3">
        <f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>0</v>
      </c>
      <c r="E178" s="3">
        <f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>0</v>
      </c>
      <c r="F178" s="3">
        <f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>0</v>
      </c>
      <c r="J178">
        <v>0</v>
      </c>
      <c r="K178">
        <v>0</v>
      </c>
      <c r="L178">
        <v>0</v>
      </c>
      <c r="M178">
        <f>IF(N178,TRUE,AND(Q178:U178))</f>
        <v>0</v>
      </c>
      <c r="N178">
        <f>COUNTBLANK(Metadata!B178:F178)=COLUMNS(Metadata!B178:F178)</f>
        <v>0</v>
      </c>
      <c r="O178">
        <v>0</v>
      </c>
      <c r="Q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>
        <f>AND(IF(Metadata!C178="",FALSE,TRUE),exact(Metadata!C178,"human-skin"))</f>
        <v>0</v>
      </c>
      <c r="S178">
        <f>OR(AND(IF(Metadata!D178="",FALSE,TRUE),OR(exact(Metadata!D178,"missing: not collected"),exact(Metadata!D178,"missing: not provided"))),AND(IF(Metadata!D178="",FALSE,TRUE),OR(exact(Metadata!D178,"UBERON:zone of skin"),exact(Metadata!D178,"UBERON:skin of hand"),exact(Metadata!D178,"UBERON:skin of forehead"))))</f>
        <v>0</v>
      </c>
      <c r="T178">
        <f>AND(IF(Metadata!E178="",FALSE,TRUE),exact(Metadata!E178,"human skin metagenome"))</f>
        <v>0</v>
      </c>
      <c r="U178">
        <f>AND(IF(Metadata!F178="",FALSE,TRUE),exact(Metadata!F178,"539655"))</f>
        <v>0</v>
      </c>
    </row>
    <row r="179" spans="1:21">
      <c r="A179" s="4">
        <f>IF(B179=" "," ",HYPERLINK(CONCATENATE("#metadata!",ADDRESS(INDEX($L$2:$L$1001,MATCH(ROWS($J$2:J179),$J$2:$J$1001,0),0),1)),INDEX($O$2:$O$1001,MATCH(ROWS($J$2:J179),$J$2:$J$1001,0),0)))</f>
        <v>0</v>
      </c>
      <c r="B179" s="3">
        <f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>0</v>
      </c>
      <c r="C179" s="3">
        <f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>0</v>
      </c>
      <c r="D179" s="3">
        <f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>0</v>
      </c>
      <c r="E179" s="3">
        <f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>0</v>
      </c>
      <c r="F179" s="3">
        <f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>0</v>
      </c>
      <c r="J179">
        <v>0</v>
      </c>
      <c r="K179">
        <v>0</v>
      </c>
      <c r="L179">
        <v>0</v>
      </c>
      <c r="M179">
        <f>IF(N179,TRUE,AND(Q179:U179))</f>
        <v>0</v>
      </c>
      <c r="N179">
        <f>COUNTBLANK(Metadata!B179:F179)=COLUMNS(Metadata!B179:F179)</f>
        <v>0</v>
      </c>
      <c r="O179">
        <v>0</v>
      </c>
      <c r="Q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>
        <f>AND(IF(Metadata!C179="",FALSE,TRUE),exact(Metadata!C179,"human-skin"))</f>
        <v>0</v>
      </c>
      <c r="S179">
        <f>OR(AND(IF(Metadata!D179="",FALSE,TRUE),OR(exact(Metadata!D179,"missing: not collected"),exact(Metadata!D179,"missing: not provided"))),AND(IF(Metadata!D179="",FALSE,TRUE),OR(exact(Metadata!D179,"UBERON:zone of skin"),exact(Metadata!D179,"UBERON:skin of hand"),exact(Metadata!D179,"UBERON:skin of forehead"))))</f>
        <v>0</v>
      </c>
      <c r="T179">
        <f>AND(IF(Metadata!E179="",FALSE,TRUE),exact(Metadata!E179,"human skin metagenome"))</f>
        <v>0</v>
      </c>
      <c r="U179">
        <f>AND(IF(Metadata!F179="",FALSE,TRUE),exact(Metadata!F179,"539655"))</f>
        <v>0</v>
      </c>
    </row>
    <row r="180" spans="1:21">
      <c r="A180" s="4">
        <f>IF(B180=" "," ",HYPERLINK(CONCATENATE("#metadata!",ADDRESS(INDEX($L$2:$L$1001,MATCH(ROWS($J$2:J180),$J$2:$J$1001,0),0),1)),INDEX($O$2:$O$1001,MATCH(ROWS($J$2:J180),$J$2:$J$1001,0),0)))</f>
        <v>0</v>
      </c>
      <c r="B180" s="3">
        <f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>0</v>
      </c>
      <c r="C180" s="3">
        <f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>0</v>
      </c>
      <c r="D180" s="3">
        <f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>0</v>
      </c>
      <c r="E180" s="3">
        <f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>0</v>
      </c>
      <c r="F180" s="3">
        <f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>0</v>
      </c>
      <c r="J180">
        <v>0</v>
      </c>
      <c r="K180">
        <v>0</v>
      </c>
      <c r="L180">
        <v>0</v>
      </c>
      <c r="M180">
        <f>IF(N180,TRUE,AND(Q180:U180))</f>
        <v>0</v>
      </c>
      <c r="N180">
        <f>COUNTBLANK(Metadata!B180:F180)=COLUMNS(Metadata!B180:F180)</f>
        <v>0</v>
      </c>
      <c r="O180">
        <v>0</v>
      </c>
      <c r="Q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>
        <f>AND(IF(Metadata!C180="",FALSE,TRUE),exact(Metadata!C180,"human-skin"))</f>
        <v>0</v>
      </c>
      <c r="S180">
        <f>OR(AND(IF(Metadata!D180="",FALSE,TRUE),OR(exact(Metadata!D180,"missing: not collected"),exact(Metadata!D180,"missing: not provided"))),AND(IF(Metadata!D180="",FALSE,TRUE),OR(exact(Metadata!D180,"UBERON:zone of skin"),exact(Metadata!D180,"UBERON:skin of hand"),exact(Metadata!D180,"UBERON:skin of forehead"))))</f>
        <v>0</v>
      </c>
      <c r="T180">
        <f>AND(IF(Metadata!E180="",FALSE,TRUE),exact(Metadata!E180,"human skin metagenome"))</f>
        <v>0</v>
      </c>
      <c r="U180">
        <f>AND(IF(Metadata!F180="",FALSE,TRUE),exact(Metadata!F180,"539655"))</f>
        <v>0</v>
      </c>
    </row>
    <row r="181" spans="1:21">
      <c r="A181" s="4">
        <f>IF(B181=" "," ",HYPERLINK(CONCATENATE("#metadata!",ADDRESS(INDEX($L$2:$L$1001,MATCH(ROWS($J$2:J181),$J$2:$J$1001,0),0),1)),INDEX($O$2:$O$1001,MATCH(ROWS($J$2:J181),$J$2:$J$1001,0),0)))</f>
        <v>0</v>
      </c>
      <c r="B181" s="3">
        <f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>0</v>
      </c>
      <c r="C181" s="3">
        <f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>0</v>
      </c>
      <c r="D181" s="3">
        <f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>0</v>
      </c>
      <c r="E181" s="3">
        <f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>0</v>
      </c>
      <c r="F181" s="3">
        <f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>0</v>
      </c>
      <c r="J181">
        <v>0</v>
      </c>
      <c r="K181">
        <v>0</v>
      </c>
      <c r="L181">
        <v>0</v>
      </c>
      <c r="M181">
        <f>IF(N181,TRUE,AND(Q181:U181))</f>
        <v>0</v>
      </c>
      <c r="N181">
        <f>COUNTBLANK(Metadata!B181:F181)=COLUMNS(Metadata!B181:F181)</f>
        <v>0</v>
      </c>
      <c r="O181">
        <v>0</v>
      </c>
      <c r="Q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>
        <f>AND(IF(Metadata!C181="",FALSE,TRUE),exact(Metadata!C181,"human-skin"))</f>
        <v>0</v>
      </c>
      <c r="S181">
        <f>OR(AND(IF(Metadata!D181="",FALSE,TRUE),OR(exact(Metadata!D181,"missing: not collected"),exact(Metadata!D181,"missing: not provided"))),AND(IF(Metadata!D181="",FALSE,TRUE),OR(exact(Metadata!D181,"UBERON:zone of skin"),exact(Metadata!D181,"UBERON:skin of hand"),exact(Metadata!D181,"UBERON:skin of forehead"))))</f>
        <v>0</v>
      </c>
      <c r="T181">
        <f>AND(IF(Metadata!E181="",FALSE,TRUE),exact(Metadata!E181,"human skin metagenome"))</f>
        <v>0</v>
      </c>
      <c r="U181">
        <f>AND(IF(Metadata!F181="",FALSE,TRUE),exact(Metadata!F181,"539655"))</f>
        <v>0</v>
      </c>
    </row>
    <row r="182" spans="1:21">
      <c r="A182" s="4">
        <f>IF(B182=" "," ",HYPERLINK(CONCATENATE("#metadata!",ADDRESS(INDEX($L$2:$L$1001,MATCH(ROWS($J$2:J182),$J$2:$J$1001,0),0),1)),INDEX($O$2:$O$1001,MATCH(ROWS($J$2:J182),$J$2:$J$1001,0),0)))</f>
        <v>0</v>
      </c>
      <c r="B182" s="3">
        <f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>0</v>
      </c>
      <c r="C182" s="3">
        <f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>0</v>
      </c>
      <c r="D182" s="3">
        <f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>0</v>
      </c>
      <c r="E182" s="3">
        <f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>0</v>
      </c>
      <c r="F182" s="3">
        <f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>0</v>
      </c>
      <c r="J182">
        <v>0</v>
      </c>
      <c r="K182">
        <v>0</v>
      </c>
      <c r="L182">
        <v>0</v>
      </c>
      <c r="M182">
        <f>IF(N182,TRUE,AND(Q182:U182))</f>
        <v>0</v>
      </c>
      <c r="N182">
        <f>COUNTBLANK(Metadata!B182:F182)=COLUMNS(Metadata!B182:F182)</f>
        <v>0</v>
      </c>
      <c r="O182">
        <v>0</v>
      </c>
      <c r="Q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>
        <f>AND(IF(Metadata!C182="",FALSE,TRUE),exact(Metadata!C182,"human-skin"))</f>
        <v>0</v>
      </c>
      <c r="S182">
        <f>OR(AND(IF(Metadata!D182="",FALSE,TRUE),OR(exact(Metadata!D182,"missing: not collected"),exact(Metadata!D182,"missing: not provided"))),AND(IF(Metadata!D182="",FALSE,TRUE),OR(exact(Metadata!D182,"UBERON:zone of skin"),exact(Metadata!D182,"UBERON:skin of hand"),exact(Metadata!D182,"UBERON:skin of forehead"))))</f>
        <v>0</v>
      </c>
      <c r="T182">
        <f>AND(IF(Metadata!E182="",FALSE,TRUE),exact(Metadata!E182,"human skin metagenome"))</f>
        <v>0</v>
      </c>
      <c r="U182">
        <f>AND(IF(Metadata!F182="",FALSE,TRUE),exact(Metadata!F182,"539655"))</f>
        <v>0</v>
      </c>
    </row>
    <row r="183" spans="1:21">
      <c r="A183" s="4">
        <f>IF(B183=" "," ",HYPERLINK(CONCATENATE("#metadata!",ADDRESS(INDEX($L$2:$L$1001,MATCH(ROWS($J$2:J183),$J$2:$J$1001,0),0),1)),INDEX($O$2:$O$1001,MATCH(ROWS($J$2:J183),$J$2:$J$1001,0),0)))</f>
        <v>0</v>
      </c>
      <c r="B183" s="3">
        <f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>0</v>
      </c>
      <c r="C183" s="3">
        <f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>0</v>
      </c>
      <c r="D183" s="3">
        <f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>0</v>
      </c>
      <c r="E183" s="3">
        <f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>0</v>
      </c>
      <c r="F183" s="3">
        <f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>0</v>
      </c>
      <c r="J183">
        <v>0</v>
      </c>
      <c r="K183">
        <v>0</v>
      </c>
      <c r="L183">
        <v>0</v>
      </c>
      <c r="M183">
        <f>IF(N183,TRUE,AND(Q183:U183))</f>
        <v>0</v>
      </c>
      <c r="N183">
        <f>COUNTBLANK(Metadata!B183:F183)=COLUMNS(Metadata!B183:F183)</f>
        <v>0</v>
      </c>
      <c r="O183">
        <v>0</v>
      </c>
      <c r="Q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>
        <f>AND(IF(Metadata!C183="",FALSE,TRUE),exact(Metadata!C183,"human-skin"))</f>
        <v>0</v>
      </c>
      <c r="S183">
        <f>OR(AND(IF(Metadata!D183="",FALSE,TRUE),OR(exact(Metadata!D183,"missing: not collected"),exact(Metadata!D183,"missing: not provided"))),AND(IF(Metadata!D183="",FALSE,TRUE),OR(exact(Metadata!D183,"UBERON:zone of skin"),exact(Metadata!D183,"UBERON:skin of hand"),exact(Metadata!D183,"UBERON:skin of forehead"))))</f>
        <v>0</v>
      </c>
      <c r="T183">
        <f>AND(IF(Metadata!E183="",FALSE,TRUE),exact(Metadata!E183,"human skin metagenome"))</f>
        <v>0</v>
      </c>
      <c r="U183">
        <f>AND(IF(Metadata!F183="",FALSE,TRUE),exact(Metadata!F183,"539655"))</f>
        <v>0</v>
      </c>
    </row>
    <row r="184" spans="1:21">
      <c r="A184" s="4">
        <f>IF(B184=" "," ",HYPERLINK(CONCATENATE("#metadata!",ADDRESS(INDEX($L$2:$L$1001,MATCH(ROWS($J$2:J184),$J$2:$J$1001,0),0),1)),INDEX($O$2:$O$1001,MATCH(ROWS($J$2:J184),$J$2:$J$1001,0),0)))</f>
        <v>0</v>
      </c>
      <c r="B184" s="3">
        <f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>0</v>
      </c>
      <c r="C184" s="3">
        <f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>0</v>
      </c>
      <c r="D184" s="3">
        <f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>0</v>
      </c>
      <c r="E184" s="3">
        <f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>0</v>
      </c>
      <c r="F184" s="3">
        <f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>0</v>
      </c>
      <c r="J184">
        <v>0</v>
      </c>
      <c r="K184">
        <v>0</v>
      </c>
      <c r="L184">
        <v>0</v>
      </c>
      <c r="M184">
        <f>IF(N184,TRUE,AND(Q184:U184))</f>
        <v>0</v>
      </c>
      <c r="N184">
        <f>COUNTBLANK(Metadata!B184:F184)=COLUMNS(Metadata!B184:F184)</f>
        <v>0</v>
      </c>
      <c r="O184">
        <v>0</v>
      </c>
      <c r="Q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>
        <f>AND(IF(Metadata!C184="",FALSE,TRUE),exact(Metadata!C184,"human-skin"))</f>
        <v>0</v>
      </c>
      <c r="S184">
        <f>OR(AND(IF(Metadata!D184="",FALSE,TRUE),OR(exact(Metadata!D184,"missing: not collected"),exact(Metadata!D184,"missing: not provided"))),AND(IF(Metadata!D184="",FALSE,TRUE),OR(exact(Metadata!D184,"UBERON:zone of skin"),exact(Metadata!D184,"UBERON:skin of hand"),exact(Metadata!D184,"UBERON:skin of forehead"))))</f>
        <v>0</v>
      </c>
      <c r="T184">
        <f>AND(IF(Metadata!E184="",FALSE,TRUE),exact(Metadata!E184,"human skin metagenome"))</f>
        <v>0</v>
      </c>
      <c r="U184">
        <f>AND(IF(Metadata!F184="",FALSE,TRUE),exact(Metadata!F184,"539655"))</f>
        <v>0</v>
      </c>
    </row>
    <row r="185" spans="1:21">
      <c r="A185" s="4">
        <f>IF(B185=" "," ",HYPERLINK(CONCATENATE("#metadata!",ADDRESS(INDEX($L$2:$L$1001,MATCH(ROWS($J$2:J185),$J$2:$J$1001,0),0),1)),INDEX($O$2:$O$1001,MATCH(ROWS($J$2:J185),$J$2:$J$1001,0),0)))</f>
        <v>0</v>
      </c>
      <c r="B185" s="3">
        <f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>0</v>
      </c>
      <c r="C185" s="3">
        <f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>0</v>
      </c>
      <c r="D185" s="3">
        <f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>0</v>
      </c>
      <c r="E185" s="3">
        <f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>0</v>
      </c>
      <c r="F185" s="3">
        <f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>0</v>
      </c>
      <c r="J185">
        <v>0</v>
      </c>
      <c r="K185">
        <v>0</v>
      </c>
      <c r="L185">
        <v>0</v>
      </c>
      <c r="M185">
        <f>IF(N185,TRUE,AND(Q185:U185))</f>
        <v>0</v>
      </c>
      <c r="N185">
        <f>COUNTBLANK(Metadata!B185:F185)=COLUMNS(Metadata!B185:F185)</f>
        <v>0</v>
      </c>
      <c r="O185">
        <v>0</v>
      </c>
      <c r="Q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>
        <f>AND(IF(Metadata!C185="",FALSE,TRUE),exact(Metadata!C185,"human-skin"))</f>
        <v>0</v>
      </c>
      <c r="S185">
        <f>OR(AND(IF(Metadata!D185="",FALSE,TRUE),OR(exact(Metadata!D185,"missing: not collected"),exact(Metadata!D185,"missing: not provided"))),AND(IF(Metadata!D185="",FALSE,TRUE),OR(exact(Metadata!D185,"UBERON:zone of skin"),exact(Metadata!D185,"UBERON:skin of hand"),exact(Metadata!D185,"UBERON:skin of forehead"))))</f>
        <v>0</v>
      </c>
      <c r="T185">
        <f>AND(IF(Metadata!E185="",FALSE,TRUE),exact(Metadata!E185,"human skin metagenome"))</f>
        <v>0</v>
      </c>
      <c r="U185">
        <f>AND(IF(Metadata!F185="",FALSE,TRUE),exact(Metadata!F185,"539655"))</f>
        <v>0</v>
      </c>
    </row>
    <row r="186" spans="1:21">
      <c r="A186" s="4">
        <f>IF(B186=" "," ",HYPERLINK(CONCATENATE("#metadata!",ADDRESS(INDEX($L$2:$L$1001,MATCH(ROWS($J$2:J186),$J$2:$J$1001,0),0),1)),INDEX($O$2:$O$1001,MATCH(ROWS($J$2:J186),$J$2:$J$1001,0),0)))</f>
        <v>0</v>
      </c>
      <c r="B186" s="3">
        <f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>0</v>
      </c>
      <c r="C186" s="3">
        <f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>0</v>
      </c>
      <c r="D186" s="3">
        <f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>0</v>
      </c>
      <c r="E186" s="3">
        <f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>0</v>
      </c>
      <c r="F186" s="3">
        <f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>0</v>
      </c>
      <c r="J186">
        <v>0</v>
      </c>
      <c r="K186">
        <v>0</v>
      </c>
      <c r="L186">
        <v>0</v>
      </c>
      <c r="M186">
        <f>IF(N186,TRUE,AND(Q186:U186))</f>
        <v>0</v>
      </c>
      <c r="N186">
        <f>COUNTBLANK(Metadata!B186:F186)=COLUMNS(Metadata!B186:F186)</f>
        <v>0</v>
      </c>
      <c r="O186">
        <v>0</v>
      </c>
      <c r="Q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>
        <f>AND(IF(Metadata!C186="",FALSE,TRUE),exact(Metadata!C186,"human-skin"))</f>
        <v>0</v>
      </c>
      <c r="S186">
        <f>OR(AND(IF(Metadata!D186="",FALSE,TRUE),OR(exact(Metadata!D186,"missing: not collected"),exact(Metadata!D186,"missing: not provided"))),AND(IF(Metadata!D186="",FALSE,TRUE),OR(exact(Metadata!D186,"UBERON:zone of skin"),exact(Metadata!D186,"UBERON:skin of hand"),exact(Metadata!D186,"UBERON:skin of forehead"))))</f>
        <v>0</v>
      </c>
      <c r="T186">
        <f>AND(IF(Metadata!E186="",FALSE,TRUE),exact(Metadata!E186,"human skin metagenome"))</f>
        <v>0</v>
      </c>
      <c r="U186">
        <f>AND(IF(Metadata!F186="",FALSE,TRUE),exact(Metadata!F186,"539655"))</f>
        <v>0</v>
      </c>
    </row>
    <row r="187" spans="1:21">
      <c r="A187" s="4">
        <f>IF(B187=" "," ",HYPERLINK(CONCATENATE("#metadata!",ADDRESS(INDEX($L$2:$L$1001,MATCH(ROWS($J$2:J187),$J$2:$J$1001,0),0),1)),INDEX($O$2:$O$1001,MATCH(ROWS($J$2:J187),$J$2:$J$1001,0),0)))</f>
        <v>0</v>
      </c>
      <c r="B187" s="3">
        <f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>0</v>
      </c>
      <c r="C187" s="3">
        <f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>0</v>
      </c>
      <c r="D187" s="3">
        <f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>0</v>
      </c>
      <c r="E187" s="3">
        <f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>0</v>
      </c>
      <c r="F187" s="3">
        <f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>0</v>
      </c>
      <c r="J187">
        <v>0</v>
      </c>
      <c r="K187">
        <v>0</v>
      </c>
      <c r="L187">
        <v>0</v>
      </c>
      <c r="M187">
        <f>IF(N187,TRUE,AND(Q187:U187))</f>
        <v>0</v>
      </c>
      <c r="N187">
        <f>COUNTBLANK(Metadata!B187:F187)=COLUMNS(Metadata!B187:F187)</f>
        <v>0</v>
      </c>
      <c r="O187">
        <v>0</v>
      </c>
      <c r="Q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>
        <f>AND(IF(Metadata!C187="",FALSE,TRUE),exact(Metadata!C187,"human-skin"))</f>
        <v>0</v>
      </c>
      <c r="S187">
        <f>OR(AND(IF(Metadata!D187="",FALSE,TRUE),OR(exact(Metadata!D187,"missing: not collected"),exact(Metadata!D187,"missing: not provided"))),AND(IF(Metadata!D187="",FALSE,TRUE),OR(exact(Metadata!D187,"UBERON:zone of skin"),exact(Metadata!D187,"UBERON:skin of hand"),exact(Metadata!D187,"UBERON:skin of forehead"))))</f>
        <v>0</v>
      </c>
      <c r="T187">
        <f>AND(IF(Metadata!E187="",FALSE,TRUE),exact(Metadata!E187,"human skin metagenome"))</f>
        <v>0</v>
      </c>
      <c r="U187">
        <f>AND(IF(Metadata!F187="",FALSE,TRUE),exact(Metadata!F187,"539655"))</f>
        <v>0</v>
      </c>
    </row>
    <row r="188" spans="1:21">
      <c r="A188" s="4">
        <f>IF(B188=" "," ",HYPERLINK(CONCATENATE("#metadata!",ADDRESS(INDEX($L$2:$L$1001,MATCH(ROWS($J$2:J188),$J$2:$J$1001,0),0),1)),INDEX($O$2:$O$1001,MATCH(ROWS($J$2:J188),$J$2:$J$1001,0),0)))</f>
        <v>0</v>
      </c>
      <c r="B188" s="3">
        <f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>0</v>
      </c>
      <c r="C188" s="3">
        <f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>0</v>
      </c>
      <c r="D188" s="3">
        <f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>0</v>
      </c>
      <c r="E188" s="3">
        <f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>0</v>
      </c>
      <c r="F188" s="3">
        <f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>0</v>
      </c>
      <c r="J188">
        <v>0</v>
      </c>
      <c r="K188">
        <v>0</v>
      </c>
      <c r="L188">
        <v>0</v>
      </c>
      <c r="M188">
        <f>IF(N188,TRUE,AND(Q188:U188))</f>
        <v>0</v>
      </c>
      <c r="N188">
        <f>COUNTBLANK(Metadata!B188:F188)=COLUMNS(Metadata!B188:F188)</f>
        <v>0</v>
      </c>
      <c r="O188">
        <v>0</v>
      </c>
      <c r="Q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>
        <f>AND(IF(Metadata!C188="",FALSE,TRUE),exact(Metadata!C188,"human-skin"))</f>
        <v>0</v>
      </c>
      <c r="S188">
        <f>OR(AND(IF(Metadata!D188="",FALSE,TRUE),OR(exact(Metadata!D188,"missing: not collected"),exact(Metadata!D188,"missing: not provided"))),AND(IF(Metadata!D188="",FALSE,TRUE),OR(exact(Metadata!D188,"UBERON:zone of skin"),exact(Metadata!D188,"UBERON:skin of hand"),exact(Metadata!D188,"UBERON:skin of forehead"))))</f>
        <v>0</v>
      </c>
      <c r="T188">
        <f>AND(IF(Metadata!E188="",FALSE,TRUE),exact(Metadata!E188,"human skin metagenome"))</f>
        <v>0</v>
      </c>
      <c r="U188">
        <f>AND(IF(Metadata!F188="",FALSE,TRUE),exact(Metadata!F188,"539655"))</f>
        <v>0</v>
      </c>
    </row>
    <row r="189" spans="1:21">
      <c r="A189" s="4">
        <f>IF(B189=" "," ",HYPERLINK(CONCATENATE("#metadata!",ADDRESS(INDEX($L$2:$L$1001,MATCH(ROWS($J$2:J189),$J$2:$J$1001,0),0),1)),INDEX($O$2:$O$1001,MATCH(ROWS($J$2:J189),$J$2:$J$1001,0),0)))</f>
        <v>0</v>
      </c>
      <c r="B189" s="3">
        <f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>0</v>
      </c>
      <c r="C189" s="3">
        <f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>0</v>
      </c>
      <c r="D189" s="3">
        <f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>0</v>
      </c>
      <c r="E189" s="3">
        <f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>0</v>
      </c>
      <c r="F189" s="3">
        <f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>0</v>
      </c>
      <c r="J189">
        <v>0</v>
      </c>
      <c r="K189">
        <v>0</v>
      </c>
      <c r="L189">
        <v>0</v>
      </c>
      <c r="M189">
        <f>IF(N189,TRUE,AND(Q189:U189))</f>
        <v>0</v>
      </c>
      <c r="N189">
        <f>COUNTBLANK(Metadata!B189:F189)=COLUMNS(Metadata!B189:F189)</f>
        <v>0</v>
      </c>
      <c r="O189">
        <v>0</v>
      </c>
      <c r="Q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>
        <f>AND(IF(Metadata!C189="",FALSE,TRUE),exact(Metadata!C189,"human-skin"))</f>
        <v>0</v>
      </c>
      <c r="S189">
        <f>OR(AND(IF(Metadata!D189="",FALSE,TRUE),OR(exact(Metadata!D189,"missing: not collected"),exact(Metadata!D189,"missing: not provided"))),AND(IF(Metadata!D189="",FALSE,TRUE),OR(exact(Metadata!D189,"UBERON:zone of skin"),exact(Metadata!D189,"UBERON:skin of hand"),exact(Metadata!D189,"UBERON:skin of forehead"))))</f>
        <v>0</v>
      </c>
      <c r="T189">
        <f>AND(IF(Metadata!E189="",FALSE,TRUE),exact(Metadata!E189,"human skin metagenome"))</f>
        <v>0</v>
      </c>
      <c r="U189">
        <f>AND(IF(Metadata!F189="",FALSE,TRUE),exact(Metadata!F189,"539655"))</f>
        <v>0</v>
      </c>
    </row>
    <row r="190" spans="1:21">
      <c r="A190" s="4">
        <f>IF(B190=" "," ",HYPERLINK(CONCATENATE("#metadata!",ADDRESS(INDEX($L$2:$L$1001,MATCH(ROWS($J$2:J190),$J$2:$J$1001,0),0),1)),INDEX($O$2:$O$1001,MATCH(ROWS($J$2:J190),$J$2:$J$1001,0),0)))</f>
        <v>0</v>
      </c>
      <c r="B190" s="3">
        <f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>0</v>
      </c>
      <c r="C190" s="3">
        <f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>0</v>
      </c>
      <c r="D190" s="3">
        <f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>0</v>
      </c>
      <c r="E190" s="3">
        <f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>0</v>
      </c>
      <c r="F190" s="3">
        <f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>0</v>
      </c>
      <c r="J190">
        <v>0</v>
      </c>
      <c r="K190">
        <v>0</v>
      </c>
      <c r="L190">
        <v>0</v>
      </c>
      <c r="M190">
        <f>IF(N190,TRUE,AND(Q190:U190))</f>
        <v>0</v>
      </c>
      <c r="N190">
        <f>COUNTBLANK(Metadata!B190:F190)=COLUMNS(Metadata!B190:F190)</f>
        <v>0</v>
      </c>
      <c r="O190">
        <v>0</v>
      </c>
      <c r="Q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>
        <f>AND(IF(Metadata!C190="",FALSE,TRUE),exact(Metadata!C190,"human-skin"))</f>
        <v>0</v>
      </c>
      <c r="S190">
        <f>OR(AND(IF(Metadata!D190="",FALSE,TRUE),OR(exact(Metadata!D190,"missing: not collected"),exact(Metadata!D190,"missing: not provided"))),AND(IF(Metadata!D190="",FALSE,TRUE),OR(exact(Metadata!D190,"UBERON:zone of skin"),exact(Metadata!D190,"UBERON:skin of hand"),exact(Metadata!D190,"UBERON:skin of forehead"))))</f>
        <v>0</v>
      </c>
      <c r="T190">
        <f>AND(IF(Metadata!E190="",FALSE,TRUE),exact(Metadata!E190,"human skin metagenome"))</f>
        <v>0</v>
      </c>
      <c r="U190">
        <f>AND(IF(Metadata!F190="",FALSE,TRUE),exact(Metadata!F190,"539655"))</f>
        <v>0</v>
      </c>
    </row>
    <row r="191" spans="1:21">
      <c r="A191" s="4">
        <f>IF(B191=" "," ",HYPERLINK(CONCATENATE("#metadata!",ADDRESS(INDEX($L$2:$L$1001,MATCH(ROWS($J$2:J191),$J$2:$J$1001,0),0),1)),INDEX($O$2:$O$1001,MATCH(ROWS($J$2:J191),$J$2:$J$1001,0),0)))</f>
        <v>0</v>
      </c>
      <c r="B191" s="3">
        <f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>0</v>
      </c>
      <c r="C191" s="3">
        <f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>0</v>
      </c>
      <c r="D191" s="3">
        <f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>0</v>
      </c>
      <c r="E191" s="3">
        <f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>0</v>
      </c>
      <c r="F191" s="3">
        <f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>0</v>
      </c>
      <c r="J191">
        <v>0</v>
      </c>
      <c r="K191">
        <v>0</v>
      </c>
      <c r="L191">
        <v>0</v>
      </c>
      <c r="M191">
        <f>IF(N191,TRUE,AND(Q191:U191))</f>
        <v>0</v>
      </c>
      <c r="N191">
        <f>COUNTBLANK(Metadata!B191:F191)=COLUMNS(Metadata!B191:F191)</f>
        <v>0</v>
      </c>
      <c r="O191">
        <v>0</v>
      </c>
      <c r="Q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>
        <f>AND(IF(Metadata!C191="",FALSE,TRUE),exact(Metadata!C191,"human-skin"))</f>
        <v>0</v>
      </c>
      <c r="S191">
        <f>OR(AND(IF(Metadata!D191="",FALSE,TRUE),OR(exact(Metadata!D191,"missing: not collected"),exact(Metadata!D191,"missing: not provided"))),AND(IF(Metadata!D191="",FALSE,TRUE),OR(exact(Metadata!D191,"UBERON:zone of skin"),exact(Metadata!D191,"UBERON:skin of hand"),exact(Metadata!D191,"UBERON:skin of forehead"))))</f>
        <v>0</v>
      </c>
      <c r="T191">
        <f>AND(IF(Metadata!E191="",FALSE,TRUE),exact(Metadata!E191,"human skin metagenome"))</f>
        <v>0</v>
      </c>
      <c r="U191">
        <f>AND(IF(Metadata!F191="",FALSE,TRUE),exact(Metadata!F191,"539655"))</f>
        <v>0</v>
      </c>
    </row>
    <row r="192" spans="1:21">
      <c r="A192" s="4">
        <f>IF(B192=" "," ",HYPERLINK(CONCATENATE("#metadata!",ADDRESS(INDEX($L$2:$L$1001,MATCH(ROWS($J$2:J192),$J$2:$J$1001,0),0),1)),INDEX($O$2:$O$1001,MATCH(ROWS($J$2:J192),$J$2:$J$1001,0),0)))</f>
        <v>0</v>
      </c>
      <c r="B192" s="3">
        <f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>0</v>
      </c>
      <c r="C192" s="3">
        <f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>0</v>
      </c>
      <c r="D192" s="3">
        <f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>0</v>
      </c>
      <c r="E192" s="3">
        <f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>0</v>
      </c>
      <c r="F192" s="3">
        <f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>0</v>
      </c>
      <c r="J192">
        <v>0</v>
      </c>
      <c r="K192">
        <v>0</v>
      </c>
      <c r="L192">
        <v>0</v>
      </c>
      <c r="M192">
        <f>IF(N192,TRUE,AND(Q192:U192))</f>
        <v>0</v>
      </c>
      <c r="N192">
        <f>COUNTBLANK(Metadata!B192:F192)=COLUMNS(Metadata!B192:F192)</f>
        <v>0</v>
      </c>
      <c r="O192">
        <v>0</v>
      </c>
      <c r="Q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>
        <f>AND(IF(Metadata!C192="",FALSE,TRUE),exact(Metadata!C192,"human-skin"))</f>
        <v>0</v>
      </c>
      <c r="S192">
        <f>OR(AND(IF(Metadata!D192="",FALSE,TRUE),OR(exact(Metadata!D192,"missing: not collected"),exact(Metadata!D192,"missing: not provided"))),AND(IF(Metadata!D192="",FALSE,TRUE),OR(exact(Metadata!D192,"UBERON:zone of skin"),exact(Metadata!D192,"UBERON:skin of hand"),exact(Metadata!D192,"UBERON:skin of forehead"))))</f>
        <v>0</v>
      </c>
      <c r="T192">
        <f>AND(IF(Metadata!E192="",FALSE,TRUE),exact(Metadata!E192,"human skin metagenome"))</f>
        <v>0</v>
      </c>
      <c r="U192">
        <f>AND(IF(Metadata!F192="",FALSE,TRUE),exact(Metadata!F192,"539655"))</f>
        <v>0</v>
      </c>
    </row>
    <row r="193" spans="1:21">
      <c r="A193" s="4">
        <f>IF(B193=" "," ",HYPERLINK(CONCATENATE("#metadata!",ADDRESS(INDEX($L$2:$L$1001,MATCH(ROWS($J$2:J193),$J$2:$J$1001,0),0),1)),INDEX($O$2:$O$1001,MATCH(ROWS($J$2:J193),$J$2:$J$1001,0),0)))</f>
        <v>0</v>
      </c>
      <c r="B193" s="3">
        <f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>0</v>
      </c>
      <c r="C193" s="3">
        <f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>0</v>
      </c>
      <c r="D193" s="3">
        <f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>0</v>
      </c>
      <c r="E193" s="3">
        <f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>0</v>
      </c>
      <c r="F193" s="3">
        <f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>0</v>
      </c>
      <c r="J193">
        <v>0</v>
      </c>
      <c r="K193">
        <v>0</v>
      </c>
      <c r="L193">
        <v>0</v>
      </c>
      <c r="M193">
        <f>IF(N193,TRUE,AND(Q193:U193))</f>
        <v>0</v>
      </c>
      <c r="N193">
        <f>COUNTBLANK(Metadata!B193:F193)=COLUMNS(Metadata!B193:F193)</f>
        <v>0</v>
      </c>
      <c r="O193">
        <v>0</v>
      </c>
      <c r="Q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>
        <f>AND(IF(Metadata!C193="",FALSE,TRUE),exact(Metadata!C193,"human-skin"))</f>
        <v>0</v>
      </c>
      <c r="S193">
        <f>OR(AND(IF(Metadata!D193="",FALSE,TRUE),OR(exact(Metadata!D193,"missing: not collected"),exact(Metadata!D193,"missing: not provided"))),AND(IF(Metadata!D193="",FALSE,TRUE),OR(exact(Metadata!D193,"UBERON:zone of skin"),exact(Metadata!D193,"UBERON:skin of hand"),exact(Metadata!D193,"UBERON:skin of forehead"))))</f>
        <v>0</v>
      </c>
      <c r="T193">
        <f>AND(IF(Metadata!E193="",FALSE,TRUE),exact(Metadata!E193,"human skin metagenome"))</f>
        <v>0</v>
      </c>
      <c r="U193">
        <f>AND(IF(Metadata!F193="",FALSE,TRUE),exact(Metadata!F193,"539655"))</f>
        <v>0</v>
      </c>
    </row>
    <row r="194" spans="1:21">
      <c r="A194" s="4">
        <f>IF(B194=" "," ",HYPERLINK(CONCATENATE("#metadata!",ADDRESS(INDEX($L$2:$L$1001,MATCH(ROWS($J$2:J194),$J$2:$J$1001,0),0),1)),INDEX($O$2:$O$1001,MATCH(ROWS($J$2:J194),$J$2:$J$1001,0),0)))</f>
        <v>0</v>
      </c>
      <c r="B194" s="3">
        <f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>0</v>
      </c>
      <c r="C194" s="3">
        <f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>0</v>
      </c>
      <c r="D194" s="3">
        <f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>0</v>
      </c>
      <c r="E194" s="3">
        <f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>0</v>
      </c>
      <c r="F194" s="3">
        <f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>0</v>
      </c>
      <c r="J194">
        <v>0</v>
      </c>
      <c r="K194">
        <v>0</v>
      </c>
      <c r="L194">
        <v>0</v>
      </c>
      <c r="M194">
        <f>IF(N194,TRUE,AND(Q194:U194))</f>
        <v>0</v>
      </c>
      <c r="N194">
        <f>COUNTBLANK(Metadata!B194:F194)=COLUMNS(Metadata!B194:F194)</f>
        <v>0</v>
      </c>
      <c r="O194">
        <v>0</v>
      </c>
      <c r="Q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>
        <f>AND(IF(Metadata!C194="",FALSE,TRUE),exact(Metadata!C194,"human-skin"))</f>
        <v>0</v>
      </c>
      <c r="S194">
        <f>OR(AND(IF(Metadata!D194="",FALSE,TRUE),OR(exact(Metadata!D194,"missing: not collected"),exact(Metadata!D194,"missing: not provided"))),AND(IF(Metadata!D194="",FALSE,TRUE),OR(exact(Metadata!D194,"UBERON:zone of skin"),exact(Metadata!D194,"UBERON:skin of hand"),exact(Metadata!D194,"UBERON:skin of forehead"))))</f>
        <v>0</v>
      </c>
      <c r="T194">
        <f>AND(IF(Metadata!E194="",FALSE,TRUE),exact(Metadata!E194,"human skin metagenome"))</f>
        <v>0</v>
      </c>
      <c r="U194">
        <f>AND(IF(Metadata!F194="",FALSE,TRUE),exact(Metadata!F194,"539655"))</f>
        <v>0</v>
      </c>
    </row>
    <row r="195" spans="1:21">
      <c r="A195" s="4">
        <f>IF(B195=" "," ",HYPERLINK(CONCATENATE("#metadata!",ADDRESS(INDEX($L$2:$L$1001,MATCH(ROWS($J$2:J195),$J$2:$J$1001,0),0),1)),INDEX($O$2:$O$1001,MATCH(ROWS($J$2:J195),$J$2:$J$1001,0),0)))</f>
        <v>0</v>
      </c>
      <c r="B195" s="3">
        <f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>0</v>
      </c>
      <c r="C195" s="3">
        <f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>0</v>
      </c>
      <c r="D195" s="3">
        <f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>0</v>
      </c>
      <c r="E195" s="3">
        <f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>0</v>
      </c>
      <c r="F195" s="3">
        <f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>0</v>
      </c>
      <c r="J195">
        <v>0</v>
      </c>
      <c r="K195">
        <v>0</v>
      </c>
      <c r="L195">
        <v>0</v>
      </c>
      <c r="M195">
        <f>IF(N195,TRUE,AND(Q195:U195))</f>
        <v>0</v>
      </c>
      <c r="N195">
        <f>COUNTBLANK(Metadata!B195:F195)=COLUMNS(Metadata!B195:F195)</f>
        <v>0</v>
      </c>
      <c r="O195">
        <v>0</v>
      </c>
      <c r="Q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>
        <f>AND(IF(Metadata!C195="",FALSE,TRUE),exact(Metadata!C195,"human-skin"))</f>
        <v>0</v>
      </c>
      <c r="S195">
        <f>OR(AND(IF(Metadata!D195="",FALSE,TRUE),OR(exact(Metadata!D195,"missing: not collected"),exact(Metadata!D195,"missing: not provided"))),AND(IF(Metadata!D195="",FALSE,TRUE),OR(exact(Metadata!D195,"UBERON:zone of skin"),exact(Metadata!D195,"UBERON:skin of hand"),exact(Metadata!D195,"UBERON:skin of forehead"))))</f>
        <v>0</v>
      </c>
      <c r="T195">
        <f>AND(IF(Metadata!E195="",FALSE,TRUE),exact(Metadata!E195,"human skin metagenome"))</f>
        <v>0</v>
      </c>
      <c r="U195">
        <f>AND(IF(Metadata!F195="",FALSE,TRUE),exact(Metadata!F195,"539655"))</f>
        <v>0</v>
      </c>
    </row>
    <row r="196" spans="1:21">
      <c r="A196" s="4">
        <f>IF(B196=" "," ",HYPERLINK(CONCATENATE("#metadata!",ADDRESS(INDEX($L$2:$L$1001,MATCH(ROWS($J$2:J196),$J$2:$J$1001,0),0),1)),INDEX($O$2:$O$1001,MATCH(ROWS($J$2:J196),$J$2:$J$1001,0),0)))</f>
        <v>0</v>
      </c>
      <c r="B196" s="3">
        <f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>0</v>
      </c>
      <c r="C196" s="3">
        <f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>0</v>
      </c>
      <c r="D196" s="3">
        <f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>0</v>
      </c>
      <c r="E196" s="3">
        <f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>0</v>
      </c>
      <c r="F196" s="3">
        <f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>0</v>
      </c>
      <c r="J196">
        <v>0</v>
      </c>
      <c r="K196">
        <v>0</v>
      </c>
      <c r="L196">
        <v>0</v>
      </c>
      <c r="M196">
        <f>IF(N196,TRUE,AND(Q196:U196))</f>
        <v>0</v>
      </c>
      <c r="N196">
        <f>COUNTBLANK(Metadata!B196:F196)=COLUMNS(Metadata!B196:F196)</f>
        <v>0</v>
      </c>
      <c r="O196">
        <v>0</v>
      </c>
      <c r="Q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>
        <f>AND(IF(Metadata!C196="",FALSE,TRUE),exact(Metadata!C196,"human-skin"))</f>
        <v>0</v>
      </c>
      <c r="S196">
        <f>OR(AND(IF(Metadata!D196="",FALSE,TRUE),OR(exact(Metadata!D196,"missing: not collected"),exact(Metadata!D196,"missing: not provided"))),AND(IF(Metadata!D196="",FALSE,TRUE),OR(exact(Metadata!D196,"UBERON:zone of skin"),exact(Metadata!D196,"UBERON:skin of hand"),exact(Metadata!D196,"UBERON:skin of forehead"))))</f>
        <v>0</v>
      </c>
      <c r="T196">
        <f>AND(IF(Metadata!E196="",FALSE,TRUE),exact(Metadata!E196,"human skin metagenome"))</f>
        <v>0</v>
      </c>
      <c r="U196">
        <f>AND(IF(Metadata!F196="",FALSE,TRUE),exact(Metadata!F196,"539655"))</f>
        <v>0</v>
      </c>
    </row>
    <row r="197" spans="1:21">
      <c r="A197" s="4">
        <f>IF(B197=" "," ",HYPERLINK(CONCATENATE("#metadata!",ADDRESS(INDEX($L$2:$L$1001,MATCH(ROWS($J$2:J197),$J$2:$J$1001,0),0),1)),INDEX($O$2:$O$1001,MATCH(ROWS($J$2:J197),$J$2:$J$1001,0),0)))</f>
        <v>0</v>
      </c>
      <c r="B197" s="3">
        <f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>0</v>
      </c>
      <c r="C197" s="3">
        <f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>0</v>
      </c>
      <c r="D197" s="3">
        <f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>0</v>
      </c>
      <c r="E197" s="3">
        <f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>0</v>
      </c>
      <c r="F197" s="3">
        <f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>0</v>
      </c>
      <c r="J197">
        <v>0</v>
      </c>
      <c r="K197">
        <v>0</v>
      </c>
      <c r="L197">
        <v>0</v>
      </c>
      <c r="M197">
        <f>IF(N197,TRUE,AND(Q197:U197))</f>
        <v>0</v>
      </c>
      <c r="N197">
        <f>COUNTBLANK(Metadata!B197:F197)=COLUMNS(Metadata!B197:F197)</f>
        <v>0</v>
      </c>
      <c r="O197">
        <v>0</v>
      </c>
      <c r="Q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>
        <f>AND(IF(Metadata!C197="",FALSE,TRUE),exact(Metadata!C197,"human-skin"))</f>
        <v>0</v>
      </c>
      <c r="S197">
        <f>OR(AND(IF(Metadata!D197="",FALSE,TRUE),OR(exact(Metadata!D197,"missing: not collected"),exact(Metadata!D197,"missing: not provided"))),AND(IF(Metadata!D197="",FALSE,TRUE),OR(exact(Metadata!D197,"UBERON:zone of skin"),exact(Metadata!D197,"UBERON:skin of hand"),exact(Metadata!D197,"UBERON:skin of forehead"))))</f>
        <v>0</v>
      </c>
      <c r="T197">
        <f>AND(IF(Metadata!E197="",FALSE,TRUE),exact(Metadata!E197,"human skin metagenome"))</f>
        <v>0</v>
      </c>
      <c r="U197">
        <f>AND(IF(Metadata!F197="",FALSE,TRUE),exact(Metadata!F197,"539655"))</f>
        <v>0</v>
      </c>
    </row>
    <row r="198" spans="1:21">
      <c r="A198" s="4">
        <f>IF(B198=" "," ",HYPERLINK(CONCATENATE("#metadata!",ADDRESS(INDEX($L$2:$L$1001,MATCH(ROWS($J$2:J198),$J$2:$J$1001,0),0),1)),INDEX($O$2:$O$1001,MATCH(ROWS($J$2:J198),$J$2:$J$1001,0),0)))</f>
        <v>0</v>
      </c>
      <c r="B198" s="3">
        <f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>0</v>
      </c>
      <c r="C198" s="3">
        <f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>0</v>
      </c>
      <c r="D198" s="3">
        <f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>0</v>
      </c>
      <c r="E198" s="3">
        <f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>0</v>
      </c>
      <c r="F198" s="3">
        <f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>0</v>
      </c>
      <c r="J198">
        <v>0</v>
      </c>
      <c r="K198">
        <v>0</v>
      </c>
      <c r="L198">
        <v>0</v>
      </c>
      <c r="M198">
        <f>IF(N198,TRUE,AND(Q198:U198))</f>
        <v>0</v>
      </c>
      <c r="N198">
        <f>COUNTBLANK(Metadata!B198:F198)=COLUMNS(Metadata!B198:F198)</f>
        <v>0</v>
      </c>
      <c r="O198">
        <v>0</v>
      </c>
      <c r="Q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>
        <f>AND(IF(Metadata!C198="",FALSE,TRUE),exact(Metadata!C198,"human-skin"))</f>
        <v>0</v>
      </c>
      <c r="S198">
        <f>OR(AND(IF(Metadata!D198="",FALSE,TRUE),OR(exact(Metadata!D198,"missing: not collected"),exact(Metadata!D198,"missing: not provided"))),AND(IF(Metadata!D198="",FALSE,TRUE),OR(exact(Metadata!D198,"UBERON:zone of skin"),exact(Metadata!D198,"UBERON:skin of hand"),exact(Metadata!D198,"UBERON:skin of forehead"))))</f>
        <v>0</v>
      </c>
      <c r="T198">
        <f>AND(IF(Metadata!E198="",FALSE,TRUE),exact(Metadata!E198,"human skin metagenome"))</f>
        <v>0</v>
      </c>
      <c r="U198">
        <f>AND(IF(Metadata!F198="",FALSE,TRUE),exact(Metadata!F198,"539655"))</f>
        <v>0</v>
      </c>
    </row>
    <row r="199" spans="1:21">
      <c r="A199" s="4">
        <f>IF(B199=" "," ",HYPERLINK(CONCATENATE("#metadata!",ADDRESS(INDEX($L$2:$L$1001,MATCH(ROWS($J$2:J199),$J$2:$J$1001,0),0),1)),INDEX($O$2:$O$1001,MATCH(ROWS($J$2:J199),$J$2:$J$1001,0),0)))</f>
        <v>0</v>
      </c>
      <c r="B199" s="3">
        <f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>0</v>
      </c>
      <c r="C199" s="3">
        <f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>0</v>
      </c>
      <c r="D199" s="3">
        <f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>0</v>
      </c>
      <c r="E199" s="3">
        <f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>0</v>
      </c>
      <c r="F199" s="3">
        <f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>0</v>
      </c>
      <c r="J199">
        <v>0</v>
      </c>
      <c r="K199">
        <v>0</v>
      </c>
      <c r="L199">
        <v>0</v>
      </c>
      <c r="M199">
        <f>IF(N199,TRUE,AND(Q199:U199))</f>
        <v>0</v>
      </c>
      <c r="N199">
        <f>COUNTBLANK(Metadata!B199:F199)=COLUMNS(Metadata!B199:F199)</f>
        <v>0</v>
      </c>
      <c r="O199">
        <v>0</v>
      </c>
      <c r="Q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>
        <f>AND(IF(Metadata!C199="",FALSE,TRUE),exact(Metadata!C199,"human-skin"))</f>
        <v>0</v>
      </c>
      <c r="S199">
        <f>OR(AND(IF(Metadata!D199="",FALSE,TRUE),OR(exact(Metadata!D199,"missing: not collected"),exact(Metadata!D199,"missing: not provided"))),AND(IF(Metadata!D199="",FALSE,TRUE),OR(exact(Metadata!D199,"UBERON:zone of skin"),exact(Metadata!D199,"UBERON:skin of hand"),exact(Metadata!D199,"UBERON:skin of forehead"))))</f>
        <v>0</v>
      </c>
      <c r="T199">
        <f>AND(IF(Metadata!E199="",FALSE,TRUE),exact(Metadata!E199,"human skin metagenome"))</f>
        <v>0</v>
      </c>
      <c r="U199">
        <f>AND(IF(Metadata!F199="",FALSE,TRUE),exact(Metadata!F199,"539655"))</f>
        <v>0</v>
      </c>
    </row>
    <row r="200" spans="1:21">
      <c r="A200" s="4">
        <f>IF(B200=" "," ",HYPERLINK(CONCATENATE("#metadata!",ADDRESS(INDEX($L$2:$L$1001,MATCH(ROWS($J$2:J200),$J$2:$J$1001,0),0),1)),INDEX($O$2:$O$1001,MATCH(ROWS($J$2:J200),$J$2:$J$1001,0),0)))</f>
        <v>0</v>
      </c>
      <c r="B200" s="3">
        <f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>0</v>
      </c>
      <c r="C200" s="3">
        <f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>0</v>
      </c>
      <c r="D200" s="3">
        <f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>0</v>
      </c>
      <c r="E200" s="3">
        <f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>0</v>
      </c>
      <c r="F200" s="3">
        <f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>0</v>
      </c>
      <c r="J200">
        <v>0</v>
      </c>
      <c r="K200">
        <v>0</v>
      </c>
      <c r="L200">
        <v>0</v>
      </c>
      <c r="M200">
        <f>IF(N200,TRUE,AND(Q200:U200))</f>
        <v>0</v>
      </c>
      <c r="N200">
        <f>COUNTBLANK(Metadata!B200:F200)=COLUMNS(Metadata!B200:F200)</f>
        <v>0</v>
      </c>
      <c r="O200">
        <v>0</v>
      </c>
      <c r="Q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>
        <f>AND(IF(Metadata!C200="",FALSE,TRUE),exact(Metadata!C200,"human-skin"))</f>
        <v>0</v>
      </c>
      <c r="S200">
        <f>OR(AND(IF(Metadata!D200="",FALSE,TRUE),OR(exact(Metadata!D200,"missing: not collected"),exact(Metadata!D200,"missing: not provided"))),AND(IF(Metadata!D200="",FALSE,TRUE),OR(exact(Metadata!D200,"UBERON:zone of skin"),exact(Metadata!D200,"UBERON:skin of hand"),exact(Metadata!D200,"UBERON:skin of forehead"))))</f>
        <v>0</v>
      </c>
      <c r="T200">
        <f>AND(IF(Metadata!E200="",FALSE,TRUE),exact(Metadata!E200,"human skin metagenome"))</f>
        <v>0</v>
      </c>
      <c r="U200">
        <f>AND(IF(Metadata!F200="",FALSE,TRUE),exact(Metadata!F200,"539655"))</f>
        <v>0</v>
      </c>
    </row>
    <row r="201" spans="1:21">
      <c r="A201" s="4">
        <f>IF(B201=" "," ",HYPERLINK(CONCATENATE("#metadata!",ADDRESS(INDEX($L$2:$L$1001,MATCH(ROWS($J$2:J201),$J$2:$J$1001,0),0),1)),INDEX($O$2:$O$1001,MATCH(ROWS($J$2:J201),$J$2:$J$1001,0),0)))</f>
        <v>0</v>
      </c>
      <c r="B201" s="3">
        <f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>0</v>
      </c>
      <c r="C201" s="3">
        <f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>0</v>
      </c>
      <c r="D201" s="3">
        <f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>0</v>
      </c>
      <c r="E201" s="3">
        <f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>0</v>
      </c>
      <c r="F201" s="3">
        <f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>0</v>
      </c>
      <c r="J201">
        <v>0</v>
      </c>
      <c r="K201">
        <v>0</v>
      </c>
      <c r="L201">
        <v>0</v>
      </c>
      <c r="M201">
        <f>IF(N201,TRUE,AND(Q201:U201))</f>
        <v>0</v>
      </c>
      <c r="N201">
        <f>COUNTBLANK(Metadata!B201:F201)=COLUMNS(Metadata!B201:F201)</f>
        <v>0</v>
      </c>
      <c r="O201">
        <v>0</v>
      </c>
      <c r="Q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>
        <f>AND(IF(Metadata!C201="",FALSE,TRUE),exact(Metadata!C201,"human-skin"))</f>
        <v>0</v>
      </c>
      <c r="S201">
        <f>OR(AND(IF(Metadata!D201="",FALSE,TRUE),OR(exact(Metadata!D201,"missing: not collected"),exact(Metadata!D201,"missing: not provided"))),AND(IF(Metadata!D201="",FALSE,TRUE),OR(exact(Metadata!D201,"UBERON:zone of skin"),exact(Metadata!D201,"UBERON:skin of hand"),exact(Metadata!D201,"UBERON:skin of forehead"))))</f>
        <v>0</v>
      </c>
      <c r="T201">
        <f>AND(IF(Metadata!E201="",FALSE,TRUE),exact(Metadata!E201,"human skin metagenome"))</f>
        <v>0</v>
      </c>
      <c r="U201">
        <f>AND(IF(Metadata!F201="",FALSE,TRUE),exact(Metadata!F201,"539655"))</f>
        <v>0</v>
      </c>
    </row>
    <row r="202" spans="1:21">
      <c r="A202" s="4">
        <f>IF(B202=" "," ",HYPERLINK(CONCATENATE("#metadata!",ADDRESS(INDEX($L$2:$L$1001,MATCH(ROWS($J$2:J202),$J$2:$J$1001,0),0),1)),INDEX($O$2:$O$1001,MATCH(ROWS($J$2:J202),$J$2:$J$1001,0),0)))</f>
        <v>0</v>
      </c>
      <c r="B202" s="3">
        <f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>0</v>
      </c>
      <c r="C202" s="3">
        <f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>0</v>
      </c>
      <c r="D202" s="3">
        <f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>0</v>
      </c>
      <c r="E202" s="3">
        <f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>0</v>
      </c>
      <c r="F202" s="3">
        <f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>0</v>
      </c>
      <c r="J202">
        <v>0</v>
      </c>
      <c r="K202">
        <v>0</v>
      </c>
      <c r="L202">
        <v>0</v>
      </c>
      <c r="M202">
        <f>IF(N202,TRUE,AND(Q202:U202))</f>
        <v>0</v>
      </c>
      <c r="N202">
        <f>COUNTBLANK(Metadata!B202:F202)=COLUMNS(Metadata!B202:F202)</f>
        <v>0</v>
      </c>
      <c r="O202">
        <v>0</v>
      </c>
      <c r="Q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>
        <f>AND(IF(Metadata!C202="",FALSE,TRUE),exact(Metadata!C202,"human-skin"))</f>
        <v>0</v>
      </c>
      <c r="S202">
        <f>OR(AND(IF(Metadata!D202="",FALSE,TRUE),OR(exact(Metadata!D202,"missing: not collected"),exact(Metadata!D202,"missing: not provided"))),AND(IF(Metadata!D202="",FALSE,TRUE),OR(exact(Metadata!D202,"UBERON:zone of skin"),exact(Metadata!D202,"UBERON:skin of hand"),exact(Metadata!D202,"UBERON:skin of forehead"))))</f>
        <v>0</v>
      </c>
      <c r="T202">
        <f>AND(IF(Metadata!E202="",FALSE,TRUE),exact(Metadata!E202,"human skin metagenome"))</f>
        <v>0</v>
      </c>
      <c r="U202">
        <f>AND(IF(Metadata!F202="",FALSE,TRUE),exact(Metadata!F202,"539655"))</f>
        <v>0</v>
      </c>
    </row>
    <row r="203" spans="1:21">
      <c r="A203" s="4">
        <f>IF(B203=" "," ",HYPERLINK(CONCATENATE("#metadata!",ADDRESS(INDEX($L$2:$L$1001,MATCH(ROWS($J$2:J203),$J$2:$J$1001,0),0),1)),INDEX($O$2:$O$1001,MATCH(ROWS($J$2:J203),$J$2:$J$1001,0),0)))</f>
        <v>0</v>
      </c>
      <c r="B203" s="3">
        <f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>0</v>
      </c>
      <c r="C203" s="3">
        <f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>0</v>
      </c>
      <c r="D203" s="3">
        <f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>0</v>
      </c>
      <c r="E203" s="3">
        <f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>0</v>
      </c>
      <c r="F203" s="3">
        <f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>0</v>
      </c>
      <c r="J203">
        <v>0</v>
      </c>
      <c r="K203">
        <v>0</v>
      </c>
      <c r="L203">
        <v>0</v>
      </c>
      <c r="M203">
        <f>IF(N203,TRUE,AND(Q203:U203))</f>
        <v>0</v>
      </c>
      <c r="N203">
        <f>COUNTBLANK(Metadata!B203:F203)=COLUMNS(Metadata!B203:F203)</f>
        <v>0</v>
      </c>
      <c r="O203">
        <v>0</v>
      </c>
      <c r="Q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>
        <f>AND(IF(Metadata!C203="",FALSE,TRUE),exact(Metadata!C203,"human-skin"))</f>
        <v>0</v>
      </c>
      <c r="S203">
        <f>OR(AND(IF(Metadata!D203="",FALSE,TRUE),OR(exact(Metadata!D203,"missing: not collected"),exact(Metadata!D203,"missing: not provided"))),AND(IF(Metadata!D203="",FALSE,TRUE),OR(exact(Metadata!D203,"UBERON:zone of skin"),exact(Metadata!D203,"UBERON:skin of hand"),exact(Metadata!D203,"UBERON:skin of forehead"))))</f>
        <v>0</v>
      </c>
      <c r="T203">
        <f>AND(IF(Metadata!E203="",FALSE,TRUE),exact(Metadata!E203,"human skin metagenome"))</f>
        <v>0</v>
      </c>
      <c r="U203">
        <f>AND(IF(Metadata!F203="",FALSE,TRUE),exact(Metadata!F203,"539655"))</f>
        <v>0</v>
      </c>
    </row>
    <row r="204" spans="1:21">
      <c r="A204" s="4">
        <f>IF(B204=" "," ",HYPERLINK(CONCATENATE("#metadata!",ADDRESS(INDEX($L$2:$L$1001,MATCH(ROWS($J$2:J204),$J$2:$J$1001,0),0),1)),INDEX($O$2:$O$1001,MATCH(ROWS($J$2:J204),$J$2:$J$1001,0),0)))</f>
        <v>0</v>
      </c>
      <c r="B204" s="3">
        <f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>0</v>
      </c>
      <c r="C204" s="3">
        <f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>0</v>
      </c>
      <c r="D204" s="3">
        <f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>0</v>
      </c>
      <c r="E204" s="3">
        <f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>0</v>
      </c>
      <c r="F204" s="3">
        <f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>0</v>
      </c>
      <c r="J204">
        <v>0</v>
      </c>
      <c r="K204">
        <v>0</v>
      </c>
      <c r="L204">
        <v>0</v>
      </c>
      <c r="M204">
        <f>IF(N204,TRUE,AND(Q204:U204))</f>
        <v>0</v>
      </c>
      <c r="N204">
        <f>COUNTBLANK(Metadata!B204:F204)=COLUMNS(Metadata!B204:F204)</f>
        <v>0</v>
      </c>
      <c r="O204">
        <v>0</v>
      </c>
      <c r="Q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>
        <f>AND(IF(Metadata!C204="",FALSE,TRUE),exact(Metadata!C204,"human-skin"))</f>
        <v>0</v>
      </c>
      <c r="S204">
        <f>OR(AND(IF(Metadata!D204="",FALSE,TRUE),OR(exact(Metadata!D204,"missing: not collected"),exact(Metadata!D204,"missing: not provided"))),AND(IF(Metadata!D204="",FALSE,TRUE),OR(exact(Metadata!D204,"UBERON:zone of skin"),exact(Metadata!D204,"UBERON:skin of hand"),exact(Metadata!D204,"UBERON:skin of forehead"))))</f>
        <v>0</v>
      </c>
      <c r="T204">
        <f>AND(IF(Metadata!E204="",FALSE,TRUE),exact(Metadata!E204,"human skin metagenome"))</f>
        <v>0</v>
      </c>
      <c r="U204">
        <f>AND(IF(Metadata!F204="",FALSE,TRUE),exact(Metadata!F204,"539655"))</f>
        <v>0</v>
      </c>
    </row>
    <row r="205" spans="1:21">
      <c r="A205" s="4">
        <f>IF(B205=" "," ",HYPERLINK(CONCATENATE("#metadata!",ADDRESS(INDEX($L$2:$L$1001,MATCH(ROWS($J$2:J205),$J$2:$J$1001,0),0),1)),INDEX($O$2:$O$1001,MATCH(ROWS($J$2:J205),$J$2:$J$1001,0),0)))</f>
        <v>0</v>
      </c>
      <c r="B205" s="3">
        <f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>0</v>
      </c>
      <c r="C205" s="3">
        <f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>0</v>
      </c>
      <c r="D205" s="3">
        <f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>0</v>
      </c>
      <c r="E205" s="3">
        <f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>0</v>
      </c>
      <c r="F205" s="3">
        <f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>0</v>
      </c>
      <c r="J205">
        <v>0</v>
      </c>
      <c r="K205">
        <v>0</v>
      </c>
      <c r="L205">
        <v>0</v>
      </c>
      <c r="M205">
        <f>IF(N205,TRUE,AND(Q205:U205))</f>
        <v>0</v>
      </c>
      <c r="N205">
        <f>COUNTBLANK(Metadata!B205:F205)=COLUMNS(Metadata!B205:F205)</f>
        <v>0</v>
      </c>
      <c r="O205">
        <v>0</v>
      </c>
      <c r="Q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>
        <f>AND(IF(Metadata!C205="",FALSE,TRUE),exact(Metadata!C205,"human-skin"))</f>
        <v>0</v>
      </c>
      <c r="S205">
        <f>OR(AND(IF(Metadata!D205="",FALSE,TRUE),OR(exact(Metadata!D205,"missing: not collected"),exact(Metadata!D205,"missing: not provided"))),AND(IF(Metadata!D205="",FALSE,TRUE),OR(exact(Metadata!D205,"UBERON:zone of skin"),exact(Metadata!D205,"UBERON:skin of hand"),exact(Metadata!D205,"UBERON:skin of forehead"))))</f>
        <v>0</v>
      </c>
      <c r="T205">
        <f>AND(IF(Metadata!E205="",FALSE,TRUE),exact(Metadata!E205,"human skin metagenome"))</f>
        <v>0</v>
      </c>
      <c r="U205">
        <f>AND(IF(Metadata!F205="",FALSE,TRUE),exact(Metadata!F205,"539655"))</f>
        <v>0</v>
      </c>
    </row>
    <row r="206" spans="1:21">
      <c r="A206" s="4">
        <f>IF(B206=" "," ",HYPERLINK(CONCATENATE("#metadata!",ADDRESS(INDEX($L$2:$L$1001,MATCH(ROWS($J$2:J206),$J$2:$J$1001,0),0),1)),INDEX($O$2:$O$1001,MATCH(ROWS($J$2:J206),$J$2:$J$1001,0),0)))</f>
        <v>0</v>
      </c>
      <c r="B206" s="3">
        <f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>0</v>
      </c>
      <c r="C206" s="3">
        <f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>0</v>
      </c>
      <c r="D206" s="3">
        <f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>0</v>
      </c>
      <c r="E206" s="3">
        <f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>0</v>
      </c>
      <c r="F206" s="3">
        <f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>0</v>
      </c>
      <c r="J206">
        <v>0</v>
      </c>
      <c r="K206">
        <v>0</v>
      </c>
      <c r="L206">
        <v>0</v>
      </c>
      <c r="M206">
        <f>IF(N206,TRUE,AND(Q206:U206))</f>
        <v>0</v>
      </c>
      <c r="N206">
        <f>COUNTBLANK(Metadata!B206:F206)=COLUMNS(Metadata!B206:F206)</f>
        <v>0</v>
      </c>
      <c r="O206">
        <v>0</v>
      </c>
      <c r="Q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>
        <f>AND(IF(Metadata!C206="",FALSE,TRUE),exact(Metadata!C206,"human-skin"))</f>
        <v>0</v>
      </c>
      <c r="S206">
        <f>OR(AND(IF(Metadata!D206="",FALSE,TRUE),OR(exact(Metadata!D206,"missing: not collected"),exact(Metadata!D206,"missing: not provided"))),AND(IF(Metadata!D206="",FALSE,TRUE),OR(exact(Metadata!D206,"UBERON:zone of skin"),exact(Metadata!D206,"UBERON:skin of hand"),exact(Metadata!D206,"UBERON:skin of forehead"))))</f>
        <v>0</v>
      </c>
      <c r="T206">
        <f>AND(IF(Metadata!E206="",FALSE,TRUE),exact(Metadata!E206,"human skin metagenome"))</f>
        <v>0</v>
      </c>
      <c r="U206">
        <f>AND(IF(Metadata!F206="",FALSE,TRUE),exact(Metadata!F206,"539655"))</f>
        <v>0</v>
      </c>
    </row>
    <row r="207" spans="1:21">
      <c r="A207" s="4">
        <f>IF(B207=" "," ",HYPERLINK(CONCATENATE("#metadata!",ADDRESS(INDEX($L$2:$L$1001,MATCH(ROWS($J$2:J207),$J$2:$J$1001,0),0),1)),INDEX($O$2:$O$1001,MATCH(ROWS($J$2:J207),$J$2:$J$1001,0),0)))</f>
        <v>0</v>
      </c>
      <c r="B207" s="3">
        <f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>0</v>
      </c>
      <c r="C207" s="3">
        <f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>0</v>
      </c>
      <c r="D207" s="3">
        <f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>0</v>
      </c>
      <c r="E207" s="3">
        <f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>0</v>
      </c>
      <c r="F207" s="3">
        <f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>0</v>
      </c>
      <c r="J207">
        <v>0</v>
      </c>
      <c r="K207">
        <v>0</v>
      </c>
      <c r="L207">
        <v>0</v>
      </c>
      <c r="M207">
        <f>IF(N207,TRUE,AND(Q207:U207))</f>
        <v>0</v>
      </c>
      <c r="N207">
        <f>COUNTBLANK(Metadata!B207:F207)=COLUMNS(Metadata!B207:F207)</f>
        <v>0</v>
      </c>
      <c r="O207">
        <v>0</v>
      </c>
      <c r="Q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>
        <f>AND(IF(Metadata!C207="",FALSE,TRUE),exact(Metadata!C207,"human-skin"))</f>
        <v>0</v>
      </c>
      <c r="S207">
        <f>OR(AND(IF(Metadata!D207="",FALSE,TRUE),OR(exact(Metadata!D207,"missing: not collected"),exact(Metadata!D207,"missing: not provided"))),AND(IF(Metadata!D207="",FALSE,TRUE),OR(exact(Metadata!D207,"UBERON:zone of skin"),exact(Metadata!D207,"UBERON:skin of hand"),exact(Metadata!D207,"UBERON:skin of forehead"))))</f>
        <v>0</v>
      </c>
      <c r="T207">
        <f>AND(IF(Metadata!E207="",FALSE,TRUE),exact(Metadata!E207,"human skin metagenome"))</f>
        <v>0</v>
      </c>
      <c r="U207">
        <f>AND(IF(Metadata!F207="",FALSE,TRUE),exact(Metadata!F207,"539655"))</f>
        <v>0</v>
      </c>
    </row>
    <row r="208" spans="1:21">
      <c r="A208" s="4">
        <f>IF(B208=" "," ",HYPERLINK(CONCATENATE("#metadata!",ADDRESS(INDEX($L$2:$L$1001,MATCH(ROWS($J$2:J208),$J$2:$J$1001,0),0),1)),INDEX($O$2:$O$1001,MATCH(ROWS($J$2:J208),$J$2:$J$1001,0),0)))</f>
        <v>0</v>
      </c>
      <c r="B208" s="3">
        <f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>0</v>
      </c>
      <c r="C208" s="3">
        <f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>0</v>
      </c>
      <c r="D208" s="3">
        <f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>0</v>
      </c>
      <c r="E208" s="3">
        <f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>0</v>
      </c>
      <c r="F208" s="3">
        <f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>0</v>
      </c>
      <c r="J208">
        <v>0</v>
      </c>
      <c r="K208">
        <v>0</v>
      </c>
      <c r="L208">
        <v>0</v>
      </c>
      <c r="M208">
        <f>IF(N208,TRUE,AND(Q208:U208))</f>
        <v>0</v>
      </c>
      <c r="N208">
        <f>COUNTBLANK(Metadata!B208:F208)=COLUMNS(Metadata!B208:F208)</f>
        <v>0</v>
      </c>
      <c r="O208">
        <v>0</v>
      </c>
      <c r="Q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>
        <f>AND(IF(Metadata!C208="",FALSE,TRUE),exact(Metadata!C208,"human-skin"))</f>
        <v>0</v>
      </c>
      <c r="S208">
        <f>OR(AND(IF(Metadata!D208="",FALSE,TRUE),OR(exact(Metadata!D208,"missing: not collected"),exact(Metadata!D208,"missing: not provided"))),AND(IF(Metadata!D208="",FALSE,TRUE),OR(exact(Metadata!D208,"UBERON:zone of skin"),exact(Metadata!D208,"UBERON:skin of hand"),exact(Metadata!D208,"UBERON:skin of forehead"))))</f>
        <v>0</v>
      </c>
      <c r="T208">
        <f>AND(IF(Metadata!E208="",FALSE,TRUE),exact(Metadata!E208,"human skin metagenome"))</f>
        <v>0</v>
      </c>
      <c r="U208">
        <f>AND(IF(Metadata!F208="",FALSE,TRUE),exact(Metadata!F208,"539655"))</f>
        <v>0</v>
      </c>
    </row>
    <row r="209" spans="1:21">
      <c r="A209" s="4">
        <f>IF(B209=" "," ",HYPERLINK(CONCATENATE("#metadata!",ADDRESS(INDEX($L$2:$L$1001,MATCH(ROWS($J$2:J209),$J$2:$J$1001,0),0),1)),INDEX($O$2:$O$1001,MATCH(ROWS($J$2:J209),$J$2:$J$1001,0),0)))</f>
        <v>0</v>
      </c>
      <c r="B209" s="3">
        <f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>0</v>
      </c>
      <c r="C209" s="3">
        <f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>0</v>
      </c>
      <c r="D209" s="3">
        <f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>0</v>
      </c>
      <c r="E209" s="3">
        <f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>0</v>
      </c>
      <c r="F209" s="3">
        <f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>0</v>
      </c>
      <c r="J209">
        <v>0</v>
      </c>
      <c r="K209">
        <v>0</v>
      </c>
      <c r="L209">
        <v>0</v>
      </c>
      <c r="M209">
        <f>IF(N209,TRUE,AND(Q209:U209))</f>
        <v>0</v>
      </c>
      <c r="N209">
        <f>COUNTBLANK(Metadata!B209:F209)=COLUMNS(Metadata!B209:F209)</f>
        <v>0</v>
      </c>
      <c r="O209">
        <v>0</v>
      </c>
      <c r="Q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>
        <f>AND(IF(Metadata!C209="",FALSE,TRUE),exact(Metadata!C209,"human-skin"))</f>
        <v>0</v>
      </c>
      <c r="S209">
        <f>OR(AND(IF(Metadata!D209="",FALSE,TRUE),OR(exact(Metadata!D209,"missing: not collected"),exact(Metadata!D209,"missing: not provided"))),AND(IF(Metadata!D209="",FALSE,TRUE),OR(exact(Metadata!D209,"UBERON:zone of skin"),exact(Metadata!D209,"UBERON:skin of hand"),exact(Metadata!D209,"UBERON:skin of forehead"))))</f>
        <v>0</v>
      </c>
      <c r="T209">
        <f>AND(IF(Metadata!E209="",FALSE,TRUE),exact(Metadata!E209,"human skin metagenome"))</f>
        <v>0</v>
      </c>
      <c r="U209">
        <f>AND(IF(Metadata!F209="",FALSE,TRUE),exact(Metadata!F209,"539655"))</f>
        <v>0</v>
      </c>
    </row>
    <row r="210" spans="1:21">
      <c r="A210" s="4">
        <f>IF(B210=" "," ",HYPERLINK(CONCATENATE("#metadata!",ADDRESS(INDEX($L$2:$L$1001,MATCH(ROWS($J$2:J210),$J$2:$J$1001,0),0),1)),INDEX($O$2:$O$1001,MATCH(ROWS($J$2:J210),$J$2:$J$1001,0),0)))</f>
        <v>0</v>
      </c>
      <c r="B210" s="3">
        <f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>0</v>
      </c>
      <c r="C210" s="3">
        <f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>0</v>
      </c>
      <c r="D210" s="3">
        <f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>0</v>
      </c>
      <c r="E210" s="3">
        <f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>0</v>
      </c>
      <c r="F210" s="3">
        <f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>0</v>
      </c>
      <c r="J210">
        <v>0</v>
      </c>
      <c r="K210">
        <v>0</v>
      </c>
      <c r="L210">
        <v>0</v>
      </c>
      <c r="M210">
        <f>IF(N210,TRUE,AND(Q210:U210))</f>
        <v>0</v>
      </c>
      <c r="N210">
        <f>COUNTBLANK(Metadata!B210:F210)=COLUMNS(Metadata!B210:F210)</f>
        <v>0</v>
      </c>
      <c r="O210">
        <v>0</v>
      </c>
      <c r="Q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>
        <f>AND(IF(Metadata!C210="",FALSE,TRUE),exact(Metadata!C210,"human-skin"))</f>
        <v>0</v>
      </c>
      <c r="S210">
        <f>OR(AND(IF(Metadata!D210="",FALSE,TRUE),OR(exact(Metadata!D210,"missing: not collected"),exact(Metadata!D210,"missing: not provided"))),AND(IF(Metadata!D210="",FALSE,TRUE),OR(exact(Metadata!D210,"UBERON:zone of skin"),exact(Metadata!D210,"UBERON:skin of hand"),exact(Metadata!D210,"UBERON:skin of forehead"))))</f>
        <v>0</v>
      </c>
      <c r="T210">
        <f>AND(IF(Metadata!E210="",FALSE,TRUE),exact(Metadata!E210,"human skin metagenome"))</f>
        <v>0</v>
      </c>
      <c r="U210">
        <f>AND(IF(Metadata!F210="",FALSE,TRUE),exact(Metadata!F210,"539655"))</f>
        <v>0</v>
      </c>
    </row>
    <row r="211" spans="1:21">
      <c r="A211" s="4">
        <f>IF(B211=" "," ",HYPERLINK(CONCATENATE("#metadata!",ADDRESS(INDEX($L$2:$L$1001,MATCH(ROWS($J$2:J211),$J$2:$J$1001,0),0),1)),INDEX($O$2:$O$1001,MATCH(ROWS($J$2:J211),$J$2:$J$1001,0),0)))</f>
        <v>0</v>
      </c>
      <c r="B211" s="3">
        <f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>0</v>
      </c>
      <c r="C211" s="3">
        <f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>0</v>
      </c>
      <c r="D211" s="3">
        <f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>0</v>
      </c>
      <c r="E211" s="3">
        <f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>0</v>
      </c>
      <c r="F211" s="3">
        <f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>0</v>
      </c>
      <c r="J211">
        <v>0</v>
      </c>
      <c r="K211">
        <v>0</v>
      </c>
      <c r="L211">
        <v>0</v>
      </c>
      <c r="M211">
        <f>IF(N211,TRUE,AND(Q211:U211))</f>
        <v>0</v>
      </c>
      <c r="N211">
        <f>COUNTBLANK(Metadata!B211:F211)=COLUMNS(Metadata!B211:F211)</f>
        <v>0</v>
      </c>
      <c r="O211">
        <v>0</v>
      </c>
      <c r="Q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>
        <f>AND(IF(Metadata!C211="",FALSE,TRUE),exact(Metadata!C211,"human-skin"))</f>
        <v>0</v>
      </c>
      <c r="S211">
        <f>OR(AND(IF(Metadata!D211="",FALSE,TRUE),OR(exact(Metadata!D211,"missing: not collected"),exact(Metadata!D211,"missing: not provided"))),AND(IF(Metadata!D211="",FALSE,TRUE),OR(exact(Metadata!D211,"UBERON:zone of skin"),exact(Metadata!D211,"UBERON:skin of hand"),exact(Metadata!D211,"UBERON:skin of forehead"))))</f>
        <v>0</v>
      </c>
      <c r="T211">
        <f>AND(IF(Metadata!E211="",FALSE,TRUE),exact(Metadata!E211,"human skin metagenome"))</f>
        <v>0</v>
      </c>
      <c r="U211">
        <f>AND(IF(Metadata!F211="",FALSE,TRUE),exact(Metadata!F211,"539655"))</f>
        <v>0</v>
      </c>
    </row>
    <row r="212" spans="1:21">
      <c r="A212" s="4">
        <f>IF(B212=" "," ",HYPERLINK(CONCATENATE("#metadata!",ADDRESS(INDEX($L$2:$L$1001,MATCH(ROWS($J$2:J212),$J$2:$J$1001,0),0),1)),INDEX($O$2:$O$1001,MATCH(ROWS($J$2:J212),$J$2:$J$1001,0),0)))</f>
        <v>0</v>
      </c>
      <c r="B212" s="3">
        <f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>0</v>
      </c>
      <c r="C212" s="3">
        <f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>0</v>
      </c>
      <c r="D212" s="3">
        <f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>0</v>
      </c>
      <c r="E212" s="3">
        <f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>0</v>
      </c>
      <c r="F212" s="3">
        <f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>0</v>
      </c>
      <c r="J212">
        <v>0</v>
      </c>
      <c r="K212">
        <v>0</v>
      </c>
      <c r="L212">
        <v>0</v>
      </c>
      <c r="M212">
        <f>IF(N212,TRUE,AND(Q212:U212))</f>
        <v>0</v>
      </c>
      <c r="N212">
        <f>COUNTBLANK(Metadata!B212:F212)=COLUMNS(Metadata!B212:F212)</f>
        <v>0</v>
      </c>
      <c r="O212">
        <v>0</v>
      </c>
      <c r="Q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>
        <f>AND(IF(Metadata!C212="",FALSE,TRUE),exact(Metadata!C212,"human-skin"))</f>
        <v>0</v>
      </c>
      <c r="S212">
        <f>OR(AND(IF(Metadata!D212="",FALSE,TRUE),OR(exact(Metadata!D212,"missing: not collected"),exact(Metadata!D212,"missing: not provided"))),AND(IF(Metadata!D212="",FALSE,TRUE),OR(exact(Metadata!D212,"UBERON:zone of skin"),exact(Metadata!D212,"UBERON:skin of hand"),exact(Metadata!D212,"UBERON:skin of forehead"))))</f>
        <v>0</v>
      </c>
      <c r="T212">
        <f>AND(IF(Metadata!E212="",FALSE,TRUE),exact(Metadata!E212,"human skin metagenome"))</f>
        <v>0</v>
      </c>
      <c r="U212">
        <f>AND(IF(Metadata!F212="",FALSE,TRUE),exact(Metadata!F212,"539655"))</f>
        <v>0</v>
      </c>
    </row>
    <row r="213" spans="1:21">
      <c r="A213" s="4">
        <f>IF(B213=" "," ",HYPERLINK(CONCATENATE("#metadata!",ADDRESS(INDEX($L$2:$L$1001,MATCH(ROWS($J$2:J213),$J$2:$J$1001,0),0),1)),INDEX($O$2:$O$1001,MATCH(ROWS($J$2:J213),$J$2:$J$1001,0),0)))</f>
        <v>0</v>
      </c>
      <c r="B213" s="3">
        <f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>0</v>
      </c>
      <c r="C213" s="3">
        <f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>0</v>
      </c>
      <c r="D213" s="3">
        <f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>0</v>
      </c>
      <c r="E213" s="3">
        <f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>0</v>
      </c>
      <c r="F213" s="3">
        <f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>0</v>
      </c>
      <c r="J213">
        <v>0</v>
      </c>
      <c r="K213">
        <v>0</v>
      </c>
      <c r="L213">
        <v>0</v>
      </c>
      <c r="M213">
        <f>IF(N213,TRUE,AND(Q213:U213))</f>
        <v>0</v>
      </c>
      <c r="N213">
        <f>COUNTBLANK(Metadata!B213:F213)=COLUMNS(Metadata!B213:F213)</f>
        <v>0</v>
      </c>
      <c r="O213">
        <v>0</v>
      </c>
      <c r="Q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>
        <f>AND(IF(Metadata!C213="",FALSE,TRUE),exact(Metadata!C213,"human-skin"))</f>
        <v>0</v>
      </c>
      <c r="S213">
        <f>OR(AND(IF(Metadata!D213="",FALSE,TRUE),OR(exact(Metadata!D213,"missing: not collected"),exact(Metadata!D213,"missing: not provided"))),AND(IF(Metadata!D213="",FALSE,TRUE),OR(exact(Metadata!D213,"UBERON:zone of skin"),exact(Metadata!D213,"UBERON:skin of hand"),exact(Metadata!D213,"UBERON:skin of forehead"))))</f>
        <v>0</v>
      </c>
      <c r="T213">
        <f>AND(IF(Metadata!E213="",FALSE,TRUE),exact(Metadata!E213,"human skin metagenome"))</f>
        <v>0</v>
      </c>
      <c r="U213">
        <f>AND(IF(Metadata!F213="",FALSE,TRUE),exact(Metadata!F213,"539655"))</f>
        <v>0</v>
      </c>
    </row>
    <row r="214" spans="1:21">
      <c r="A214" s="4">
        <f>IF(B214=" "," ",HYPERLINK(CONCATENATE("#metadata!",ADDRESS(INDEX($L$2:$L$1001,MATCH(ROWS($J$2:J214),$J$2:$J$1001,0),0),1)),INDEX($O$2:$O$1001,MATCH(ROWS($J$2:J214),$J$2:$J$1001,0),0)))</f>
        <v>0</v>
      </c>
      <c r="B214" s="3">
        <f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>0</v>
      </c>
      <c r="C214" s="3">
        <f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>0</v>
      </c>
      <c r="D214" s="3">
        <f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>0</v>
      </c>
      <c r="E214" s="3">
        <f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>0</v>
      </c>
      <c r="F214" s="3">
        <f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>0</v>
      </c>
      <c r="J214">
        <v>0</v>
      </c>
      <c r="K214">
        <v>0</v>
      </c>
      <c r="L214">
        <v>0</v>
      </c>
      <c r="M214">
        <f>IF(N214,TRUE,AND(Q214:U214))</f>
        <v>0</v>
      </c>
      <c r="N214">
        <f>COUNTBLANK(Metadata!B214:F214)=COLUMNS(Metadata!B214:F214)</f>
        <v>0</v>
      </c>
      <c r="O214">
        <v>0</v>
      </c>
      <c r="Q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>
        <f>AND(IF(Metadata!C214="",FALSE,TRUE),exact(Metadata!C214,"human-skin"))</f>
        <v>0</v>
      </c>
      <c r="S214">
        <f>OR(AND(IF(Metadata!D214="",FALSE,TRUE),OR(exact(Metadata!D214,"missing: not collected"),exact(Metadata!D214,"missing: not provided"))),AND(IF(Metadata!D214="",FALSE,TRUE),OR(exact(Metadata!D214,"UBERON:zone of skin"),exact(Metadata!D214,"UBERON:skin of hand"),exact(Metadata!D214,"UBERON:skin of forehead"))))</f>
        <v>0</v>
      </c>
      <c r="T214">
        <f>AND(IF(Metadata!E214="",FALSE,TRUE),exact(Metadata!E214,"human skin metagenome"))</f>
        <v>0</v>
      </c>
      <c r="U214">
        <f>AND(IF(Metadata!F214="",FALSE,TRUE),exact(Metadata!F214,"539655"))</f>
        <v>0</v>
      </c>
    </row>
    <row r="215" spans="1:21">
      <c r="A215" s="4">
        <f>IF(B215=" "," ",HYPERLINK(CONCATENATE("#metadata!",ADDRESS(INDEX($L$2:$L$1001,MATCH(ROWS($J$2:J215),$J$2:$J$1001,0),0),1)),INDEX($O$2:$O$1001,MATCH(ROWS($J$2:J215),$J$2:$J$1001,0),0)))</f>
        <v>0</v>
      </c>
      <c r="B215" s="3">
        <f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>0</v>
      </c>
      <c r="C215" s="3">
        <f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>0</v>
      </c>
      <c r="D215" s="3">
        <f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>0</v>
      </c>
      <c r="E215" s="3">
        <f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>0</v>
      </c>
      <c r="F215" s="3">
        <f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>0</v>
      </c>
      <c r="J215">
        <v>0</v>
      </c>
      <c r="K215">
        <v>0</v>
      </c>
      <c r="L215">
        <v>0</v>
      </c>
      <c r="M215">
        <f>IF(N215,TRUE,AND(Q215:U215))</f>
        <v>0</v>
      </c>
      <c r="N215">
        <f>COUNTBLANK(Metadata!B215:F215)=COLUMNS(Metadata!B215:F215)</f>
        <v>0</v>
      </c>
      <c r="O215">
        <v>0</v>
      </c>
      <c r="Q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>
        <f>AND(IF(Metadata!C215="",FALSE,TRUE),exact(Metadata!C215,"human-skin"))</f>
        <v>0</v>
      </c>
      <c r="S215">
        <f>OR(AND(IF(Metadata!D215="",FALSE,TRUE),OR(exact(Metadata!D215,"missing: not collected"),exact(Metadata!D215,"missing: not provided"))),AND(IF(Metadata!D215="",FALSE,TRUE),OR(exact(Metadata!D215,"UBERON:zone of skin"),exact(Metadata!D215,"UBERON:skin of hand"),exact(Metadata!D215,"UBERON:skin of forehead"))))</f>
        <v>0</v>
      </c>
      <c r="T215">
        <f>AND(IF(Metadata!E215="",FALSE,TRUE),exact(Metadata!E215,"human skin metagenome"))</f>
        <v>0</v>
      </c>
      <c r="U215">
        <f>AND(IF(Metadata!F215="",FALSE,TRUE),exact(Metadata!F215,"539655"))</f>
        <v>0</v>
      </c>
    </row>
    <row r="216" spans="1:21">
      <c r="A216" s="4">
        <f>IF(B216=" "," ",HYPERLINK(CONCATENATE("#metadata!",ADDRESS(INDEX($L$2:$L$1001,MATCH(ROWS($J$2:J216),$J$2:$J$1001,0),0),1)),INDEX($O$2:$O$1001,MATCH(ROWS($J$2:J216),$J$2:$J$1001,0),0)))</f>
        <v>0</v>
      </c>
      <c r="B216" s="3">
        <f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>0</v>
      </c>
      <c r="C216" s="3">
        <f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>0</v>
      </c>
      <c r="D216" s="3">
        <f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>0</v>
      </c>
      <c r="E216" s="3">
        <f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>0</v>
      </c>
      <c r="F216" s="3">
        <f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>0</v>
      </c>
      <c r="J216">
        <v>0</v>
      </c>
      <c r="K216">
        <v>0</v>
      </c>
      <c r="L216">
        <v>0</v>
      </c>
      <c r="M216">
        <f>IF(N216,TRUE,AND(Q216:U216))</f>
        <v>0</v>
      </c>
      <c r="N216">
        <f>COUNTBLANK(Metadata!B216:F216)=COLUMNS(Metadata!B216:F216)</f>
        <v>0</v>
      </c>
      <c r="O216">
        <v>0</v>
      </c>
      <c r="Q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>
        <f>AND(IF(Metadata!C216="",FALSE,TRUE),exact(Metadata!C216,"human-skin"))</f>
        <v>0</v>
      </c>
      <c r="S216">
        <f>OR(AND(IF(Metadata!D216="",FALSE,TRUE),OR(exact(Metadata!D216,"missing: not collected"),exact(Metadata!D216,"missing: not provided"))),AND(IF(Metadata!D216="",FALSE,TRUE),OR(exact(Metadata!D216,"UBERON:zone of skin"),exact(Metadata!D216,"UBERON:skin of hand"),exact(Metadata!D216,"UBERON:skin of forehead"))))</f>
        <v>0</v>
      </c>
      <c r="T216">
        <f>AND(IF(Metadata!E216="",FALSE,TRUE),exact(Metadata!E216,"human skin metagenome"))</f>
        <v>0</v>
      </c>
      <c r="U216">
        <f>AND(IF(Metadata!F216="",FALSE,TRUE),exact(Metadata!F216,"539655"))</f>
        <v>0</v>
      </c>
    </row>
    <row r="217" spans="1:21">
      <c r="A217" s="4">
        <f>IF(B217=" "," ",HYPERLINK(CONCATENATE("#metadata!",ADDRESS(INDEX($L$2:$L$1001,MATCH(ROWS($J$2:J217),$J$2:$J$1001,0),0),1)),INDEX($O$2:$O$1001,MATCH(ROWS($J$2:J217),$J$2:$J$1001,0),0)))</f>
        <v>0</v>
      </c>
      <c r="B217" s="3">
        <f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>0</v>
      </c>
      <c r="C217" s="3">
        <f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>0</v>
      </c>
      <c r="D217" s="3">
        <f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>0</v>
      </c>
      <c r="E217" s="3">
        <f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>0</v>
      </c>
      <c r="F217" s="3">
        <f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>0</v>
      </c>
      <c r="J217">
        <v>0</v>
      </c>
      <c r="K217">
        <v>0</v>
      </c>
      <c r="L217">
        <v>0</v>
      </c>
      <c r="M217">
        <f>IF(N217,TRUE,AND(Q217:U217))</f>
        <v>0</v>
      </c>
      <c r="N217">
        <f>COUNTBLANK(Metadata!B217:F217)=COLUMNS(Metadata!B217:F217)</f>
        <v>0</v>
      </c>
      <c r="O217">
        <v>0</v>
      </c>
      <c r="Q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>
        <f>AND(IF(Metadata!C217="",FALSE,TRUE),exact(Metadata!C217,"human-skin"))</f>
        <v>0</v>
      </c>
      <c r="S217">
        <f>OR(AND(IF(Metadata!D217="",FALSE,TRUE),OR(exact(Metadata!D217,"missing: not collected"),exact(Metadata!D217,"missing: not provided"))),AND(IF(Metadata!D217="",FALSE,TRUE),OR(exact(Metadata!D217,"UBERON:zone of skin"),exact(Metadata!D217,"UBERON:skin of hand"),exact(Metadata!D217,"UBERON:skin of forehead"))))</f>
        <v>0</v>
      </c>
      <c r="T217">
        <f>AND(IF(Metadata!E217="",FALSE,TRUE),exact(Metadata!E217,"human skin metagenome"))</f>
        <v>0</v>
      </c>
      <c r="U217">
        <f>AND(IF(Metadata!F217="",FALSE,TRUE),exact(Metadata!F217,"539655"))</f>
        <v>0</v>
      </c>
    </row>
    <row r="218" spans="1:21">
      <c r="A218" s="4">
        <f>IF(B218=" "," ",HYPERLINK(CONCATENATE("#metadata!",ADDRESS(INDEX($L$2:$L$1001,MATCH(ROWS($J$2:J218),$J$2:$J$1001,0),0),1)),INDEX($O$2:$O$1001,MATCH(ROWS($J$2:J218),$J$2:$J$1001,0),0)))</f>
        <v>0</v>
      </c>
      <c r="B218" s="3">
        <f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>0</v>
      </c>
      <c r="C218" s="3">
        <f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>0</v>
      </c>
      <c r="D218" s="3">
        <f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>0</v>
      </c>
      <c r="E218" s="3">
        <f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>0</v>
      </c>
      <c r="F218" s="3">
        <f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>0</v>
      </c>
      <c r="J218">
        <v>0</v>
      </c>
      <c r="K218">
        <v>0</v>
      </c>
      <c r="L218">
        <v>0</v>
      </c>
      <c r="M218">
        <f>IF(N218,TRUE,AND(Q218:U218))</f>
        <v>0</v>
      </c>
      <c r="N218">
        <f>COUNTBLANK(Metadata!B218:F218)=COLUMNS(Metadata!B218:F218)</f>
        <v>0</v>
      </c>
      <c r="O218">
        <v>0</v>
      </c>
      <c r="Q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>
        <f>AND(IF(Metadata!C218="",FALSE,TRUE),exact(Metadata!C218,"human-skin"))</f>
        <v>0</v>
      </c>
      <c r="S218">
        <f>OR(AND(IF(Metadata!D218="",FALSE,TRUE),OR(exact(Metadata!D218,"missing: not collected"),exact(Metadata!D218,"missing: not provided"))),AND(IF(Metadata!D218="",FALSE,TRUE),OR(exact(Metadata!D218,"UBERON:zone of skin"),exact(Metadata!D218,"UBERON:skin of hand"),exact(Metadata!D218,"UBERON:skin of forehead"))))</f>
        <v>0</v>
      </c>
      <c r="T218">
        <f>AND(IF(Metadata!E218="",FALSE,TRUE),exact(Metadata!E218,"human skin metagenome"))</f>
        <v>0</v>
      </c>
      <c r="U218">
        <f>AND(IF(Metadata!F218="",FALSE,TRUE),exact(Metadata!F218,"539655"))</f>
        <v>0</v>
      </c>
    </row>
    <row r="219" spans="1:21">
      <c r="A219" s="4">
        <f>IF(B219=" "," ",HYPERLINK(CONCATENATE("#metadata!",ADDRESS(INDEX($L$2:$L$1001,MATCH(ROWS($J$2:J219),$J$2:$J$1001,0),0),1)),INDEX($O$2:$O$1001,MATCH(ROWS($J$2:J219),$J$2:$J$1001,0),0)))</f>
        <v>0</v>
      </c>
      <c r="B219" s="3">
        <f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>0</v>
      </c>
      <c r="C219" s="3">
        <f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>0</v>
      </c>
      <c r="D219" s="3">
        <f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>0</v>
      </c>
      <c r="E219" s="3">
        <f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>0</v>
      </c>
      <c r="F219" s="3">
        <f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>0</v>
      </c>
      <c r="J219">
        <v>0</v>
      </c>
      <c r="K219">
        <v>0</v>
      </c>
      <c r="L219">
        <v>0</v>
      </c>
      <c r="M219">
        <f>IF(N219,TRUE,AND(Q219:U219))</f>
        <v>0</v>
      </c>
      <c r="N219">
        <f>COUNTBLANK(Metadata!B219:F219)=COLUMNS(Metadata!B219:F219)</f>
        <v>0</v>
      </c>
      <c r="O219">
        <v>0</v>
      </c>
      <c r="Q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>
        <f>AND(IF(Metadata!C219="",FALSE,TRUE),exact(Metadata!C219,"human-skin"))</f>
        <v>0</v>
      </c>
      <c r="S219">
        <f>OR(AND(IF(Metadata!D219="",FALSE,TRUE),OR(exact(Metadata!D219,"missing: not collected"),exact(Metadata!D219,"missing: not provided"))),AND(IF(Metadata!D219="",FALSE,TRUE),OR(exact(Metadata!D219,"UBERON:zone of skin"),exact(Metadata!D219,"UBERON:skin of hand"),exact(Metadata!D219,"UBERON:skin of forehead"))))</f>
        <v>0</v>
      </c>
      <c r="T219">
        <f>AND(IF(Metadata!E219="",FALSE,TRUE),exact(Metadata!E219,"human skin metagenome"))</f>
        <v>0</v>
      </c>
      <c r="U219">
        <f>AND(IF(Metadata!F219="",FALSE,TRUE),exact(Metadata!F219,"539655"))</f>
        <v>0</v>
      </c>
    </row>
    <row r="220" spans="1:21">
      <c r="A220" s="4">
        <f>IF(B220=" "," ",HYPERLINK(CONCATENATE("#metadata!",ADDRESS(INDEX($L$2:$L$1001,MATCH(ROWS($J$2:J220),$J$2:$J$1001,0),0),1)),INDEX($O$2:$O$1001,MATCH(ROWS($J$2:J220),$J$2:$J$1001,0),0)))</f>
        <v>0</v>
      </c>
      <c r="B220" s="3">
        <f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>0</v>
      </c>
      <c r="C220" s="3">
        <f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>0</v>
      </c>
      <c r="D220" s="3">
        <f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>0</v>
      </c>
      <c r="E220" s="3">
        <f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>0</v>
      </c>
      <c r="F220" s="3">
        <f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>0</v>
      </c>
      <c r="J220">
        <v>0</v>
      </c>
      <c r="K220">
        <v>0</v>
      </c>
      <c r="L220">
        <v>0</v>
      </c>
      <c r="M220">
        <f>IF(N220,TRUE,AND(Q220:U220))</f>
        <v>0</v>
      </c>
      <c r="N220">
        <f>COUNTBLANK(Metadata!B220:F220)=COLUMNS(Metadata!B220:F220)</f>
        <v>0</v>
      </c>
      <c r="O220">
        <v>0</v>
      </c>
      <c r="Q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>
        <f>AND(IF(Metadata!C220="",FALSE,TRUE),exact(Metadata!C220,"human-skin"))</f>
        <v>0</v>
      </c>
      <c r="S220">
        <f>OR(AND(IF(Metadata!D220="",FALSE,TRUE),OR(exact(Metadata!D220,"missing: not collected"),exact(Metadata!D220,"missing: not provided"))),AND(IF(Metadata!D220="",FALSE,TRUE),OR(exact(Metadata!D220,"UBERON:zone of skin"),exact(Metadata!D220,"UBERON:skin of hand"),exact(Metadata!D220,"UBERON:skin of forehead"))))</f>
        <v>0</v>
      </c>
      <c r="T220">
        <f>AND(IF(Metadata!E220="",FALSE,TRUE),exact(Metadata!E220,"human skin metagenome"))</f>
        <v>0</v>
      </c>
      <c r="U220">
        <f>AND(IF(Metadata!F220="",FALSE,TRUE),exact(Metadata!F220,"539655"))</f>
        <v>0</v>
      </c>
    </row>
    <row r="221" spans="1:21">
      <c r="A221" s="4">
        <f>IF(B221=" "," ",HYPERLINK(CONCATENATE("#metadata!",ADDRESS(INDEX($L$2:$L$1001,MATCH(ROWS($J$2:J221),$J$2:$J$1001,0),0),1)),INDEX($O$2:$O$1001,MATCH(ROWS($J$2:J221),$J$2:$J$1001,0),0)))</f>
        <v>0</v>
      </c>
      <c r="B221" s="3">
        <f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>0</v>
      </c>
      <c r="C221" s="3">
        <f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>0</v>
      </c>
      <c r="D221" s="3">
        <f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>0</v>
      </c>
      <c r="E221" s="3">
        <f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>0</v>
      </c>
      <c r="F221" s="3">
        <f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>0</v>
      </c>
      <c r="J221">
        <v>0</v>
      </c>
      <c r="K221">
        <v>0</v>
      </c>
      <c r="L221">
        <v>0</v>
      </c>
      <c r="M221">
        <f>IF(N221,TRUE,AND(Q221:U221))</f>
        <v>0</v>
      </c>
      <c r="N221">
        <f>COUNTBLANK(Metadata!B221:F221)=COLUMNS(Metadata!B221:F221)</f>
        <v>0</v>
      </c>
      <c r="O221">
        <v>0</v>
      </c>
      <c r="Q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>
        <f>AND(IF(Metadata!C221="",FALSE,TRUE),exact(Metadata!C221,"human-skin"))</f>
        <v>0</v>
      </c>
      <c r="S221">
        <f>OR(AND(IF(Metadata!D221="",FALSE,TRUE),OR(exact(Metadata!D221,"missing: not collected"),exact(Metadata!D221,"missing: not provided"))),AND(IF(Metadata!D221="",FALSE,TRUE),OR(exact(Metadata!D221,"UBERON:zone of skin"),exact(Metadata!D221,"UBERON:skin of hand"),exact(Metadata!D221,"UBERON:skin of forehead"))))</f>
        <v>0</v>
      </c>
      <c r="T221">
        <f>AND(IF(Metadata!E221="",FALSE,TRUE),exact(Metadata!E221,"human skin metagenome"))</f>
        <v>0</v>
      </c>
      <c r="U221">
        <f>AND(IF(Metadata!F221="",FALSE,TRUE),exact(Metadata!F221,"539655"))</f>
        <v>0</v>
      </c>
    </row>
    <row r="222" spans="1:21">
      <c r="A222" s="4">
        <f>IF(B222=" "," ",HYPERLINK(CONCATENATE("#metadata!",ADDRESS(INDEX($L$2:$L$1001,MATCH(ROWS($J$2:J222),$J$2:$J$1001,0),0),1)),INDEX($O$2:$O$1001,MATCH(ROWS($J$2:J222),$J$2:$J$1001,0),0)))</f>
        <v>0</v>
      </c>
      <c r="B222" s="3">
        <f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>0</v>
      </c>
      <c r="C222" s="3">
        <f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>0</v>
      </c>
      <c r="D222" s="3">
        <f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>0</v>
      </c>
      <c r="E222" s="3">
        <f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>0</v>
      </c>
      <c r="F222" s="3">
        <f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>0</v>
      </c>
      <c r="J222">
        <v>0</v>
      </c>
      <c r="K222">
        <v>0</v>
      </c>
      <c r="L222">
        <v>0</v>
      </c>
      <c r="M222">
        <f>IF(N222,TRUE,AND(Q222:U222))</f>
        <v>0</v>
      </c>
      <c r="N222">
        <f>COUNTBLANK(Metadata!B222:F222)=COLUMNS(Metadata!B222:F222)</f>
        <v>0</v>
      </c>
      <c r="O222">
        <v>0</v>
      </c>
      <c r="Q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>
        <f>AND(IF(Metadata!C222="",FALSE,TRUE),exact(Metadata!C222,"human-skin"))</f>
        <v>0</v>
      </c>
      <c r="S222">
        <f>OR(AND(IF(Metadata!D222="",FALSE,TRUE),OR(exact(Metadata!D222,"missing: not collected"),exact(Metadata!D222,"missing: not provided"))),AND(IF(Metadata!D222="",FALSE,TRUE),OR(exact(Metadata!D222,"UBERON:zone of skin"),exact(Metadata!D222,"UBERON:skin of hand"),exact(Metadata!D222,"UBERON:skin of forehead"))))</f>
        <v>0</v>
      </c>
      <c r="T222">
        <f>AND(IF(Metadata!E222="",FALSE,TRUE),exact(Metadata!E222,"human skin metagenome"))</f>
        <v>0</v>
      </c>
      <c r="U222">
        <f>AND(IF(Metadata!F222="",FALSE,TRUE),exact(Metadata!F222,"539655"))</f>
        <v>0</v>
      </c>
    </row>
    <row r="223" spans="1:21">
      <c r="A223" s="4">
        <f>IF(B223=" "," ",HYPERLINK(CONCATENATE("#metadata!",ADDRESS(INDEX($L$2:$L$1001,MATCH(ROWS($J$2:J223),$J$2:$J$1001,0),0),1)),INDEX($O$2:$O$1001,MATCH(ROWS($J$2:J223),$J$2:$J$1001,0),0)))</f>
        <v>0</v>
      </c>
      <c r="B223" s="3">
        <f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>0</v>
      </c>
      <c r="C223" s="3">
        <f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>0</v>
      </c>
      <c r="D223" s="3">
        <f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>0</v>
      </c>
      <c r="E223" s="3">
        <f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>0</v>
      </c>
      <c r="F223" s="3">
        <f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>0</v>
      </c>
      <c r="J223">
        <v>0</v>
      </c>
      <c r="K223">
        <v>0</v>
      </c>
      <c r="L223">
        <v>0</v>
      </c>
      <c r="M223">
        <f>IF(N223,TRUE,AND(Q223:U223))</f>
        <v>0</v>
      </c>
      <c r="N223">
        <f>COUNTBLANK(Metadata!B223:F223)=COLUMNS(Metadata!B223:F223)</f>
        <v>0</v>
      </c>
      <c r="O223">
        <v>0</v>
      </c>
      <c r="Q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>
        <f>AND(IF(Metadata!C223="",FALSE,TRUE),exact(Metadata!C223,"human-skin"))</f>
        <v>0</v>
      </c>
      <c r="S223">
        <f>OR(AND(IF(Metadata!D223="",FALSE,TRUE),OR(exact(Metadata!D223,"missing: not collected"),exact(Metadata!D223,"missing: not provided"))),AND(IF(Metadata!D223="",FALSE,TRUE),OR(exact(Metadata!D223,"UBERON:zone of skin"),exact(Metadata!D223,"UBERON:skin of hand"),exact(Metadata!D223,"UBERON:skin of forehead"))))</f>
        <v>0</v>
      </c>
      <c r="T223">
        <f>AND(IF(Metadata!E223="",FALSE,TRUE),exact(Metadata!E223,"human skin metagenome"))</f>
        <v>0</v>
      </c>
      <c r="U223">
        <f>AND(IF(Metadata!F223="",FALSE,TRUE),exact(Metadata!F223,"539655"))</f>
        <v>0</v>
      </c>
    </row>
    <row r="224" spans="1:21">
      <c r="A224" s="4">
        <f>IF(B224=" "," ",HYPERLINK(CONCATENATE("#metadata!",ADDRESS(INDEX($L$2:$L$1001,MATCH(ROWS($J$2:J224),$J$2:$J$1001,0),0),1)),INDEX($O$2:$O$1001,MATCH(ROWS($J$2:J224),$J$2:$J$1001,0),0)))</f>
        <v>0</v>
      </c>
      <c r="B224" s="3">
        <f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>0</v>
      </c>
      <c r="C224" s="3">
        <f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>0</v>
      </c>
      <c r="D224" s="3">
        <f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>0</v>
      </c>
      <c r="E224" s="3">
        <f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>0</v>
      </c>
      <c r="F224" s="3">
        <f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>0</v>
      </c>
      <c r="J224">
        <v>0</v>
      </c>
      <c r="K224">
        <v>0</v>
      </c>
      <c r="L224">
        <v>0</v>
      </c>
      <c r="M224">
        <f>IF(N224,TRUE,AND(Q224:U224))</f>
        <v>0</v>
      </c>
      <c r="N224">
        <f>COUNTBLANK(Metadata!B224:F224)=COLUMNS(Metadata!B224:F224)</f>
        <v>0</v>
      </c>
      <c r="O224">
        <v>0</v>
      </c>
      <c r="Q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>
        <f>AND(IF(Metadata!C224="",FALSE,TRUE),exact(Metadata!C224,"human-skin"))</f>
        <v>0</v>
      </c>
      <c r="S224">
        <f>OR(AND(IF(Metadata!D224="",FALSE,TRUE),OR(exact(Metadata!D224,"missing: not collected"),exact(Metadata!D224,"missing: not provided"))),AND(IF(Metadata!D224="",FALSE,TRUE),OR(exact(Metadata!D224,"UBERON:zone of skin"),exact(Metadata!D224,"UBERON:skin of hand"),exact(Metadata!D224,"UBERON:skin of forehead"))))</f>
        <v>0</v>
      </c>
      <c r="T224">
        <f>AND(IF(Metadata!E224="",FALSE,TRUE),exact(Metadata!E224,"human skin metagenome"))</f>
        <v>0</v>
      </c>
      <c r="U224">
        <f>AND(IF(Metadata!F224="",FALSE,TRUE),exact(Metadata!F224,"539655"))</f>
        <v>0</v>
      </c>
    </row>
    <row r="225" spans="1:21">
      <c r="A225" s="4">
        <f>IF(B225=" "," ",HYPERLINK(CONCATENATE("#metadata!",ADDRESS(INDEX($L$2:$L$1001,MATCH(ROWS($J$2:J225),$J$2:$J$1001,0),0),1)),INDEX($O$2:$O$1001,MATCH(ROWS($J$2:J225),$J$2:$J$1001,0),0)))</f>
        <v>0</v>
      </c>
      <c r="B225" s="3">
        <f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>0</v>
      </c>
      <c r="C225" s="3">
        <f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>0</v>
      </c>
      <c r="D225" s="3">
        <f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>0</v>
      </c>
      <c r="E225" s="3">
        <f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>0</v>
      </c>
      <c r="F225" s="3">
        <f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>0</v>
      </c>
      <c r="J225">
        <v>0</v>
      </c>
      <c r="K225">
        <v>0</v>
      </c>
      <c r="L225">
        <v>0</v>
      </c>
      <c r="M225">
        <f>IF(N225,TRUE,AND(Q225:U225))</f>
        <v>0</v>
      </c>
      <c r="N225">
        <f>COUNTBLANK(Metadata!B225:F225)=COLUMNS(Metadata!B225:F225)</f>
        <v>0</v>
      </c>
      <c r="O225">
        <v>0</v>
      </c>
      <c r="Q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>
        <f>AND(IF(Metadata!C225="",FALSE,TRUE),exact(Metadata!C225,"human-skin"))</f>
        <v>0</v>
      </c>
      <c r="S225">
        <f>OR(AND(IF(Metadata!D225="",FALSE,TRUE),OR(exact(Metadata!D225,"missing: not collected"),exact(Metadata!D225,"missing: not provided"))),AND(IF(Metadata!D225="",FALSE,TRUE),OR(exact(Metadata!D225,"UBERON:zone of skin"),exact(Metadata!D225,"UBERON:skin of hand"),exact(Metadata!D225,"UBERON:skin of forehead"))))</f>
        <v>0</v>
      </c>
      <c r="T225">
        <f>AND(IF(Metadata!E225="",FALSE,TRUE),exact(Metadata!E225,"human skin metagenome"))</f>
        <v>0</v>
      </c>
      <c r="U225">
        <f>AND(IF(Metadata!F225="",FALSE,TRUE),exact(Metadata!F225,"539655"))</f>
        <v>0</v>
      </c>
    </row>
    <row r="226" spans="1:21">
      <c r="A226" s="4">
        <f>IF(B226=" "," ",HYPERLINK(CONCATENATE("#metadata!",ADDRESS(INDEX($L$2:$L$1001,MATCH(ROWS($J$2:J226),$J$2:$J$1001,0),0),1)),INDEX($O$2:$O$1001,MATCH(ROWS($J$2:J226),$J$2:$J$1001,0),0)))</f>
        <v>0</v>
      </c>
      <c r="B226" s="3">
        <f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>0</v>
      </c>
      <c r="C226" s="3">
        <f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>0</v>
      </c>
      <c r="D226" s="3">
        <f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>0</v>
      </c>
      <c r="E226" s="3">
        <f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>0</v>
      </c>
      <c r="F226" s="3">
        <f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>0</v>
      </c>
      <c r="J226">
        <v>0</v>
      </c>
      <c r="K226">
        <v>0</v>
      </c>
      <c r="L226">
        <v>0</v>
      </c>
      <c r="M226">
        <f>IF(N226,TRUE,AND(Q226:U226))</f>
        <v>0</v>
      </c>
      <c r="N226">
        <f>COUNTBLANK(Metadata!B226:F226)=COLUMNS(Metadata!B226:F226)</f>
        <v>0</v>
      </c>
      <c r="O226">
        <v>0</v>
      </c>
      <c r="Q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>
        <f>AND(IF(Metadata!C226="",FALSE,TRUE),exact(Metadata!C226,"human-skin"))</f>
        <v>0</v>
      </c>
      <c r="S226">
        <f>OR(AND(IF(Metadata!D226="",FALSE,TRUE),OR(exact(Metadata!D226,"missing: not collected"),exact(Metadata!D226,"missing: not provided"))),AND(IF(Metadata!D226="",FALSE,TRUE),OR(exact(Metadata!D226,"UBERON:zone of skin"),exact(Metadata!D226,"UBERON:skin of hand"),exact(Metadata!D226,"UBERON:skin of forehead"))))</f>
        <v>0</v>
      </c>
      <c r="T226">
        <f>AND(IF(Metadata!E226="",FALSE,TRUE),exact(Metadata!E226,"human skin metagenome"))</f>
        <v>0</v>
      </c>
      <c r="U226">
        <f>AND(IF(Metadata!F226="",FALSE,TRUE),exact(Metadata!F226,"539655"))</f>
        <v>0</v>
      </c>
    </row>
    <row r="227" spans="1:21">
      <c r="A227" s="4">
        <f>IF(B227=" "," ",HYPERLINK(CONCATENATE("#metadata!",ADDRESS(INDEX($L$2:$L$1001,MATCH(ROWS($J$2:J227),$J$2:$J$1001,0),0),1)),INDEX($O$2:$O$1001,MATCH(ROWS($J$2:J227),$J$2:$J$1001,0),0)))</f>
        <v>0</v>
      </c>
      <c r="B227" s="3">
        <f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>0</v>
      </c>
      <c r="C227" s="3">
        <f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>0</v>
      </c>
      <c r="D227" s="3">
        <f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>0</v>
      </c>
      <c r="E227" s="3">
        <f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>0</v>
      </c>
      <c r="F227" s="3">
        <f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>0</v>
      </c>
      <c r="J227">
        <v>0</v>
      </c>
      <c r="K227">
        <v>0</v>
      </c>
      <c r="L227">
        <v>0</v>
      </c>
      <c r="M227">
        <f>IF(N227,TRUE,AND(Q227:U227))</f>
        <v>0</v>
      </c>
      <c r="N227">
        <f>COUNTBLANK(Metadata!B227:F227)=COLUMNS(Metadata!B227:F227)</f>
        <v>0</v>
      </c>
      <c r="O227">
        <v>0</v>
      </c>
      <c r="Q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>
        <f>AND(IF(Metadata!C227="",FALSE,TRUE),exact(Metadata!C227,"human-skin"))</f>
        <v>0</v>
      </c>
      <c r="S227">
        <f>OR(AND(IF(Metadata!D227="",FALSE,TRUE),OR(exact(Metadata!D227,"missing: not collected"),exact(Metadata!D227,"missing: not provided"))),AND(IF(Metadata!D227="",FALSE,TRUE),OR(exact(Metadata!D227,"UBERON:zone of skin"),exact(Metadata!D227,"UBERON:skin of hand"),exact(Metadata!D227,"UBERON:skin of forehead"))))</f>
        <v>0</v>
      </c>
      <c r="T227">
        <f>AND(IF(Metadata!E227="",FALSE,TRUE),exact(Metadata!E227,"human skin metagenome"))</f>
        <v>0</v>
      </c>
      <c r="U227">
        <f>AND(IF(Metadata!F227="",FALSE,TRUE),exact(Metadata!F227,"539655"))</f>
        <v>0</v>
      </c>
    </row>
    <row r="228" spans="1:21">
      <c r="A228" s="4">
        <f>IF(B228=" "," ",HYPERLINK(CONCATENATE("#metadata!",ADDRESS(INDEX($L$2:$L$1001,MATCH(ROWS($J$2:J228),$J$2:$J$1001,0),0),1)),INDEX($O$2:$O$1001,MATCH(ROWS($J$2:J228),$J$2:$J$1001,0),0)))</f>
        <v>0</v>
      </c>
      <c r="B228" s="3">
        <f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>0</v>
      </c>
      <c r="C228" s="3">
        <f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>0</v>
      </c>
      <c r="D228" s="3">
        <f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>0</v>
      </c>
      <c r="E228" s="3">
        <f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>0</v>
      </c>
      <c r="F228" s="3">
        <f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>0</v>
      </c>
      <c r="J228">
        <v>0</v>
      </c>
      <c r="K228">
        <v>0</v>
      </c>
      <c r="L228">
        <v>0</v>
      </c>
      <c r="M228">
        <f>IF(N228,TRUE,AND(Q228:U228))</f>
        <v>0</v>
      </c>
      <c r="N228">
        <f>COUNTBLANK(Metadata!B228:F228)=COLUMNS(Metadata!B228:F228)</f>
        <v>0</v>
      </c>
      <c r="O228">
        <v>0</v>
      </c>
      <c r="Q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>
        <f>AND(IF(Metadata!C228="",FALSE,TRUE),exact(Metadata!C228,"human-skin"))</f>
        <v>0</v>
      </c>
      <c r="S228">
        <f>OR(AND(IF(Metadata!D228="",FALSE,TRUE),OR(exact(Metadata!D228,"missing: not collected"),exact(Metadata!D228,"missing: not provided"))),AND(IF(Metadata!D228="",FALSE,TRUE),OR(exact(Metadata!D228,"UBERON:zone of skin"),exact(Metadata!D228,"UBERON:skin of hand"),exact(Metadata!D228,"UBERON:skin of forehead"))))</f>
        <v>0</v>
      </c>
      <c r="T228">
        <f>AND(IF(Metadata!E228="",FALSE,TRUE),exact(Metadata!E228,"human skin metagenome"))</f>
        <v>0</v>
      </c>
      <c r="U228">
        <f>AND(IF(Metadata!F228="",FALSE,TRUE),exact(Metadata!F228,"539655"))</f>
        <v>0</v>
      </c>
    </row>
    <row r="229" spans="1:21">
      <c r="A229" s="4">
        <f>IF(B229=" "," ",HYPERLINK(CONCATENATE("#metadata!",ADDRESS(INDEX($L$2:$L$1001,MATCH(ROWS($J$2:J229),$J$2:$J$1001,0),0),1)),INDEX($O$2:$O$1001,MATCH(ROWS($J$2:J229),$J$2:$J$1001,0),0)))</f>
        <v>0</v>
      </c>
      <c r="B229" s="3">
        <f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>0</v>
      </c>
      <c r="C229" s="3">
        <f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>0</v>
      </c>
      <c r="D229" s="3">
        <f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>0</v>
      </c>
      <c r="E229" s="3">
        <f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>0</v>
      </c>
      <c r="F229" s="3">
        <f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>0</v>
      </c>
      <c r="J229">
        <v>0</v>
      </c>
      <c r="K229">
        <v>0</v>
      </c>
      <c r="L229">
        <v>0</v>
      </c>
      <c r="M229">
        <f>IF(N229,TRUE,AND(Q229:U229))</f>
        <v>0</v>
      </c>
      <c r="N229">
        <f>COUNTBLANK(Metadata!B229:F229)=COLUMNS(Metadata!B229:F229)</f>
        <v>0</v>
      </c>
      <c r="O229">
        <v>0</v>
      </c>
      <c r="Q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>
        <f>AND(IF(Metadata!C229="",FALSE,TRUE),exact(Metadata!C229,"human-skin"))</f>
        <v>0</v>
      </c>
      <c r="S229">
        <f>OR(AND(IF(Metadata!D229="",FALSE,TRUE),OR(exact(Metadata!D229,"missing: not collected"),exact(Metadata!D229,"missing: not provided"))),AND(IF(Metadata!D229="",FALSE,TRUE),OR(exact(Metadata!D229,"UBERON:zone of skin"),exact(Metadata!D229,"UBERON:skin of hand"),exact(Metadata!D229,"UBERON:skin of forehead"))))</f>
        <v>0</v>
      </c>
      <c r="T229">
        <f>AND(IF(Metadata!E229="",FALSE,TRUE),exact(Metadata!E229,"human skin metagenome"))</f>
        <v>0</v>
      </c>
      <c r="U229">
        <f>AND(IF(Metadata!F229="",FALSE,TRUE),exact(Metadata!F229,"539655"))</f>
        <v>0</v>
      </c>
    </row>
    <row r="230" spans="1:21">
      <c r="A230" s="4">
        <f>IF(B230=" "," ",HYPERLINK(CONCATENATE("#metadata!",ADDRESS(INDEX($L$2:$L$1001,MATCH(ROWS($J$2:J230),$J$2:$J$1001,0),0),1)),INDEX($O$2:$O$1001,MATCH(ROWS($J$2:J230),$J$2:$J$1001,0),0)))</f>
        <v>0</v>
      </c>
      <c r="B230" s="3">
        <f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>0</v>
      </c>
      <c r="C230" s="3">
        <f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>0</v>
      </c>
      <c r="D230" s="3">
        <f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>0</v>
      </c>
      <c r="E230" s="3">
        <f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>0</v>
      </c>
      <c r="F230" s="3">
        <f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>0</v>
      </c>
      <c r="J230">
        <v>0</v>
      </c>
      <c r="K230">
        <v>0</v>
      </c>
      <c r="L230">
        <v>0</v>
      </c>
      <c r="M230">
        <f>IF(N230,TRUE,AND(Q230:U230))</f>
        <v>0</v>
      </c>
      <c r="N230">
        <f>COUNTBLANK(Metadata!B230:F230)=COLUMNS(Metadata!B230:F230)</f>
        <v>0</v>
      </c>
      <c r="O230">
        <v>0</v>
      </c>
      <c r="Q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>
        <f>AND(IF(Metadata!C230="",FALSE,TRUE),exact(Metadata!C230,"human-skin"))</f>
        <v>0</v>
      </c>
      <c r="S230">
        <f>OR(AND(IF(Metadata!D230="",FALSE,TRUE),OR(exact(Metadata!D230,"missing: not collected"),exact(Metadata!D230,"missing: not provided"))),AND(IF(Metadata!D230="",FALSE,TRUE),OR(exact(Metadata!D230,"UBERON:zone of skin"),exact(Metadata!D230,"UBERON:skin of hand"),exact(Metadata!D230,"UBERON:skin of forehead"))))</f>
        <v>0</v>
      </c>
      <c r="T230">
        <f>AND(IF(Metadata!E230="",FALSE,TRUE),exact(Metadata!E230,"human skin metagenome"))</f>
        <v>0</v>
      </c>
      <c r="U230">
        <f>AND(IF(Metadata!F230="",FALSE,TRUE),exact(Metadata!F230,"539655"))</f>
        <v>0</v>
      </c>
    </row>
    <row r="231" spans="1:21">
      <c r="A231" s="4">
        <f>IF(B231=" "," ",HYPERLINK(CONCATENATE("#metadata!",ADDRESS(INDEX($L$2:$L$1001,MATCH(ROWS($J$2:J231),$J$2:$J$1001,0),0),1)),INDEX($O$2:$O$1001,MATCH(ROWS($J$2:J231),$J$2:$J$1001,0),0)))</f>
        <v>0</v>
      </c>
      <c r="B231" s="3">
        <f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>0</v>
      </c>
      <c r="C231" s="3">
        <f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>0</v>
      </c>
      <c r="D231" s="3">
        <f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>0</v>
      </c>
      <c r="E231" s="3">
        <f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>0</v>
      </c>
      <c r="F231" s="3">
        <f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>0</v>
      </c>
      <c r="J231">
        <v>0</v>
      </c>
      <c r="K231">
        <v>0</v>
      </c>
      <c r="L231">
        <v>0</v>
      </c>
      <c r="M231">
        <f>IF(N231,TRUE,AND(Q231:U231))</f>
        <v>0</v>
      </c>
      <c r="N231">
        <f>COUNTBLANK(Metadata!B231:F231)=COLUMNS(Metadata!B231:F231)</f>
        <v>0</v>
      </c>
      <c r="O231">
        <v>0</v>
      </c>
      <c r="Q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>
        <f>AND(IF(Metadata!C231="",FALSE,TRUE),exact(Metadata!C231,"human-skin"))</f>
        <v>0</v>
      </c>
      <c r="S231">
        <f>OR(AND(IF(Metadata!D231="",FALSE,TRUE),OR(exact(Metadata!D231,"missing: not collected"),exact(Metadata!D231,"missing: not provided"))),AND(IF(Metadata!D231="",FALSE,TRUE),OR(exact(Metadata!D231,"UBERON:zone of skin"),exact(Metadata!D231,"UBERON:skin of hand"),exact(Metadata!D231,"UBERON:skin of forehead"))))</f>
        <v>0</v>
      </c>
      <c r="T231">
        <f>AND(IF(Metadata!E231="",FALSE,TRUE),exact(Metadata!E231,"human skin metagenome"))</f>
        <v>0</v>
      </c>
      <c r="U231">
        <f>AND(IF(Metadata!F231="",FALSE,TRUE),exact(Metadata!F231,"539655"))</f>
        <v>0</v>
      </c>
    </row>
    <row r="232" spans="1:21">
      <c r="A232" s="4">
        <f>IF(B232=" "," ",HYPERLINK(CONCATENATE("#metadata!",ADDRESS(INDEX($L$2:$L$1001,MATCH(ROWS($J$2:J232),$J$2:$J$1001,0),0),1)),INDEX($O$2:$O$1001,MATCH(ROWS($J$2:J232),$J$2:$J$1001,0),0)))</f>
        <v>0</v>
      </c>
      <c r="B232" s="3">
        <f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>0</v>
      </c>
      <c r="C232" s="3">
        <f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>0</v>
      </c>
      <c r="D232" s="3">
        <f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>0</v>
      </c>
      <c r="E232" s="3">
        <f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>0</v>
      </c>
      <c r="F232" s="3">
        <f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>0</v>
      </c>
      <c r="J232">
        <v>0</v>
      </c>
      <c r="K232">
        <v>0</v>
      </c>
      <c r="L232">
        <v>0</v>
      </c>
      <c r="M232">
        <f>IF(N232,TRUE,AND(Q232:U232))</f>
        <v>0</v>
      </c>
      <c r="N232">
        <f>COUNTBLANK(Metadata!B232:F232)=COLUMNS(Metadata!B232:F232)</f>
        <v>0</v>
      </c>
      <c r="O232">
        <v>0</v>
      </c>
      <c r="Q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>
        <f>AND(IF(Metadata!C232="",FALSE,TRUE),exact(Metadata!C232,"human-skin"))</f>
        <v>0</v>
      </c>
      <c r="S232">
        <f>OR(AND(IF(Metadata!D232="",FALSE,TRUE),OR(exact(Metadata!D232,"missing: not collected"),exact(Metadata!D232,"missing: not provided"))),AND(IF(Metadata!D232="",FALSE,TRUE),OR(exact(Metadata!D232,"UBERON:zone of skin"),exact(Metadata!D232,"UBERON:skin of hand"),exact(Metadata!D232,"UBERON:skin of forehead"))))</f>
        <v>0</v>
      </c>
      <c r="T232">
        <f>AND(IF(Metadata!E232="",FALSE,TRUE),exact(Metadata!E232,"human skin metagenome"))</f>
        <v>0</v>
      </c>
      <c r="U232">
        <f>AND(IF(Metadata!F232="",FALSE,TRUE),exact(Metadata!F232,"539655"))</f>
        <v>0</v>
      </c>
    </row>
    <row r="233" spans="1:21">
      <c r="A233" s="4">
        <f>IF(B233=" "," ",HYPERLINK(CONCATENATE("#metadata!",ADDRESS(INDEX($L$2:$L$1001,MATCH(ROWS($J$2:J233),$J$2:$J$1001,0),0),1)),INDEX($O$2:$O$1001,MATCH(ROWS($J$2:J233),$J$2:$J$1001,0),0)))</f>
        <v>0</v>
      </c>
      <c r="B233" s="3">
        <f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>0</v>
      </c>
      <c r="C233" s="3">
        <f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>0</v>
      </c>
      <c r="D233" s="3">
        <f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>0</v>
      </c>
      <c r="E233" s="3">
        <f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>0</v>
      </c>
      <c r="F233" s="3">
        <f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>0</v>
      </c>
      <c r="J233">
        <v>0</v>
      </c>
      <c r="K233">
        <v>0</v>
      </c>
      <c r="L233">
        <v>0</v>
      </c>
      <c r="M233">
        <f>IF(N233,TRUE,AND(Q233:U233))</f>
        <v>0</v>
      </c>
      <c r="N233">
        <f>COUNTBLANK(Metadata!B233:F233)=COLUMNS(Metadata!B233:F233)</f>
        <v>0</v>
      </c>
      <c r="O233">
        <v>0</v>
      </c>
      <c r="Q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>
        <f>AND(IF(Metadata!C233="",FALSE,TRUE),exact(Metadata!C233,"human-skin"))</f>
        <v>0</v>
      </c>
      <c r="S233">
        <f>OR(AND(IF(Metadata!D233="",FALSE,TRUE),OR(exact(Metadata!D233,"missing: not collected"),exact(Metadata!D233,"missing: not provided"))),AND(IF(Metadata!D233="",FALSE,TRUE),OR(exact(Metadata!D233,"UBERON:zone of skin"),exact(Metadata!D233,"UBERON:skin of hand"),exact(Metadata!D233,"UBERON:skin of forehead"))))</f>
        <v>0</v>
      </c>
      <c r="T233">
        <f>AND(IF(Metadata!E233="",FALSE,TRUE),exact(Metadata!E233,"human skin metagenome"))</f>
        <v>0</v>
      </c>
      <c r="U233">
        <f>AND(IF(Metadata!F233="",FALSE,TRUE),exact(Metadata!F233,"539655"))</f>
        <v>0</v>
      </c>
    </row>
    <row r="234" spans="1:21">
      <c r="A234" s="4">
        <f>IF(B234=" "," ",HYPERLINK(CONCATENATE("#metadata!",ADDRESS(INDEX($L$2:$L$1001,MATCH(ROWS($J$2:J234),$J$2:$J$1001,0),0),1)),INDEX($O$2:$O$1001,MATCH(ROWS($J$2:J234),$J$2:$J$1001,0),0)))</f>
        <v>0</v>
      </c>
      <c r="B234" s="3">
        <f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>0</v>
      </c>
      <c r="C234" s="3">
        <f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>0</v>
      </c>
      <c r="D234" s="3">
        <f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>0</v>
      </c>
      <c r="E234" s="3">
        <f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>0</v>
      </c>
      <c r="F234" s="3">
        <f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>0</v>
      </c>
      <c r="J234">
        <v>0</v>
      </c>
      <c r="K234">
        <v>0</v>
      </c>
      <c r="L234">
        <v>0</v>
      </c>
      <c r="M234">
        <f>IF(N234,TRUE,AND(Q234:U234))</f>
        <v>0</v>
      </c>
      <c r="N234">
        <f>COUNTBLANK(Metadata!B234:F234)=COLUMNS(Metadata!B234:F234)</f>
        <v>0</v>
      </c>
      <c r="O234">
        <v>0</v>
      </c>
      <c r="Q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>
        <f>AND(IF(Metadata!C234="",FALSE,TRUE),exact(Metadata!C234,"human-skin"))</f>
        <v>0</v>
      </c>
      <c r="S234">
        <f>OR(AND(IF(Metadata!D234="",FALSE,TRUE),OR(exact(Metadata!D234,"missing: not collected"),exact(Metadata!D234,"missing: not provided"))),AND(IF(Metadata!D234="",FALSE,TRUE),OR(exact(Metadata!D234,"UBERON:zone of skin"),exact(Metadata!D234,"UBERON:skin of hand"),exact(Metadata!D234,"UBERON:skin of forehead"))))</f>
        <v>0</v>
      </c>
      <c r="T234">
        <f>AND(IF(Metadata!E234="",FALSE,TRUE),exact(Metadata!E234,"human skin metagenome"))</f>
        <v>0</v>
      </c>
      <c r="U234">
        <f>AND(IF(Metadata!F234="",FALSE,TRUE),exact(Metadata!F234,"539655"))</f>
        <v>0</v>
      </c>
    </row>
    <row r="235" spans="1:21">
      <c r="A235" s="4">
        <f>IF(B235=" "," ",HYPERLINK(CONCATENATE("#metadata!",ADDRESS(INDEX($L$2:$L$1001,MATCH(ROWS($J$2:J235),$J$2:$J$1001,0),0),1)),INDEX($O$2:$O$1001,MATCH(ROWS($J$2:J235),$J$2:$J$1001,0),0)))</f>
        <v>0</v>
      </c>
      <c r="B235" s="3">
        <f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>0</v>
      </c>
      <c r="C235" s="3">
        <f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>0</v>
      </c>
      <c r="D235" s="3">
        <f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>0</v>
      </c>
      <c r="E235" s="3">
        <f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>0</v>
      </c>
      <c r="F235" s="3">
        <f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>0</v>
      </c>
      <c r="J235">
        <v>0</v>
      </c>
      <c r="K235">
        <v>0</v>
      </c>
      <c r="L235">
        <v>0</v>
      </c>
      <c r="M235">
        <f>IF(N235,TRUE,AND(Q235:U235))</f>
        <v>0</v>
      </c>
      <c r="N235">
        <f>COUNTBLANK(Metadata!B235:F235)=COLUMNS(Metadata!B235:F235)</f>
        <v>0</v>
      </c>
      <c r="O235">
        <v>0</v>
      </c>
      <c r="Q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>
        <f>AND(IF(Metadata!C235="",FALSE,TRUE),exact(Metadata!C235,"human-skin"))</f>
        <v>0</v>
      </c>
      <c r="S235">
        <f>OR(AND(IF(Metadata!D235="",FALSE,TRUE),OR(exact(Metadata!D235,"missing: not collected"),exact(Metadata!D235,"missing: not provided"))),AND(IF(Metadata!D235="",FALSE,TRUE),OR(exact(Metadata!D235,"UBERON:zone of skin"),exact(Metadata!D235,"UBERON:skin of hand"),exact(Metadata!D235,"UBERON:skin of forehead"))))</f>
        <v>0</v>
      </c>
      <c r="T235">
        <f>AND(IF(Metadata!E235="",FALSE,TRUE),exact(Metadata!E235,"human skin metagenome"))</f>
        <v>0</v>
      </c>
      <c r="U235">
        <f>AND(IF(Metadata!F235="",FALSE,TRUE),exact(Metadata!F235,"539655"))</f>
        <v>0</v>
      </c>
    </row>
    <row r="236" spans="1:21">
      <c r="A236" s="4">
        <f>IF(B236=" "," ",HYPERLINK(CONCATENATE("#metadata!",ADDRESS(INDEX($L$2:$L$1001,MATCH(ROWS($J$2:J236),$J$2:$J$1001,0),0),1)),INDEX($O$2:$O$1001,MATCH(ROWS($J$2:J236),$J$2:$J$1001,0),0)))</f>
        <v>0</v>
      </c>
      <c r="B236" s="3">
        <f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>0</v>
      </c>
      <c r="C236" s="3">
        <f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>0</v>
      </c>
      <c r="D236" s="3">
        <f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>0</v>
      </c>
      <c r="E236" s="3">
        <f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>0</v>
      </c>
      <c r="F236" s="3">
        <f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>0</v>
      </c>
      <c r="J236">
        <v>0</v>
      </c>
      <c r="K236">
        <v>0</v>
      </c>
      <c r="L236">
        <v>0</v>
      </c>
      <c r="M236">
        <f>IF(N236,TRUE,AND(Q236:U236))</f>
        <v>0</v>
      </c>
      <c r="N236">
        <f>COUNTBLANK(Metadata!B236:F236)=COLUMNS(Metadata!B236:F236)</f>
        <v>0</v>
      </c>
      <c r="O236">
        <v>0</v>
      </c>
      <c r="Q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>
        <f>AND(IF(Metadata!C236="",FALSE,TRUE),exact(Metadata!C236,"human-skin"))</f>
        <v>0</v>
      </c>
      <c r="S236">
        <f>OR(AND(IF(Metadata!D236="",FALSE,TRUE),OR(exact(Metadata!D236,"missing: not collected"),exact(Metadata!D236,"missing: not provided"))),AND(IF(Metadata!D236="",FALSE,TRUE),OR(exact(Metadata!D236,"UBERON:zone of skin"),exact(Metadata!D236,"UBERON:skin of hand"),exact(Metadata!D236,"UBERON:skin of forehead"))))</f>
        <v>0</v>
      </c>
      <c r="T236">
        <f>AND(IF(Metadata!E236="",FALSE,TRUE),exact(Metadata!E236,"human skin metagenome"))</f>
        <v>0</v>
      </c>
      <c r="U236">
        <f>AND(IF(Metadata!F236="",FALSE,TRUE),exact(Metadata!F236,"539655"))</f>
        <v>0</v>
      </c>
    </row>
    <row r="237" spans="1:21">
      <c r="A237" s="4">
        <f>IF(B237=" "," ",HYPERLINK(CONCATENATE("#metadata!",ADDRESS(INDEX($L$2:$L$1001,MATCH(ROWS($J$2:J237),$J$2:$J$1001,0),0),1)),INDEX($O$2:$O$1001,MATCH(ROWS($J$2:J237),$J$2:$J$1001,0),0)))</f>
        <v>0</v>
      </c>
      <c r="B237" s="3">
        <f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>0</v>
      </c>
      <c r="C237" s="3">
        <f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>0</v>
      </c>
      <c r="D237" s="3">
        <f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>0</v>
      </c>
      <c r="E237" s="3">
        <f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>0</v>
      </c>
      <c r="F237" s="3">
        <f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>0</v>
      </c>
      <c r="J237">
        <v>0</v>
      </c>
      <c r="K237">
        <v>0</v>
      </c>
      <c r="L237">
        <v>0</v>
      </c>
      <c r="M237">
        <f>IF(N237,TRUE,AND(Q237:U237))</f>
        <v>0</v>
      </c>
      <c r="N237">
        <f>COUNTBLANK(Metadata!B237:F237)=COLUMNS(Metadata!B237:F237)</f>
        <v>0</v>
      </c>
      <c r="O237">
        <v>0</v>
      </c>
      <c r="Q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>
        <f>AND(IF(Metadata!C237="",FALSE,TRUE),exact(Metadata!C237,"human-skin"))</f>
        <v>0</v>
      </c>
      <c r="S237">
        <f>OR(AND(IF(Metadata!D237="",FALSE,TRUE),OR(exact(Metadata!D237,"missing: not collected"),exact(Metadata!D237,"missing: not provided"))),AND(IF(Metadata!D237="",FALSE,TRUE),OR(exact(Metadata!D237,"UBERON:zone of skin"),exact(Metadata!D237,"UBERON:skin of hand"),exact(Metadata!D237,"UBERON:skin of forehead"))))</f>
        <v>0</v>
      </c>
      <c r="T237">
        <f>AND(IF(Metadata!E237="",FALSE,TRUE),exact(Metadata!E237,"human skin metagenome"))</f>
        <v>0</v>
      </c>
      <c r="U237">
        <f>AND(IF(Metadata!F237="",FALSE,TRUE),exact(Metadata!F237,"539655"))</f>
        <v>0</v>
      </c>
    </row>
    <row r="238" spans="1:21">
      <c r="A238" s="4">
        <f>IF(B238=" "," ",HYPERLINK(CONCATENATE("#metadata!",ADDRESS(INDEX($L$2:$L$1001,MATCH(ROWS($J$2:J238),$J$2:$J$1001,0),0),1)),INDEX($O$2:$O$1001,MATCH(ROWS($J$2:J238),$J$2:$J$1001,0),0)))</f>
        <v>0</v>
      </c>
      <c r="B238" s="3">
        <f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>0</v>
      </c>
      <c r="C238" s="3">
        <f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>0</v>
      </c>
      <c r="D238" s="3">
        <f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>0</v>
      </c>
      <c r="E238" s="3">
        <f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>0</v>
      </c>
      <c r="F238" s="3">
        <f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>0</v>
      </c>
      <c r="J238">
        <v>0</v>
      </c>
      <c r="K238">
        <v>0</v>
      </c>
      <c r="L238">
        <v>0</v>
      </c>
      <c r="M238">
        <f>IF(N238,TRUE,AND(Q238:U238))</f>
        <v>0</v>
      </c>
      <c r="N238">
        <f>COUNTBLANK(Metadata!B238:F238)=COLUMNS(Metadata!B238:F238)</f>
        <v>0</v>
      </c>
      <c r="O238">
        <v>0</v>
      </c>
      <c r="Q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>
        <f>AND(IF(Metadata!C238="",FALSE,TRUE),exact(Metadata!C238,"human-skin"))</f>
        <v>0</v>
      </c>
      <c r="S238">
        <f>OR(AND(IF(Metadata!D238="",FALSE,TRUE),OR(exact(Metadata!D238,"missing: not collected"),exact(Metadata!D238,"missing: not provided"))),AND(IF(Metadata!D238="",FALSE,TRUE),OR(exact(Metadata!D238,"UBERON:zone of skin"),exact(Metadata!D238,"UBERON:skin of hand"),exact(Metadata!D238,"UBERON:skin of forehead"))))</f>
        <v>0</v>
      </c>
      <c r="T238">
        <f>AND(IF(Metadata!E238="",FALSE,TRUE),exact(Metadata!E238,"human skin metagenome"))</f>
        <v>0</v>
      </c>
      <c r="U238">
        <f>AND(IF(Metadata!F238="",FALSE,TRUE),exact(Metadata!F238,"539655"))</f>
        <v>0</v>
      </c>
    </row>
    <row r="239" spans="1:21">
      <c r="A239" s="4">
        <f>IF(B239=" "," ",HYPERLINK(CONCATENATE("#metadata!",ADDRESS(INDEX($L$2:$L$1001,MATCH(ROWS($J$2:J239),$J$2:$J$1001,0),0),1)),INDEX($O$2:$O$1001,MATCH(ROWS($J$2:J239),$J$2:$J$1001,0),0)))</f>
        <v>0</v>
      </c>
      <c r="B239" s="3">
        <f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>0</v>
      </c>
      <c r="C239" s="3">
        <f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>0</v>
      </c>
      <c r="D239" s="3">
        <f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>0</v>
      </c>
      <c r="E239" s="3">
        <f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>0</v>
      </c>
      <c r="F239" s="3">
        <f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>0</v>
      </c>
      <c r="J239">
        <v>0</v>
      </c>
      <c r="K239">
        <v>0</v>
      </c>
      <c r="L239">
        <v>0</v>
      </c>
      <c r="M239">
        <f>IF(N239,TRUE,AND(Q239:U239))</f>
        <v>0</v>
      </c>
      <c r="N239">
        <f>COUNTBLANK(Metadata!B239:F239)=COLUMNS(Metadata!B239:F239)</f>
        <v>0</v>
      </c>
      <c r="O239">
        <v>0</v>
      </c>
      <c r="Q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>
        <f>AND(IF(Metadata!C239="",FALSE,TRUE),exact(Metadata!C239,"human-skin"))</f>
        <v>0</v>
      </c>
      <c r="S239">
        <f>OR(AND(IF(Metadata!D239="",FALSE,TRUE),OR(exact(Metadata!D239,"missing: not collected"),exact(Metadata!D239,"missing: not provided"))),AND(IF(Metadata!D239="",FALSE,TRUE),OR(exact(Metadata!D239,"UBERON:zone of skin"),exact(Metadata!D239,"UBERON:skin of hand"),exact(Metadata!D239,"UBERON:skin of forehead"))))</f>
        <v>0</v>
      </c>
      <c r="T239">
        <f>AND(IF(Metadata!E239="",FALSE,TRUE),exact(Metadata!E239,"human skin metagenome"))</f>
        <v>0</v>
      </c>
      <c r="U239">
        <f>AND(IF(Metadata!F239="",FALSE,TRUE),exact(Metadata!F239,"539655"))</f>
        <v>0</v>
      </c>
    </row>
    <row r="240" spans="1:21">
      <c r="A240" s="4">
        <f>IF(B240=" "," ",HYPERLINK(CONCATENATE("#metadata!",ADDRESS(INDEX($L$2:$L$1001,MATCH(ROWS($J$2:J240),$J$2:$J$1001,0),0),1)),INDEX($O$2:$O$1001,MATCH(ROWS($J$2:J240),$J$2:$J$1001,0),0)))</f>
        <v>0</v>
      </c>
      <c r="B240" s="3">
        <f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>0</v>
      </c>
      <c r="C240" s="3">
        <f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>0</v>
      </c>
      <c r="D240" s="3">
        <f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>0</v>
      </c>
      <c r="E240" s="3">
        <f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>0</v>
      </c>
      <c r="F240" s="3">
        <f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>0</v>
      </c>
      <c r="J240">
        <v>0</v>
      </c>
      <c r="K240">
        <v>0</v>
      </c>
      <c r="L240">
        <v>0</v>
      </c>
      <c r="M240">
        <f>IF(N240,TRUE,AND(Q240:U240))</f>
        <v>0</v>
      </c>
      <c r="N240">
        <f>COUNTBLANK(Metadata!B240:F240)=COLUMNS(Metadata!B240:F240)</f>
        <v>0</v>
      </c>
      <c r="O240">
        <v>0</v>
      </c>
      <c r="Q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>
        <f>AND(IF(Metadata!C240="",FALSE,TRUE),exact(Metadata!C240,"human-skin"))</f>
        <v>0</v>
      </c>
      <c r="S240">
        <f>OR(AND(IF(Metadata!D240="",FALSE,TRUE),OR(exact(Metadata!D240,"missing: not collected"),exact(Metadata!D240,"missing: not provided"))),AND(IF(Metadata!D240="",FALSE,TRUE),OR(exact(Metadata!D240,"UBERON:zone of skin"),exact(Metadata!D240,"UBERON:skin of hand"),exact(Metadata!D240,"UBERON:skin of forehead"))))</f>
        <v>0</v>
      </c>
      <c r="T240">
        <f>AND(IF(Metadata!E240="",FALSE,TRUE),exact(Metadata!E240,"human skin metagenome"))</f>
        <v>0</v>
      </c>
      <c r="U240">
        <f>AND(IF(Metadata!F240="",FALSE,TRUE),exact(Metadata!F240,"539655"))</f>
        <v>0</v>
      </c>
    </row>
    <row r="241" spans="1:21">
      <c r="A241" s="4">
        <f>IF(B241=" "," ",HYPERLINK(CONCATENATE("#metadata!",ADDRESS(INDEX($L$2:$L$1001,MATCH(ROWS($J$2:J241),$J$2:$J$1001,0),0),1)),INDEX($O$2:$O$1001,MATCH(ROWS($J$2:J241),$J$2:$J$1001,0),0)))</f>
        <v>0</v>
      </c>
      <c r="B241" s="3">
        <f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>0</v>
      </c>
      <c r="C241" s="3">
        <f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>0</v>
      </c>
      <c r="D241" s="3">
        <f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>0</v>
      </c>
      <c r="E241" s="3">
        <f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>0</v>
      </c>
      <c r="F241" s="3">
        <f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>0</v>
      </c>
      <c r="J241">
        <v>0</v>
      </c>
      <c r="K241">
        <v>0</v>
      </c>
      <c r="L241">
        <v>0</v>
      </c>
      <c r="M241">
        <f>IF(N241,TRUE,AND(Q241:U241))</f>
        <v>0</v>
      </c>
      <c r="N241">
        <f>COUNTBLANK(Metadata!B241:F241)=COLUMNS(Metadata!B241:F241)</f>
        <v>0</v>
      </c>
      <c r="O241">
        <v>0</v>
      </c>
      <c r="Q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>
        <f>AND(IF(Metadata!C241="",FALSE,TRUE),exact(Metadata!C241,"human-skin"))</f>
        <v>0</v>
      </c>
      <c r="S241">
        <f>OR(AND(IF(Metadata!D241="",FALSE,TRUE),OR(exact(Metadata!D241,"missing: not collected"),exact(Metadata!D241,"missing: not provided"))),AND(IF(Metadata!D241="",FALSE,TRUE),OR(exact(Metadata!D241,"UBERON:zone of skin"),exact(Metadata!D241,"UBERON:skin of hand"),exact(Metadata!D241,"UBERON:skin of forehead"))))</f>
        <v>0</v>
      </c>
      <c r="T241">
        <f>AND(IF(Metadata!E241="",FALSE,TRUE),exact(Metadata!E241,"human skin metagenome"))</f>
        <v>0</v>
      </c>
      <c r="U241">
        <f>AND(IF(Metadata!F241="",FALSE,TRUE),exact(Metadata!F241,"539655"))</f>
        <v>0</v>
      </c>
    </row>
    <row r="242" spans="1:21">
      <c r="A242" s="4">
        <f>IF(B242=" "," ",HYPERLINK(CONCATENATE("#metadata!",ADDRESS(INDEX($L$2:$L$1001,MATCH(ROWS($J$2:J242),$J$2:$J$1001,0),0),1)),INDEX($O$2:$O$1001,MATCH(ROWS($J$2:J242),$J$2:$J$1001,0),0)))</f>
        <v>0</v>
      </c>
      <c r="B242" s="3">
        <f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>0</v>
      </c>
      <c r="C242" s="3">
        <f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>0</v>
      </c>
      <c r="D242" s="3">
        <f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>0</v>
      </c>
      <c r="E242" s="3">
        <f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>0</v>
      </c>
      <c r="F242" s="3">
        <f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>0</v>
      </c>
      <c r="J242">
        <v>0</v>
      </c>
      <c r="K242">
        <v>0</v>
      </c>
      <c r="L242">
        <v>0</v>
      </c>
      <c r="M242">
        <f>IF(N242,TRUE,AND(Q242:U242))</f>
        <v>0</v>
      </c>
      <c r="N242">
        <f>COUNTBLANK(Metadata!B242:F242)=COLUMNS(Metadata!B242:F242)</f>
        <v>0</v>
      </c>
      <c r="O242">
        <v>0</v>
      </c>
      <c r="Q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>
        <f>AND(IF(Metadata!C242="",FALSE,TRUE),exact(Metadata!C242,"human-skin"))</f>
        <v>0</v>
      </c>
      <c r="S242">
        <f>OR(AND(IF(Metadata!D242="",FALSE,TRUE),OR(exact(Metadata!D242,"missing: not collected"),exact(Metadata!D242,"missing: not provided"))),AND(IF(Metadata!D242="",FALSE,TRUE),OR(exact(Metadata!D242,"UBERON:zone of skin"),exact(Metadata!D242,"UBERON:skin of hand"),exact(Metadata!D242,"UBERON:skin of forehead"))))</f>
        <v>0</v>
      </c>
      <c r="T242">
        <f>AND(IF(Metadata!E242="",FALSE,TRUE),exact(Metadata!E242,"human skin metagenome"))</f>
        <v>0</v>
      </c>
      <c r="U242">
        <f>AND(IF(Metadata!F242="",FALSE,TRUE),exact(Metadata!F242,"539655"))</f>
        <v>0</v>
      </c>
    </row>
    <row r="243" spans="1:21">
      <c r="A243" s="4">
        <f>IF(B243=" "," ",HYPERLINK(CONCATENATE("#metadata!",ADDRESS(INDEX($L$2:$L$1001,MATCH(ROWS($J$2:J243),$J$2:$J$1001,0),0),1)),INDEX($O$2:$O$1001,MATCH(ROWS($J$2:J243),$J$2:$J$1001,0),0)))</f>
        <v>0</v>
      </c>
      <c r="B243" s="3">
        <f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>0</v>
      </c>
      <c r="C243" s="3">
        <f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>0</v>
      </c>
      <c r="D243" s="3">
        <f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>0</v>
      </c>
      <c r="E243" s="3">
        <f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>0</v>
      </c>
      <c r="F243" s="3">
        <f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>0</v>
      </c>
      <c r="J243">
        <v>0</v>
      </c>
      <c r="K243">
        <v>0</v>
      </c>
      <c r="L243">
        <v>0</v>
      </c>
      <c r="M243">
        <f>IF(N243,TRUE,AND(Q243:U243))</f>
        <v>0</v>
      </c>
      <c r="N243">
        <f>COUNTBLANK(Metadata!B243:F243)=COLUMNS(Metadata!B243:F243)</f>
        <v>0</v>
      </c>
      <c r="O243">
        <v>0</v>
      </c>
      <c r="Q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>
        <f>AND(IF(Metadata!C243="",FALSE,TRUE),exact(Metadata!C243,"human-skin"))</f>
        <v>0</v>
      </c>
      <c r="S243">
        <f>OR(AND(IF(Metadata!D243="",FALSE,TRUE),OR(exact(Metadata!D243,"missing: not collected"),exact(Metadata!D243,"missing: not provided"))),AND(IF(Metadata!D243="",FALSE,TRUE),OR(exact(Metadata!D243,"UBERON:zone of skin"),exact(Metadata!D243,"UBERON:skin of hand"),exact(Metadata!D243,"UBERON:skin of forehead"))))</f>
        <v>0</v>
      </c>
      <c r="T243">
        <f>AND(IF(Metadata!E243="",FALSE,TRUE),exact(Metadata!E243,"human skin metagenome"))</f>
        <v>0</v>
      </c>
      <c r="U243">
        <f>AND(IF(Metadata!F243="",FALSE,TRUE),exact(Metadata!F243,"539655"))</f>
        <v>0</v>
      </c>
    </row>
    <row r="244" spans="1:21">
      <c r="A244" s="4">
        <f>IF(B244=" "," ",HYPERLINK(CONCATENATE("#metadata!",ADDRESS(INDEX($L$2:$L$1001,MATCH(ROWS($J$2:J244),$J$2:$J$1001,0),0),1)),INDEX($O$2:$O$1001,MATCH(ROWS($J$2:J244),$J$2:$J$1001,0),0)))</f>
        <v>0</v>
      </c>
      <c r="B244" s="3">
        <f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>0</v>
      </c>
      <c r="C244" s="3">
        <f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>0</v>
      </c>
      <c r="D244" s="3">
        <f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>0</v>
      </c>
      <c r="E244" s="3">
        <f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>0</v>
      </c>
      <c r="F244" s="3">
        <f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>0</v>
      </c>
      <c r="J244">
        <v>0</v>
      </c>
      <c r="K244">
        <v>0</v>
      </c>
      <c r="L244">
        <v>0</v>
      </c>
      <c r="M244">
        <f>IF(N244,TRUE,AND(Q244:U244))</f>
        <v>0</v>
      </c>
      <c r="N244">
        <f>COUNTBLANK(Metadata!B244:F244)=COLUMNS(Metadata!B244:F244)</f>
        <v>0</v>
      </c>
      <c r="O244">
        <v>0</v>
      </c>
      <c r="Q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>
        <f>AND(IF(Metadata!C244="",FALSE,TRUE),exact(Metadata!C244,"human-skin"))</f>
        <v>0</v>
      </c>
      <c r="S244">
        <f>OR(AND(IF(Metadata!D244="",FALSE,TRUE),OR(exact(Metadata!D244,"missing: not collected"),exact(Metadata!D244,"missing: not provided"))),AND(IF(Metadata!D244="",FALSE,TRUE),OR(exact(Metadata!D244,"UBERON:zone of skin"),exact(Metadata!D244,"UBERON:skin of hand"),exact(Metadata!D244,"UBERON:skin of forehead"))))</f>
        <v>0</v>
      </c>
      <c r="T244">
        <f>AND(IF(Metadata!E244="",FALSE,TRUE),exact(Metadata!E244,"human skin metagenome"))</f>
        <v>0</v>
      </c>
      <c r="U244">
        <f>AND(IF(Metadata!F244="",FALSE,TRUE),exact(Metadata!F244,"539655"))</f>
        <v>0</v>
      </c>
    </row>
    <row r="245" spans="1:21">
      <c r="A245" s="4">
        <f>IF(B245=" "," ",HYPERLINK(CONCATENATE("#metadata!",ADDRESS(INDEX($L$2:$L$1001,MATCH(ROWS($J$2:J245),$J$2:$J$1001,0),0),1)),INDEX($O$2:$O$1001,MATCH(ROWS($J$2:J245),$J$2:$J$1001,0),0)))</f>
        <v>0</v>
      </c>
      <c r="B245" s="3">
        <f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>0</v>
      </c>
      <c r="C245" s="3">
        <f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>0</v>
      </c>
      <c r="D245" s="3">
        <f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>0</v>
      </c>
      <c r="E245" s="3">
        <f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>0</v>
      </c>
      <c r="F245" s="3">
        <f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>0</v>
      </c>
      <c r="J245">
        <v>0</v>
      </c>
      <c r="K245">
        <v>0</v>
      </c>
      <c r="L245">
        <v>0</v>
      </c>
      <c r="M245">
        <f>IF(N245,TRUE,AND(Q245:U245))</f>
        <v>0</v>
      </c>
      <c r="N245">
        <f>COUNTBLANK(Metadata!B245:F245)=COLUMNS(Metadata!B245:F245)</f>
        <v>0</v>
      </c>
      <c r="O245">
        <v>0</v>
      </c>
      <c r="Q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>
        <f>AND(IF(Metadata!C245="",FALSE,TRUE),exact(Metadata!C245,"human-skin"))</f>
        <v>0</v>
      </c>
      <c r="S245">
        <f>OR(AND(IF(Metadata!D245="",FALSE,TRUE),OR(exact(Metadata!D245,"missing: not collected"),exact(Metadata!D245,"missing: not provided"))),AND(IF(Metadata!D245="",FALSE,TRUE),OR(exact(Metadata!D245,"UBERON:zone of skin"),exact(Metadata!D245,"UBERON:skin of hand"),exact(Metadata!D245,"UBERON:skin of forehead"))))</f>
        <v>0</v>
      </c>
      <c r="T245">
        <f>AND(IF(Metadata!E245="",FALSE,TRUE),exact(Metadata!E245,"human skin metagenome"))</f>
        <v>0</v>
      </c>
      <c r="U245">
        <f>AND(IF(Metadata!F245="",FALSE,TRUE),exact(Metadata!F245,"539655"))</f>
        <v>0</v>
      </c>
    </row>
    <row r="246" spans="1:21">
      <c r="A246" s="4">
        <f>IF(B246=" "," ",HYPERLINK(CONCATENATE("#metadata!",ADDRESS(INDEX($L$2:$L$1001,MATCH(ROWS($J$2:J246),$J$2:$J$1001,0),0),1)),INDEX($O$2:$O$1001,MATCH(ROWS($J$2:J246),$J$2:$J$1001,0),0)))</f>
        <v>0</v>
      </c>
      <c r="B246" s="3">
        <f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>0</v>
      </c>
      <c r="C246" s="3">
        <f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>0</v>
      </c>
      <c r="D246" s="3">
        <f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>0</v>
      </c>
      <c r="E246" s="3">
        <f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>0</v>
      </c>
      <c r="F246" s="3">
        <f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>0</v>
      </c>
      <c r="J246">
        <v>0</v>
      </c>
      <c r="K246">
        <v>0</v>
      </c>
      <c r="L246">
        <v>0</v>
      </c>
      <c r="M246">
        <f>IF(N246,TRUE,AND(Q246:U246))</f>
        <v>0</v>
      </c>
      <c r="N246">
        <f>COUNTBLANK(Metadata!B246:F246)=COLUMNS(Metadata!B246:F246)</f>
        <v>0</v>
      </c>
      <c r="O246">
        <v>0</v>
      </c>
      <c r="Q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>
        <f>AND(IF(Metadata!C246="",FALSE,TRUE),exact(Metadata!C246,"human-skin"))</f>
        <v>0</v>
      </c>
      <c r="S246">
        <f>OR(AND(IF(Metadata!D246="",FALSE,TRUE),OR(exact(Metadata!D246,"missing: not collected"),exact(Metadata!D246,"missing: not provided"))),AND(IF(Metadata!D246="",FALSE,TRUE),OR(exact(Metadata!D246,"UBERON:zone of skin"),exact(Metadata!D246,"UBERON:skin of hand"),exact(Metadata!D246,"UBERON:skin of forehead"))))</f>
        <v>0</v>
      </c>
      <c r="T246">
        <f>AND(IF(Metadata!E246="",FALSE,TRUE),exact(Metadata!E246,"human skin metagenome"))</f>
        <v>0</v>
      </c>
      <c r="U246">
        <f>AND(IF(Metadata!F246="",FALSE,TRUE),exact(Metadata!F246,"539655"))</f>
        <v>0</v>
      </c>
    </row>
    <row r="247" spans="1:21">
      <c r="A247" s="4">
        <f>IF(B247=" "," ",HYPERLINK(CONCATENATE("#metadata!",ADDRESS(INDEX($L$2:$L$1001,MATCH(ROWS($J$2:J247),$J$2:$J$1001,0),0),1)),INDEX($O$2:$O$1001,MATCH(ROWS($J$2:J247),$J$2:$J$1001,0),0)))</f>
        <v>0</v>
      </c>
      <c r="B247" s="3">
        <f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>0</v>
      </c>
      <c r="C247" s="3">
        <f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>0</v>
      </c>
      <c r="D247" s="3">
        <f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>0</v>
      </c>
      <c r="E247" s="3">
        <f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>0</v>
      </c>
      <c r="F247" s="3">
        <f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>0</v>
      </c>
      <c r="J247">
        <v>0</v>
      </c>
      <c r="K247">
        <v>0</v>
      </c>
      <c r="L247">
        <v>0</v>
      </c>
      <c r="M247">
        <f>IF(N247,TRUE,AND(Q247:U247))</f>
        <v>0</v>
      </c>
      <c r="N247">
        <f>COUNTBLANK(Metadata!B247:F247)=COLUMNS(Metadata!B247:F247)</f>
        <v>0</v>
      </c>
      <c r="O247">
        <v>0</v>
      </c>
      <c r="Q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>
        <f>AND(IF(Metadata!C247="",FALSE,TRUE),exact(Metadata!C247,"human-skin"))</f>
        <v>0</v>
      </c>
      <c r="S247">
        <f>OR(AND(IF(Metadata!D247="",FALSE,TRUE),OR(exact(Metadata!D247,"missing: not collected"),exact(Metadata!D247,"missing: not provided"))),AND(IF(Metadata!D247="",FALSE,TRUE),OR(exact(Metadata!D247,"UBERON:zone of skin"),exact(Metadata!D247,"UBERON:skin of hand"),exact(Metadata!D247,"UBERON:skin of forehead"))))</f>
        <v>0</v>
      </c>
      <c r="T247">
        <f>AND(IF(Metadata!E247="",FALSE,TRUE),exact(Metadata!E247,"human skin metagenome"))</f>
        <v>0</v>
      </c>
      <c r="U247">
        <f>AND(IF(Metadata!F247="",FALSE,TRUE),exact(Metadata!F247,"539655"))</f>
        <v>0</v>
      </c>
    </row>
    <row r="248" spans="1:21">
      <c r="A248" s="4">
        <f>IF(B248=" "," ",HYPERLINK(CONCATENATE("#metadata!",ADDRESS(INDEX($L$2:$L$1001,MATCH(ROWS($J$2:J248),$J$2:$J$1001,0),0),1)),INDEX($O$2:$O$1001,MATCH(ROWS($J$2:J248),$J$2:$J$1001,0),0)))</f>
        <v>0</v>
      </c>
      <c r="B248" s="3">
        <f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>0</v>
      </c>
      <c r="C248" s="3">
        <f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>0</v>
      </c>
      <c r="D248" s="3">
        <f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>0</v>
      </c>
      <c r="E248" s="3">
        <f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>0</v>
      </c>
      <c r="F248" s="3">
        <f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>0</v>
      </c>
      <c r="J248">
        <v>0</v>
      </c>
      <c r="K248">
        <v>0</v>
      </c>
      <c r="L248">
        <v>0</v>
      </c>
      <c r="M248">
        <f>IF(N248,TRUE,AND(Q248:U248))</f>
        <v>0</v>
      </c>
      <c r="N248">
        <f>COUNTBLANK(Metadata!B248:F248)=COLUMNS(Metadata!B248:F248)</f>
        <v>0</v>
      </c>
      <c r="O248">
        <v>0</v>
      </c>
      <c r="Q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>
        <f>AND(IF(Metadata!C248="",FALSE,TRUE),exact(Metadata!C248,"human-skin"))</f>
        <v>0</v>
      </c>
      <c r="S248">
        <f>OR(AND(IF(Metadata!D248="",FALSE,TRUE),OR(exact(Metadata!D248,"missing: not collected"),exact(Metadata!D248,"missing: not provided"))),AND(IF(Metadata!D248="",FALSE,TRUE),OR(exact(Metadata!D248,"UBERON:zone of skin"),exact(Metadata!D248,"UBERON:skin of hand"),exact(Metadata!D248,"UBERON:skin of forehead"))))</f>
        <v>0</v>
      </c>
      <c r="T248">
        <f>AND(IF(Metadata!E248="",FALSE,TRUE),exact(Metadata!E248,"human skin metagenome"))</f>
        <v>0</v>
      </c>
      <c r="U248">
        <f>AND(IF(Metadata!F248="",FALSE,TRUE),exact(Metadata!F248,"539655"))</f>
        <v>0</v>
      </c>
    </row>
    <row r="249" spans="1:21">
      <c r="A249" s="4">
        <f>IF(B249=" "," ",HYPERLINK(CONCATENATE("#metadata!",ADDRESS(INDEX($L$2:$L$1001,MATCH(ROWS($J$2:J249),$J$2:$J$1001,0),0),1)),INDEX($O$2:$O$1001,MATCH(ROWS($J$2:J249),$J$2:$J$1001,0),0)))</f>
        <v>0</v>
      </c>
      <c r="B249" s="3">
        <f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>0</v>
      </c>
      <c r="C249" s="3">
        <f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>0</v>
      </c>
      <c r="D249" s="3">
        <f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>0</v>
      </c>
      <c r="E249" s="3">
        <f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>0</v>
      </c>
      <c r="F249" s="3">
        <f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>0</v>
      </c>
      <c r="J249">
        <v>0</v>
      </c>
      <c r="K249">
        <v>0</v>
      </c>
      <c r="L249">
        <v>0</v>
      </c>
      <c r="M249">
        <f>IF(N249,TRUE,AND(Q249:U249))</f>
        <v>0</v>
      </c>
      <c r="N249">
        <f>COUNTBLANK(Metadata!B249:F249)=COLUMNS(Metadata!B249:F249)</f>
        <v>0</v>
      </c>
      <c r="O249">
        <v>0</v>
      </c>
      <c r="Q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>
        <f>AND(IF(Metadata!C249="",FALSE,TRUE),exact(Metadata!C249,"human-skin"))</f>
        <v>0</v>
      </c>
      <c r="S249">
        <f>OR(AND(IF(Metadata!D249="",FALSE,TRUE),OR(exact(Metadata!D249,"missing: not collected"),exact(Metadata!D249,"missing: not provided"))),AND(IF(Metadata!D249="",FALSE,TRUE),OR(exact(Metadata!D249,"UBERON:zone of skin"),exact(Metadata!D249,"UBERON:skin of hand"),exact(Metadata!D249,"UBERON:skin of forehead"))))</f>
        <v>0</v>
      </c>
      <c r="T249">
        <f>AND(IF(Metadata!E249="",FALSE,TRUE),exact(Metadata!E249,"human skin metagenome"))</f>
        <v>0</v>
      </c>
      <c r="U249">
        <f>AND(IF(Metadata!F249="",FALSE,TRUE),exact(Metadata!F249,"539655"))</f>
        <v>0</v>
      </c>
    </row>
    <row r="250" spans="1:21">
      <c r="A250" s="4">
        <f>IF(B250=" "," ",HYPERLINK(CONCATENATE("#metadata!",ADDRESS(INDEX($L$2:$L$1001,MATCH(ROWS($J$2:J250),$J$2:$J$1001,0),0),1)),INDEX($O$2:$O$1001,MATCH(ROWS($J$2:J250),$J$2:$J$1001,0),0)))</f>
        <v>0</v>
      </c>
      <c r="B250" s="3">
        <f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>0</v>
      </c>
      <c r="C250" s="3">
        <f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>0</v>
      </c>
      <c r="D250" s="3">
        <f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>0</v>
      </c>
      <c r="E250" s="3">
        <f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>0</v>
      </c>
      <c r="F250" s="3">
        <f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>0</v>
      </c>
      <c r="J250">
        <v>0</v>
      </c>
      <c r="K250">
        <v>0</v>
      </c>
      <c r="L250">
        <v>0</v>
      </c>
      <c r="M250">
        <f>IF(N250,TRUE,AND(Q250:U250))</f>
        <v>0</v>
      </c>
      <c r="N250">
        <f>COUNTBLANK(Metadata!B250:F250)=COLUMNS(Metadata!B250:F250)</f>
        <v>0</v>
      </c>
      <c r="O250">
        <v>0</v>
      </c>
      <c r="Q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>
        <f>AND(IF(Metadata!C250="",FALSE,TRUE),exact(Metadata!C250,"human-skin"))</f>
        <v>0</v>
      </c>
      <c r="S250">
        <f>OR(AND(IF(Metadata!D250="",FALSE,TRUE),OR(exact(Metadata!D250,"missing: not collected"),exact(Metadata!D250,"missing: not provided"))),AND(IF(Metadata!D250="",FALSE,TRUE),OR(exact(Metadata!D250,"UBERON:zone of skin"),exact(Metadata!D250,"UBERON:skin of hand"),exact(Metadata!D250,"UBERON:skin of forehead"))))</f>
        <v>0</v>
      </c>
      <c r="T250">
        <f>AND(IF(Metadata!E250="",FALSE,TRUE),exact(Metadata!E250,"human skin metagenome"))</f>
        <v>0</v>
      </c>
      <c r="U250">
        <f>AND(IF(Metadata!F250="",FALSE,TRUE),exact(Metadata!F250,"539655"))</f>
        <v>0</v>
      </c>
    </row>
    <row r="251" spans="1:21">
      <c r="A251" s="4">
        <f>IF(B251=" "," ",HYPERLINK(CONCATENATE("#metadata!",ADDRESS(INDEX($L$2:$L$1001,MATCH(ROWS($J$2:J251),$J$2:$J$1001,0),0),1)),INDEX($O$2:$O$1001,MATCH(ROWS($J$2:J251),$J$2:$J$1001,0),0)))</f>
        <v>0</v>
      </c>
      <c r="B251" s="3">
        <f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>0</v>
      </c>
      <c r="C251" s="3">
        <f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>0</v>
      </c>
      <c r="D251" s="3">
        <f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>0</v>
      </c>
      <c r="E251" s="3">
        <f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>0</v>
      </c>
      <c r="F251" s="3">
        <f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>0</v>
      </c>
      <c r="J251">
        <v>0</v>
      </c>
      <c r="K251">
        <v>0</v>
      </c>
      <c r="L251">
        <v>0</v>
      </c>
      <c r="M251">
        <f>IF(N251,TRUE,AND(Q251:U251))</f>
        <v>0</v>
      </c>
      <c r="N251">
        <f>COUNTBLANK(Metadata!B251:F251)=COLUMNS(Metadata!B251:F251)</f>
        <v>0</v>
      </c>
      <c r="O251">
        <v>0</v>
      </c>
      <c r="Q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>
        <f>AND(IF(Metadata!C251="",FALSE,TRUE),exact(Metadata!C251,"human-skin"))</f>
        <v>0</v>
      </c>
      <c r="S251">
        <f>OR(AND(IF(Metadata!D251="",FALSE,TRUE),OR(exact(Metadata!D251,"missing: not collected"),exact(Metadata!D251,"missing: not provided"))),AND(IF(Metadata!D251="",FALSE,TRUE),OR(exact(Metadata!D251,"UBERON:zone of skin"),exact(Metadata!D251,"UBERON:skin of hand"),exact(Metadata!D251,"UBERON:skin of forehead"))))</f>
        <v>0</v>
      </c>
      <c r="T251">
        <f>AND(IF(Metadata!E251="",FALSE,TRUE),exact(Metadata!E251,"human skin metagenome"))</f>
        <v>0</v>
      </c>
      <c r="U251">
        <f>AND(IF(Metadata!F251="",FALSE,TRUE),exact(Metadata!F251,"539655"))</f>
        <v>0</v>
      </c>
    </row>
    <row r="252" spans="1:21">
      <c r="A252" s="4">
        <f>IF(B252=" "," ",HYPERLINK(CONCATENATE("#metadata!",ADDRESS(INDEX($L$2:$L$1001,MATCH(ROWS($J$2:J252),$J$2:$J$1001,0),0),1)),INDEX($O$2:$O$1001,MATCH(ROWS($J$2:J252),$J$2:$J$1001,0),0)))</f>
        <v>0</v>
      </c>
      <c r="B252" s="3">
        <f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>0</v>
      </c>
      <c r="C252" s="3">
        <f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>0</v>
      </c>
      <c r="D252" s="3">
        <f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>0</v>
      </c>
      <c r="E252" s="3">
        <f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>0</v>
      </c>
      <c r="F252" s="3">
        <f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>0</v>
      </c>
      <c r="J252">
        <v>0</v>
      </c>
      <c r="K252">
        <v>0</v>
      </c>
      <c r="L252">
        <v>0</v>
      </c>
      <c r="M252">
        <f>IF(N252,TRUE,AND(Q252:U252))</f>
        <v>0</v>
      </c>
      <c r="N252">
        <f>COUNTBLANK(Metadata!B252:F252)=COLUMNS(Metadata!B252:F252)</f>
        <v>0</v>
      </c>
      <c r="O252">
        <v>0</v>
      </c>
      <c r="Q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>
        <f>AND(IF(Metadata!C252="",FALSE,TRUE),exact(Metadata!C252,"human-skin"))</f>
        <v>0</v>
      </c>
      <c r="S252">
        <f>OR(AND(IF(Metadata!D252="",FALSE,TRUE),OR(exact(Metadata!D252,"missing: not collected"),exact(Metadata!D252,"missing: not provided"))),AND(IF(Metadata!D252="",FALSE,TRUE),OR(exact(Metadata!D252,"UBERON:zone of skin"),exact(Metadata!D252,"UBERON:skin of hand"),exact(Metadata!D252,"UBERON:skin of forehead"))))</f>
        <v>0</v>
      </c>
      <c r="T252">
        <f>AND(IF(Metadata!E252="",FALSE,TRUE),exact(Metadata!E252,"human skin metagenome"))</f>
        <v>0</v>
      </c>
      <c r="U252">
        <f>AND(IF(Metadata!F252="",FALSE,TRUE),exact(Metadata!F252,"539655"))</f>
        <v>0</v>
      </c>
    </row>
    <row r="253" spans="1:21">
      <c r="A253" s="4">
        <f>IF(B253=" "," ",HYPERLINK(CONCATENATE("#metadata!",ADDRESS(INDEX($L$2:$L$1001,MATCH(ROWS($J$2:J253),$J$2:$J$1001,0),0),1)),INDEX($O$2:$O$1001,MATCH(ROWS($J$2:J253),$J$2:$J$1001,0),0)))</f>
        <v>0</v>
      </c>
      <c r="B253" s="3">
        <f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>0</v>
      </c>
      <c r="C253" s="3">
        <f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>0</v>
      </c>
      <c r="D253" s="3">
        <f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>0</v>
      </c>
      <c r="E253" s="3">
        <f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>0</v>
      </c>
      <c r="F253" s="3">
        <f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>0</v>
      </c>
      <c r="J253">
        <v>0</v>
      </c>
      <c r="K253">
        <v>0</v>
      </c>
      <c r="L253">
        <v>0</v>
      </c>
      <c r="M253">
        <f>IF(N253,TRUE,AND(Q253:U253))</f>
        <v>0</v>
      </c>
      <c r="N253">
        <f>COUNTBLANK(Metadata!B253:F253)=COLUMNS(Metadata!B253:F253)</f>
        <v>0</v>
      </c>
      <c r="O253">
        <v>0</v>
      </c>
      <c r="Q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>
        <f>AND(IF(Metadata!C253="",FALSE,TRUE),exact(Metadata!C253,"human-skin"))</f>
        <v>0</v>
      </c>
      <c r="S253">
        <f>OR(AND(IF(Metadata!D253="",FALSE,TRUE),OR(exact(Metadata!D253,"missing: not collected"),exact(Metadata!D253,"missing: not provided"))),AND(IF(Metadata!D253="",FALSE,TRUE),OR(exact(Metadata!D253,"UBERON:zone of skin"),exact(Metadata!D253,"UBERON:skin of hand"),exact(Metadata!D253,"UBERON:skin of forehead"))))</f>
        <v>0</v>
      </c>
      <c r="T253">
        <f>AND(IF(Metadata!E253="",FALSE,TRUE),exact(Metadata!E253,"human skin metagenome"))</f>
        <v>0</v>
      </c>
      <c r="U253">
        <f>AND(IF(Metadata!F253="",FALSE,TRUE),exact(Metadata!F253,"539655"))</f>
        <v>0</v>
      </c>
    </row>
    <row r="254" spans="1:21">
      <c r="A254" s="4">
        <f>IF(B254=" "," ",HYPERLINK(CONCATENATE("#metadata!",ADDRESS(INDEX($L$2:$L$1001,MATCH(ROWS($J$2:J254),$J$2:$J$1001,0),0),1)),INDEX($O$2:$O$1001,MATCH(ROWS($J$2:J254),$J$2:$J$1001,0),0)))</f>
        <v>0</v>
      </c>
      <c r="B254" s="3">
        <f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>0</v>
      </c>
      <c r="C254" s="3">
        <f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>0</v>
      </c>
      <c r="D254" s="3">
        <f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>0</v>
      </c>
      <c r="E254" s="3">
        <f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>0</v>
      </c>
      <c r="F254" s="3">
        <f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>0</v>
      </c>
      <c r="J254">
        <v>0</v>
      </c>
      <c r="K254">
        <v>0</v>
      </c>
      <c r="L254">
        <v>0</v>
      </c>
      <c r="M254">
        <f>IF(N254,TRUE,AND(Q254:U254))</f>
        <v>0</v>
      </c>
      <c r="N254">
        <f>COUNTBLANK(Metadata!B254:F254)=COLUMNS(Metadata!B254:F254)</f>
        <v>0</v>
      </c>
      <c r="O254">
        <v>0</v>
      </c>
      <c r="Q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>
        <f>AND(IF(Metadata!C254="",FALSE,TRUE),exact(Metadata!C254,"human-skin"))</f>
        <v>0</v>
      </c>
      <c r="S254">
        <f>OR(AND(IF(Metadata!D254="",FALSE,TRUE),OR(exact(Metadata!D254,"missing: not collected"),exact(Metadata!D254,"missing: not provided"))),AND(IF(Metadata!D254="",FALSE,TRUE),OR(exact(Metadata!D254,"UBERON:zone of skin"),exact(Metadata!D254,"UBERON:skin of hand"),exact(Metadata!D254,"UBERON:skin of forehead"))))</f>
        <v>0</v>
      </c>
      <c r="T254">
        <f>AND(IF(Metadata!E254="",FALSE,TRUE),exact(Metadata!E254,"human skin metagenome"))</f>
        <v>0</v>
      </c>
      <c r="U254">
        <f>AND(IF(Metadata!F254="",FALSE,TRUE),exact(Metadata!F254,"539655"))</f>
        <v>0</v>
      </c>
    </row>
    <row r="255" spans="1:21">
      <c r="A255" s="4">
        <f>IF(B255=" "," ",HYPERLINK(CONCATENATE("#metadata!",ADDRESS(INDEX($L$2:$L$1001,MATCH(ROWS($J$2:J255),$J$2:$J$1001,0),0),1)),INDEX($O$2:$O$1001,MATCH(ROWS($J$2:J255),$J$2:$J$1001,0),0)))</f>
        <v>0</v>
      </c>
      <c r="B255" s="3">
        <f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>0</v>
      </c>
      <c r="C255" s="3">
        <f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>0</v>
      </c>
      <c r="D255" s="3">
        <f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>0</v>
      </c>
      <c r="E255" s="3">
        <f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>0</v>
      </c>
      <c r="F255" s="3">
        <f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>0</v>
      </c>
      <c r="J255">
        <v>0</v>
      </c>
      <c r="K255">
        <v>0</v>
      </c>
      <c r="L255">
        <v>0</v>
      </c>
      <c r="M255">
        <f>IF(N255,TRUE,AND(Q255:U255))</f>
        <v>0</v>
      </c>
      <c r="N255">
        <f>COUNTBLANK(Metadata!B255:F255)=COLUMNS(Metadata!B255:F255)</f>
        <v>0</v>
      </c>
      <c r="O255">
        <v>0</v>
      </c>
      <c r="Q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>
        <f>AND(IF(Metadata!C255="",FALSE,TRUE),exact(Metadata!C255,"human-skin"))</f>
        <v>0</v>
      </c>
      <c r="S255">
        <f>OR(AND(IF(Metadata!D255="",FALSE,TRUE),OR(exact(Metadata!D255,"missing: not collected"),exact(Metadata!D255,"missing: not provided"))),AND(IF(Metadata!D255="",FALSE,TRUE),OR(exact(Metadata!D255,"UBERON:zone of skin"),exact(Metadata!D255,"UBERON:skin of hand"),exact(Metadata!D255,"UBERON:skin of forehead"))))</f>
        <v>0</v>
      </c>
      <c r="T255">
        <f>AND(IF(Metadata!E255="",FALSE,TRUE),exact(Metadata!E255,"human skin metagenome"))</f>
        <v>0</v>
      </c>
      <c r="U255">
        <f>AND(IF(Metadata!F255="",FALSE,TRUE),exact(Metadata!F255,"539655"))</f>
        <v>0</v>
      </c>
    </row>
    <row r="256" spans="1:21">
      <c r="A256" s="4">
        <f>IF(B256=" "," ",HYPERLINK(CONCATENATE("#metadata!",ADDRESS(INDEX($L$2:$L$1001,MATCH(ROWS($J$2:J256),$J$2:$J$1001,0),0),1)),INDEX($O$2:$O$1001,MATCH(ROWS($J$2:J256),$J$2:$J$1001,0),0)))</f>
        <v>0</v>
      </c>
      <c r="B256" s="3">
        <f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>0</v>
      </c>
      <c r="C256" s="3">
        <f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>0</v>
      </c>
      <c r="D256" s="3">
        <f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>0</v>
      </c>
      <c r="E256" s="3">
        <f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>0</v>
      </c>
      <c r="F256" s="3">
        <f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>0</v>
      </c>
      <c r="J256">
        <v>0</v>
      </c>
      <c r="K256">
        <v>0</v>
      </c>
      <c r="L256">
        <v>0</v>
      </c>
      <c r="M256">
        <f>IF(N256,TRUE,AND(Q256:U256))</f>
        <v>0</v>
      </c>
      <c r="N256">
        <f>COUNTBLANK(Metadata!B256:F256)=COLUMNS(Metadata!B256:F256)</f>
        <v>0</v>
      </c>
      <c r="O256">
        <v>0</v>
      </c>
      <c r="Q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>
        <f>AND(IF(Metadata!C256="",FALSE,TRUE),exact(Metadata!C256,"human-skin"))</f>
        <v>0</v>
      </c>
      <c r="S256">
        <f>OR(AND(IF(Metadata!D256="",FALSE,TRUE),OR(exact(Metadata!D256,"missing: not collected"),exact(Metadata!D256,"missing: not provided"))),AND(IF(Metadata!D256="",FALSE,TRUE),OR(exact(Metadata!D256,"UBERON:zone of skin"),exact(Metadata!D256,"UBERON:skin of hand"),exact(Metadata!D256,"UBERON:skin of forehead"))))</f>
        <v>0</v>
      </c>
      <c r="T256">
        <f>AND(IF(Metadata!E256="",FALSE,TRUE),exact(Metadata!E256,"human skin metagenome"))</f>
        <v>0</v>
      </c>
      <c r="U256">
        <f>AND(IF(Metadata!F256="",FALSE,TRUE),exact(Metadata!F256,"539655"))</f>
        <v>0</v>
      </c>
    </row>
    <row r="257" spans="1:21">
      <c r="A257" s="4">
        <f>IF(B257=" "," ",HYPERLINK(CONCATENATE("#metadata!",ADDRESS(INDEX($L$2:$L$1001,MATCH(ROWS($J$2:J257),$J$2:$J$1001,0),0),1)),INDEX($O$2:$O$1001,MATCH(ROWS($J$2:J257),$J$2:$J$1001,0),0)))</f>
        <v>0</v>
      </c>
      <c r="B257" s="3">
        <f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>0</v>
      </c>
      <c r="C257" s="3">
        <f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>0</v>
      </c>
      <c r="D257" s="3">
        <f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>0</v>
      </c>
      <c r="E257" s="3">
        <f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>0</v>
      </c>
      <c r="F257" s="3">
        <f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>0</v>
      </c>
      <c r="J257">
        <v>0</v>
      </c>
      <c r="K257">
        <v>0</v>
      </c>
      <c r="L257">
        <v>0</v>
      </c>
      <c r="M257">
        <f>IF(N257,TRUE,AND(Q257:U257))</f>
        <v>0</v>
      </c>
      <c r="N257">
        <f>COUNTBLANK(Metadata!B257:F257)=COLUMNS(Metadata!B257:F257)</f>
        <v>0</v>
      </c>
      <c r="O257">
        <v>0</v>
      </c>
      <c r="Q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>
        <f>AND(IF(Metadata!C257="",FALSE,TRUE),exact(Metadata!C257,"human-skin"))</f>
        <v>0</v>
      </c>
      <c r="S257">
        <f>OR(AND(IF(Metadata!D257="",FALSE,TRUE),OR(exact(Metadata!D257,"missing: not collected"),exact(Metadata!D257,"missing: not provided"))),AND(IF(Metadata!D257="",FALSE,TRUE),OR(exact(Metadata!D257,"UBERON:zone of skin"),exact(Metadata!D257,"UBERON:skin of hand"),exact(Metadata!D257,"UBERON:skin of forehead"))))</f>
        <v>0</v>
      </c>
      <c r="T257">
        <f>AND(IF(Metadata!E257="",FALSE,TRUE),exact(Metadata!E257,"human skin metagenome"))</f>
        <v>0</v>
      </c>
      <c r="U257">
        <f>AND(IF(Metadata!F257="",FALSE,TRUE),exact(Metadata!F257,"539655"))</f>
        <v>0</v>
      </c>
    </row>
    <row r="258" spans="1:21">
      <c r="A258" s="4">
        <f>IF(B258=" "," ",HYPERLINK(CONCATENATE("#metadata!",ADDRESS(INDEX($L$2:$L$1001,MATCH(ROWS($J$2:J258),$J$2:$J$1001,0),0),1)),INDEX($O$2:$O$1001,MATCH(ROWS($J$2:J258),$J$2:$J$1001,0),0)))</f>
        <v>0</v>
      </c>
      <c r="B258" s="3">
        <f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>0</v>
      </c>
      <c r="C258" s="3">
        <f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>0</v>
      </c>
      <c r="D258" s="3">
        <f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>0</v>
      </c>
      <c r="E258" s="3">
        <f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>0</v>
      </c>
      <c r="F258" s="3">
        <f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>0</v>
      </c>
      <c r="J258">
        <v>0</v>
      </c>
      <c r="K258">
        <v>0</v>
      </c>
      <c r="L258">
        <v>0</v>
      </c>
      <c r="M258">
        <f>IF(N258,TRUE,AND(Q258:U258))</f>
        <v>0</v>
      </c>
      <c r="N258">
        <f>COUNTBLANK(Metadata!B258:F258)=COLUMNS(Metadata!B258:F258)</f>
        <v>0</v>
      </c>
      <c r="O258">
        <v>0</v>
      </c>
      <c r="Q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>
        <f>AND(IF(Metadata!C258="",FALSE,TRUE),exact(Metadata!C258,"human-skin"))</f>
        <v>0</v>
      </c>
      <c r="S258">
        <f>OR(AND(IF(Metadata!D258="",FALSE,TRUE),OR(exact(Metadata!D258,"missing: not collected"),exact(Metadata!D258,"missing: not provided"))),AND(IF(Metadata!D258="",FALSE,TRUE),OR(exact(Metadata!D258,"UBERON:zone of skin"),exact(Metadata!D258,"UBERON:skin of hand"),exact(Metadata!D258,"UBERON:skin of forehead"))))</f>
        <v>0</v>
      </c>
      <c r="T258">
        <f>AND(IF(Metadata!E258="",FALSE,TRUE),exact(Metadata!E258,"human skin metagenome"))</f>
        <v>0</v>
      </c>
      <c r="U258">
        <f>AND(IF(Metadata!F258="",FALSE,TRUE),exact(Metadata!F258,"539655"))</f>
        <v>0</v>
      </c>
    </row>
    <row r="259" spans="1:21">
      <c r="A259" s="4">
        <f>IF(B259=" "," ",HYPERLINK(CONCATENATE("#metadata!",ADDRESS(INDEX($L$2:$L$1001,MATCH(ROWS($J$2:J259),$J$2:$J$1001,0),0),1)),INDEX($O$2:$O$1001,MATCH(ROWS($J$2:J259),$J$2:$J$1001,0),0)))</f>
        <v>0</v>
      </c>
      <c r="B259" s="3">
        <f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>0</v>
      </c>
      <c r="C259" s="3">
        <f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>0</v>
      </c>
      <c r="D259" s="3">
        <f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>0</v>
      </c>
      <c r="E259" s="3">
        <f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>0</v>
      </c>
      <c r="F259" s="3">
        <f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>0</v>
      </c>
      <c r="J259">
        <v>0</v>
      </c>
      <c r="K259">
        <v>0</v>
      </c>
      <c r="L259">
        <v>0</v>
      </c>
      <c r="M259">
        <f>IF(N259,TRUE,AND(Q259:U259))</f>
        <v>0</v>
      </c>
      <c r="N259">
        <f>COUNTBLANK(Metadata!B259:F259)=COLUMNS(Metadata!B259:F259)</f>
        <v>0</v>
      </c>
      <c r="O259">
        <v>0</v>
      </c>
      <c r="Q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>
        <f>AND(IF(Metadata!C259="",FALSE,TRUE),exact(Metadata!C259,"human-skin"))</f>
        <v>0</v>
      </c>
      <c r="S259">
        <f>OR(AND(IF(Metadata!D259="",FALSE,TRUE),OR(exact(Metadata!D259,"missing: not collected"),exact(Metadata!D259,"missing: not provided"))),AND(IF(Metadata!D259="",FALSE,TRUE),OR(exact(Metadata!D259,"UBERON:zone of skin"),exact(Metadata!D259,"UBERON:skin of hand"),exact(Metadata!D259,"UBERON:skin of forehead"))))</f>
        <v>0</v>
      </c>
      <c r="T259">
        <f>AND(IF(Metadata!E259="",FALSE,TRUE),exact(Metadata!E259,"human skin metagenome"))</f>
        <v>0</v>
      </c>
      <c r="U259">
        <f>AND(IF(Metadata!F259="",FALSE,TRUE),exact(Metadata!F259,"539655"))</f>
        <v>0</v>
      </c>
    </row>
    <row r="260" spans="1:21">
      <c r="A260" s="4">
        <f>IF(B260=" "," ",HYPERLINK(CONCATENATE("#metadata!",ADDRESS(INDEX($L$2:$L$1001,MATCH(ROWS($J$2:J260),$J$2:$J$1001,0),0),1)),INDEX($O$2:$O$1001,MATCH(ROWS($J$2:J260),$J$2:$J$1001,0),0)))</f>
        <v>0</v>
      </c>
      <c r="B260" s="3">
        <f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>0</v>
      </c>
      <c r="C260" s="3">
        <f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>0</v>
      </c>
      <c r="D260" s="3">
        <f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>0</v>
      </c>
      <c r="E260" s="3">
        <f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>0</v>
      </c>
      <c r="F260" s="3">
        <f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>0</v>
      </c>
      <c r="J260">
        <v>0</v>
      </c>
      <c r="K260">
        <v>0</v>
      </c>
      <c r="L260">
        <v>0</v>
      </c>
      <c r="M260">
        <f>IF(N260,TRUE,AND(Q260:U260))</f>
        <v>0</v>
      </c>
      <c r="N260">
        <f>COUNTBLANK(Metadata!B260:F260)=COLUMNS(Metadata!B260:F260)</f>
        <v>0</v>
      </c>
      <c r="O260">
        <v>0</v>
      </c>
      <c r="Q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>
        <f>AND(IF(Metadata!C260="",FALSE,TRUE),exact(Metadata!C260,"human-skin"))</f>
        <v>0</v>
      </c>
      <c r="S260">
        <f>OR(AND(IF(Metadata!D260="",FALSE,TRUE),OR(exact(Metadata!D260,"missing: not collected"),exact(Metadata!D260,"missing: not provided"))),AND(IF(Metadata!D260="",FALSE,TRUE),OR(exact(Metadata!D260,"UBERON:zone of skin"),exact(Metadata!D260,"UBERON:skin of hand"),exact(Metadata!D260,"UBERON:skin of forehead"))))</f>
        <v>0</v>
      </c>
      <c r="T260">
        <f>AND(IF(Metadata!E260="",FALSE,TRUE),exact(Metadata!E260,"human skin metagenome"))</f>
        <v>0</v>
      </c>
      <c r="U260">
        <f>AND(IF(Metadata!F260="",FALSE,TRUE),exact(Metadata!F260,"539655"))</f>
        <v>0</v>
      </c>
    </row>
    <row r="261" spans="1:21">
      <c r="A261" s="4">
        <f>IF(B261=" "," ",HYPERLINK(CONCATENATE("#metadata!",ADDRESS(INDEX($L$2:$L$1001,MATCH(ROWS($J$2:J261),$J$2:$J$1001,0),0),1)),INDEX($O$2:$O$1001,MATCH(ROWS($J$2:J261),$J$2:$J$1001,0),0)))</f>
        <v>0</v>
      </c>
      <c r="B261" s="3">
        <f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>0</v>
      </c>
      <c r="C261" s="3">
        <f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>0</v>
      </c>
      <c r="D261" s="3">
        <f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>0</v>
      </c>
      <c r="E261" s="3">
        <f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>0</v>
      </c>
      <c r="F261" s="3">
        <f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>0</v>
      </c>
      <c r="J261">
        <v>0</v>
      </c>
      <c r="K261">
        <v>0</v>
      </c>
      <c r="L261">
        <v>0</v>
      </c>
      <c r="M261">
        <f>IF(N261,TRUE,AND(Q261:U261))</f>
        <v>0</v>
      </c>
      <c r="N261">
        <f>COUNTBLANK(Metadata!B261:F261)=COLUMNS(Metadata!B261:F261)</f>
        <v>0</v>
      </c>
      <c r="O261">
        <v>0</v>
      </c>
      <c r="Q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>
        <f>AND(IF(Metadata!C261="",FALSE,TRUE),exact(Metadata!C261,"human-skin"))</f>
        <v>0</v>
      </c>
      <c r="S261">
        <f>OR(AND(IF(Metadata!D261="",FALSE,TRUE),OR(exact(Metadata!D261,"missing: not collected"),exact(Metadata!D261,"missing: not provided"))),AND(IF(Metadata!D261="",FALSE,TRUE),OR(exact(Metadata!D261,"UBERON:zone of skin"),exact(Metadata!D261,"UBERON:skin of hand"),exact(Metadata!D261,"UBERON:skin of forehead"))))</f>
        <v>0</v>
      </c>
      <c r="T261">
        <f>AND(IF(Metadata!E261="",FALSE,TRUE),exact(Metadata!E261,"human skin metagenome"))</f>
        <v>0</v>
      </c>
      <c r="U261">
        <f>AND(IF(Metadata!F261="",FALSE,TRUE),exact(Metadata!F261,"539655"))</f>
        <v>0</v>
      </c>
    </row>
    <row r="262" spans="1:21">
      <c r="A262" s="4">
        <f>IF(B262=" "," ",HYPERLINK(CONCATENATE("#metadata!",ADDRESS(INDEX($L$2:$L$1001,MATCH(ROWS($J$2:J262),$J$2:$J$1001,0),0),1)),INDEX($O$2:$O$1001,MATCH(ROWS($J$2:J262),$J$2:$J$1001,0),0)))</f>
        <v>0</v>
      </c>
      <c r="B262" s="3">
        <f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>0</v>
      </c>
      <c r="C262" s="3">
        <f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>0</v>
      </c>
      <c r="D262" s="3">
        <f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>0</v>
      </c>
      <c r="E262" s="3">
        <f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>0</v>
      </c>
      <c r="F262" s="3">
        <f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>0</v>
      </c>
      <c r="J262">
        <v>0</v>
      </c>
      <c r="K262">
        <v>0</v>
      </c>
      <c r="L262">
        <v>0</v>
      </c>
      <c r="M262">
        <f>IF(N262,TRUE,AND(Q262:U262))</f>
        <v>0</v>
      </c>
      <c r="N262">
        <f>COUNTBLANK(Metadata!B262:F262)=COLUMNS(Metadata!B262:F262)</f>
        <v>0</v>
      </c>
      <c r="O262">
        <v>0</v>
      </c>
      <c r="Q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>
        <f>AND(IF(Metadata!C262="",FALSE,TRUE),exact(Metadata!C262,"human-skin"))</f>
        <v>0</v>
      </c>
      <c r="S262">
        <f>OR(AND(IF(Metadata!D262="",FALSE,TRUE),OR(exact(Metadata!D262,"missing: not collected"),exact(Metadata!D262,"missing: not provided"))),AND(IF(Metadata!D262="",FALSE,TRUE),OR(exact(Metadata!D262,"UBERON:zone of skin"),exact(Metadata!D262,"UBERON:skin of hand"),exact(Metadata!D262,"UBERON:skin of forehead"))))</f>
        <v>0</v>
      </c>
      <c r="T262">
        <f>AND(IF(Metadata!E262="",FALSE,TRUE),exact(Metadata!E262,"human skin metagenome"))</f>
        <v>0</v>
      </c>
      <c r="U262">
        <f>AND(IF(Metadata!F262="",FALSE,TRUE),exact(Metadata!F262,"539655"))</f>
        <v>0</v>
      </c>
    </row>
    <row r="263" spans="1:21">
      <c r="A263" s="4">
        <f>IF(B263=" "," ",HYPERLINK(CONCATENATE("#metadata!",ADDRESS(INDEX($L$2:$L$1001,MATCH(ROWS($J$2:J263),$J$2:$J$1001,0),0),1)),INDEX($O$2:$O$1001,MATCH(ROWS($J$2:J263),$J$2:$J$1001,0),0)))</f>
        <v>0</v>
      </c>
      <c r="B263" s="3">
        <f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>0</v>
      </c>
      <c r="C263" s="3">
        <f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>0</v>
      </c>
      <c r="D263" s="3">
        <f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>0</v>
      </c>
      <c r="E263" s="3">
        <f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>0</v>
      </c>
      <c r="F263" s="3">
        <f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>0</v>
      </c>
      <c r="J263">
        <v>0</v>
      </c>
      <c r="K263">
        <v>0</v>
      </c>
      <c r="L263">
        <v>0</v>
      </c>
      <c r="M263">
        <f>IF(N263,TRUE,AND(Q263:U263))</f>
        <v>0</v>
      </c>
      <c r="N263">
        <f>COUNTBLANK(Metadata!B263:F263)=COLUMNS(Metadata!B263:F263)</f>
        <v>0</v>
      </c>
      <c r="O263">
        <v>0</v>
      </c>
      <c r="Q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>
        <f>AND(IF(Metadata!C263="",FALSE,TRUE),exact(Metadata!C263,"human-skin"))</f>
        <v>0</v>
      </c>
      <c r="S263">
        <f>OR(AND(IF(Metadata!D263="",FALSE,TRUE),OR(exact(Metadata!D263,"missing: not collected"),exact(Metadata!D263,"missing: not provided"))),AND(IF(Metadata!D263="",FALSE,TRUE),OR(exact(Metadata!D263,"UBERON:zone of skin"),exact(Metadata!D263,"UBERON:skin of hand"),exact(Metadata!D263,"UBERON:skin of forehead"))))</f>
        <v>0</v>
      </c>
      <c r="T263">
        <f>AND(IF(Metadata!E263="",FALSE,TRUE),exact(Metadata!E263,"human skin metagenome"))</f>
        <v>0</v>
      </c>
      <c r="U263">
        <f>AND(IF(Metadata!F263="",FALSE,TRUE),exact(Metadata!F263,"539655"))</f>
        <v>0</v>
      </c>
    </row>
    <row r="264" spans="1:21">
      <c r="A264" s="4">
        <f>IF(B264=" "," ",HYPERLINK(CONCATENATE("#metadata!",ADDRESS(INDEX($L$2:$L$1001,MATCH(ROWS($J$2:J264),$J$2:$J$1001,0),0),1)),INDEX($O$2:$O$1001,MATCH(ROWS($J$2:J264),$J$2:$J$1001,0),0)))</f>
        <v>0</v>
      </c>
      <c r="B264" s="3">
        <f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>0</v>
      </c>
      <c r="C264" s="3">
        <f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>0</v>
      </c>
      <c r="D264" s="3">
        <f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>0</v>
      </c>
      <c r="E264" s="3">
        <f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>0</v>
      </c>
      <c r="F264" s="3">
        <f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>0</v>
      </c>
      <c r="J264">
        <v>0</v>
      </c>
      <c r="K264">
        <v>0</v>
      </c>
      <c r="L264">
        <v>0</v>
      </c>
      <c r="M264">
        <f>IF(N264,TRUE,AND(Q264:U264))</f>
        <v>0</v>
      </c>
      <c r="N264">
        <f>COUNTBLANK(Metadata!B264:F264)=COLUMNS(Metadata!B264:F264)</f>
        <v>0</v>
      </c>
      <c r="O264">
        <v>0</v>
      </c>
      <c r="Q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>
        <f>AND(IF(Metadata!C264="",FALSE,TRUE),exact(Metadata!C264,"human-skin"))</f>
        <v>0</v>
      </c>
      <c r="S264">
        <f>OR(AND(IF(Metadata!D264="",FALSE,TRUE),OR(exact(Metadata!D264,"missing: not collected"),exact(Metadata!D264,"missing: not provided"))),AND(IF(Metadata!D264="",FALSE,TRUE),OR(exact(Metadata!D264,"UBERON:zone of skin"),exact(Metadata!D264,"UBERON:skin of hand"),exact(Metadata!D264,"UBERON:skin of forehead"))))</f>
        <v>0</v>
      </c>
      <c r="T264">
        <f>AND(IF(Metadata!E264="",FALSE,TRUE),exact(Metadata!E264,"human skin metagenome"))</f>
        <v>0</v>
      </c>
      <c r="U264">
        <f>AND(IF(Metadata!F264="",FALSE,TRUE),exact(Metadata!F264,"539655"))</f>
        <v>0</v>
      </c>
    </row>
    <row r="265" spans="1:21">
      <c r="A265" s="4">
        <f>IF(B265=" "," ",HYPERLINK(CONCATENATE("#metadata!",ADDRESS(INDEX($L$2:$L$1001,MATCH(ROWS($J$2:J265),$J$2:$J$1001,0),0),1)),INDEX($O$2:$O$1001,MATCH(ROWS($J$2:J265),$J$2:$J$1001,0),0)))</f>
        <v>0</v>
      </c>
      <c r="B265" s="3">
        <f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>0</v>
      </c>
      <c r="C265" s="3">
        <f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>0</v>
      </c>
      <c r="D265" s="3">
        <f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>0</v>
      </c>
      <c r="E265" s="3">
        <f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>0</v>
      </c>
      <c r="F265" s="3">
        <f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>0</v>
      </c>
      <c r="J265">
        <v>0</v>
      </c>
      <c r="K265">
        <v>0</v>
      </c>
      <c r="L265">
        <v>0</v>
      </c>
      <c r="M265">
        <f>IF(N265,TRUE,AND(Q265:U265))</f>
        <v>0</v>
      </c>
      <c r="N265">
        <f>COUNTBLANK(Metadata!B265:F265)=COLUMNS(Metadata!B265:F265)</f>
        <v>0</v>
      </c>
      <c r="O265">
        <v>0</v>
      </c>
      <c r="Q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>
        <f>AND(IF(Metadata!C265="",FALSE,TRUE),exact(Metadata!C265,"human-skin"))</f>
        <v>0</v>
      </c>
      <c r="S265">
        <f>OR(AND(IF(Metadata!D265="",FALSE,TRUE),OR(exact(Metadata!D265,"missing: not collected"),exact(Metadata!D265,"missing: not provided"))),AND(IF(Metadata!D265="",FALSE,TRUE),OR(exact(Metadata!D265,"UBERON:zone of skin"),exact(Metadata!D265,"UBERON:skin of hand"),exact(Metadata!D265,"UBERON:skin of forehead"))))</f>
        <v>0</v>
      </c>
      <c r="T265">
        <f>AND(IF(Metadata!E265="",FALSE,TRUE),exact(Metadata!E265,"human skin metagenome"))</f>
        <v>0</v>
      </c>
      <c r="U265">
        <f>AND(IF(Metadata!F265="",FALSE,TRUE),exact(Metadata!F265,"539655"))</f>
        <v>0</v>
      </c>
    </row>
    <row r="266" spans="1:21">
      <c r="A266" s="4">
        <f>IF(B266=" "," ",HYPERLINK(CONCATENATE("#metadata!",ADDRESS(INDEX($L$2:$L$1001,MATCH(ROWS($J$2:J266),$J$2:$J$1001,0),0),1)),INDEX($O$2:$O$1001,MATCH(ROWS($J$2:J266),$J$2:$J$1001,0),0)))</f>
        <v>0</v>
      </c>
      <c r="B266" s="3">
        <f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>0</v>
      </c>
      <c r="C266" s="3">
        <f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>0</v>
      </c>
      <c r="D266" s="3">
        <f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>0</v>
      </c>
      <c r="E266" s="3">
        <f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>0</v>
      </c>
      <c r="F266" s="3">
        <f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>0</v>
      </c>
      <c r="J266">
        <v>0</v>
      </c>
      <c r="K266">
        <v>0</v>
      </c>
      <c r="L266">
        <v>0</v>
      </c>
      <c r="M266">
        <f>IF(N266,TRUE,AND(Q266:U266))</f>
        <v>0</v>
      </c>
      <c r="N266">
        <f>COUNTBLANK(Metadata!B266:F266)=COLUMNS(Metadata!B266:F266)</f>
        <v>0</v>
      </c>
      <c r="O266">
        <v>0</v>
      </c>
      <c r="Q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>
        <f>AND(IF(Metadata!C266="",FALSE,TRUE),exact(Metadata!C266,"human-skin"))</f>
        <v>0</v>
      </c>
      <c r="S266">
        <f>OR(AND(IF(Metadata!D266="",FALSE,TRUE),OR(exact(Metadata!D266,"missing: not collected"),exact(Metadata!D266,"missing: not provided"))),AND(IF(Metadata!D266="",FALSE,TRUE),OR(exact(Metadata!D266,"UBERON:zone of skin"),exact(Metadata!D266,"UBERON:skin of hand"),exact(Metadata!D266,"UBERON:skin of forehead"))))</f>
        <v>0</v>
      </c>
      <c r="T266">
        <f>AND(IF(Metadata!E266="",FALSE,TRUE),exact(Metadata!E266,"human skin metagenome"))</f>
        <v>0</v>
      </c>
      <c r="U266">
        <f>AND(IF(Metadata!F266="",FALSE,TRUE),exact(Metadata!F266,"539655"))</f>
        <v>0</v>
      </c>
    </row>
    <row r="267" spans="1:21">
      <c r="A267" s="4">
        <f>IF(B267=" "," ",HYPERLINK(CONCATENATE("#metadata!",ADDRESS(INDEX($L$2:$L$1001,MATCH(ROWS($J$2:J267),$J$2:$J$1001,0),0),1)),INDEX($O$2:$O$1001,MATCH(ROWS($J$2:J267),$J$2:$J$1001,0),0)))</f>
        <v>0</v>
      </c>
      <c r="B267" s="3">
        <f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>0</v>
      </c>
      <c r="C267" s="3">
        <f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>0</v>
      </c>
      <c r="D267" s="3">
        <f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>0</v>
      </c>
      <c r="E267" s="3">
        <f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>0</v>
      </c>
      <c r="F267" s="3">
        <f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>0</v>
      </c>
      <c r="J267">
        <v>0</v>
      </c>
      <c r="K267">
        <v>0</v>
      </c>
      <c r="L267">
        <v>0</v>
      </c>
      <c r="M267">
        <f>IF(N267,TRUE,AND(Q267:U267))</f>
        <v>0</v>
      </c>
      <c r="N267">
        <f>COUNTBLANK(Metadata!B267:F267)=COLUMNS(Metadata!B267:F267)</f>
        <v>0</v>
      </c>
      <c r="O267">
        <v>0</v>
      </c>
      <c r="Q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>
        <f>AND(IF(Metadata!C267="",FALSE,TRUE),exact(Metadata!C267,"human-skin"))</f>
        <v>0</v>
      </c>
      <c r="S267">
        <f>OR(AND(IF(Metadata!D267="",FALSE,TRUE),OR(exact(Metadata!D267,"missing: not collected"),exact(Metadata!D267,"missing: not provided"))),AND(IF(Metadata!D267="",FALSE,TRUE),OR(exact(Metadata!D267,"UBERON:zone of skin"),exact(Metadata!D267,"UBERON:skin of hand"),exact(Metadata!D267,"UBERON:skin of forehead"))))</f>
        <v>0</v>
      </c>
      <c r="T267">
        <f>AND(IF(Metadata!E267="",FALSE,TRUE),exact(Metadata!E267,"human skin metagenome"))</f>
        <v>0</v>
      </c>
      <c r="U267">
        <f>AND(IF(Metadata!F267="",FALSE,TRUE),exact(Metadata!F267,"539655"))</f>
        <v>0</v>
      </c>
    </row>
    <row r="268" spans="1:21">
      <c r="A268" s="4">
        <f>IF(B268=" "," ",HYPERLINK(CONCATENATE("#metadata!",ADDRESS(INDEX($L$2:$L$1001,MATCH(ROWS($J$2:J268),$J$2:$J$1001,0),0),1)),INDEX($O$2:$O$1001,MATCH(ROWS($J$2:J268),$J$2:$J$1001,0),0)))</f>
        <v>0</v>
      </c>
      <c r="B268" s="3">
        <f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>0</v>
      </c>
      <c r="C268" s="3">
        <f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>0</v>
      </c>
      <c r="D268" s="3">
        <f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>0</v>
      </c>
      <c r="E268" s="3">
        <f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>0</v>
      </c>
      <c r="F268" s="3">
        <f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>0</v>
      </c>
      <c r="J268">
        <v>0</v>
      </c>
      <c r="K268">
        <v>0</v>
      </c>
      <c r="L268">
        <v>0</v>
      </c>
      <c r="M268">
        <f>IF(N268,TRUE,AND(Q268:U268))</f>
        <v>0</v>
      </c>
      <c r="N268">
        <f>COUNTBLANK(Metadata!B268:F268)=COLUMNS(Metadata!B268:F268)</f>
        <v>0</v>
      </c>
      <c r="O268">
        <v>0</v>
      </c>
      <c r="Q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>
        <f>AND(IF(Metadata!C268="",FALSE,TRUE),exact(Metadata!C268,"human-skin"))</f>
        <v>0</v>
      </c>
      <c r="S268">
        <f>OR(AND(IF(Metadata!D268="",FALSE,TRUE),OR(exact(Metadata!D268,"missing: not collected"),exact(Metadata!D268,"missing: not provided"))),AND(IF(Metadata!D268="",FALSE,TRUE),OR(exact(Metadata!D268,"UBERON:zone of skin"),exact(Metadata!D268,"UBERON:skin of hand"),exact(Metadata!D268,"UBERON:skin of forehead"))))</f>
        <v>0</v>
      </c>
      <c r="T268">
        <f>AND(IF(Metadata!E268="",FALSE,TRUE),exact(Metadata!E268,"human skin metagenome"))</f>
        <v>0</v>
      </c>
      <c r="U268">
        <f>AND(IF(Metadata!F268="",FALSE,TRUE),exact(Metadata!F268,"539655"))</f>
        <v>0</v>
      </c>
    </row>
    <row r="269" spans="1:21">
      <c r="A269" s="4">
        <f>IF(B269=" "," ",HYPERLINK(CONCATENATE("#metadata!",ADDRESS(INDEX($L$2:$L$1001,MATCH(ROWS($J$2:J269),$J$2:$J$1001,0),0),1)),INDEX($O$2:$O$1001,MATCH(ROWS($J$2:J269),$J$2:$J$1001,0),0)))</f>
        <v>0</v>
      </c>
      <c r="B269" s="3">
        <f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>0</v>
      </c>
      <c r="C269" s="3">
        <f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>0</v>
      </c>
      <c r="D269" s="3">
        <f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>0</v>
      </c>
      <c r="E269" s="3">
        <f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>0</v>
      </c>
      <c r="F269" s="3">
        <f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>0</v>
      </c>
      <c r="J269">
        <v>0</v>
      </c>
      <c r="K269">
        <v>0</v>
      </c>
      <c r="L269">
        <v>0</v>
      </c>
      <c r="M269">
        <f>IF(N269,TRUE,AND(Q269:U269))</f>
        <v>0</v>
      </c>
      <c r="N269">
        <f>COUNTBLANK(Metadata!B269:F269)=COLUMNS(Metadata!B269:F269)</f>
        <v>0</v>
      </c>
      <c r="O269">
        <v>0</v>
      </c>
      <c r="Q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>
        <f>AND(IF(Metadata!C269="",FALSE,TRUE),exact(Metadata!C269,"human-skin"))</f>
        <v>0</v>
      </c>
      <c r="S269">
        <f>OR(AND(IF(Metadata!D269="",FALSE,TRUE),OR(exact(Metadata!D269,"missing: not collected"),exact(Metadata!D269,"missing: not provided"))),AND(IF(Metadata!D269="",FALSE,TRUE),OR(exact(Metadata!D269,"UBERON:zone of skin"),exact(Metadata!D269,"UBERON:skin of hand"),exact(Metadata!D269,"UBERON:skin of forehead"))))</f>
        <v>0</v>
      </c>
      <c r="T269">
        <f>AND(IF(Metadata!E269="",FALSE,TRUE),exact(Metadata!E269,"human skin metagenome"))</f>
        <v>0</v>
      </c>
      <c r="U269">
        <f>AND(IF(Metadata!F269="",FALSE,TRUE),exact(Metadata!F269,"539655"))</f>
        <v>0</v>
      </c>
    </row>
    <row r="270" spans="1:21">
      <c r="A270" s="4">
        <f>IF(B270=" "," ",HYPERLINK(CONCATENATE("#metadata!",ADDRESS(INDEX($L$2:$L$1001,MATCH(ROWS($J$2:J270),$J$2:$J$1001,0),0),1)),INDEX($O$2:$O$1001,MATCH(ROWS($J$2:J270),$J$2:$J$1001,0),0)))</f>
        <v>0</v>
      </c>
      <c r="B270" s="3">
        <f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>0</v>
      </c>
      <c r="C270" s="3">
        <f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>0</v>
      </c>
      <c r="D270" s="3">
        <f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>0</v>
      </c>
      <c r="E270" s="3">
        <f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>0</v>
      </c>
      <c r="F270" s="3">
        <f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>0</v>
      </c>
      <c r="J270">
        <v>0</v>
      </c>
      <c r="K270">
        <v>0</v>
      </c>
      <c r="L270">
        <v>0</v>
      </c>
      <c r="M270">
        <f>IF(N270,TRUE,AND(Q270:U270))</f>
        <v>0</v>
      </c>
      <c r="N270">
        <f>COUNTBLANK(Metadata!B270:F270)=COLUMNS(Metadata!B270:F270)</f>
        <v>0</v>
      </c>
      <c r="O270">
        <v>0</v>
      </c>
      <c r="Q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>
        <f>AND(IF(Metadata!C270="",FALSE,TRUE),exact(Metadata!C270,"human-skin"))</f>
        <v>0</v>
      </c>
      <c r="S270">
        <f>OR(AND(IF(Metadata!D270="",FALSE,TRUE),OR(exact(Metadata!D270,"missing: not collected"),exact(Metadata!D270,"missing: not provided"))),AND(IF(Metadata!D270="",FALSE,TRUE),OR(exact(Metadata!D270,"UBERON:zone of skin"),exact(Metadata!D270,"UBERON:skin of hand"),exact(Metadata!D270,"UBERON:skin of forehead"))))</f>
        <v>0</v>
      </c>
      <c r="T270">
        <f>AND(IF(Metadata!E270="",FALSE,TRUE),exact(Metadata!E270,"human skin metagenome"))</f>
        <v>0</v>
      </c>
      <c r="U270">
        <f>AND(IF(Metadata!F270="",FALSE,TRUE),exact(Metadata!F270,"539655"))</f>
        <v>0</v>
      </c>
    </row>
    <row r="271" spans="1:21">
      <c r="A271" s="4">
        <f>IF(B271=" "," ",HYPERLINK(CONCATENATE("#metadata!",ADDRESS(INDEX($L$2:$L$1001,MATCH(ROWS($J$2:J271),$J$2:$J$1001,0),0),1)),INDEX($O$2:$O$1001,MATCH(ROWS($J$2:J271),$J$2:$J$1001,0),0)))</f>
        <v>0</v>
      </c>
      <c r="B271" s="3">
        <f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>0</v>
      </c>
      <c r="C271" s="3">
        <f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>0</v>
      </c>
      <c r="D271" s="3">
        <f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>0</v>
      </c>
      <c r="E271" s="3">
        <f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>0</v>
      </c>
      <c r="F271" s="3">
        <f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>0</v>
      </c>
      <c r="J271">
        <v>0</v>
      </c>
      <c r="K271">
        <v>0</v>
      </c>
      <c r="L271">
        <v>0</v>
      </c>
      <c r="M271">
        <f>IF(N271,TRUE,AND(Q271:U271))</f>
        <v>0</v>
      </c>
      <c r="N271">
        <f>COUNTBLANK(Metadata!B271:F271)=COLUMNS(Metadata!B271:F271)</f>
        <v>0</v>
      </c>
      <c r="O271">
        <v>0</v>
      </c>
      <c r="Q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>
        <f>AND(IF(Metadata!C271="",FALSE,TRUE),exact(Metadata!C271,"human-skin"))</f>
        <v>0</v>
      </c>
      <c r="S271">
        <f>OR(AND(IF(Metadata!D271="",FALSE,TRUE),OR(exact(Metadata!D271,"missing: not collected"),exact(Metadata!D271,"missing: not provided"))),AND(IF(Metadata!D271="",FALSE,TRUE),OR(exact(Metadata!D271,"UBERON:zone of skin"),exact(Metadata!D271,"UBERON:skin of hand"),exact(Metadata!D271,"UBERON:skin of forehead"))))</f>
        <v>0</v>
      </c>
      <c r="T271">
        <f>AND(IF(Metadata!E271="",FALSE,TRUE),exact(Metadata!E271,"human skin metagenome"))</f>
        <v>0</v>
      </c>
      <c r="U271">
        <f>AND(IF(Metadata!F271="",FALSE,TRUE),exact(Metadata!F271,"539655"))</f>
        <v>0</v>
      </c>
    </row>
    <row r="272" spans="1:21">
      <c r="A272" s="4">
        <f>IF(B272=" "," ",HYPERLINK(CONCATENATE("#metadata!",ADDRESS(INDEX($L$2:$L$1001,MATCH(ROWS($J$2:J272),$J$2:$J$1001,0),0),1)),INDEX($O$2:$O$1001,MATCH(ROWS($J$2:J272),$J$2:$J$1001,0),0)))</f>
        <v>0</v>
      </c>
      <c r="B272" s="3">
        <f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>0</v>
      </c>
      <c r="C272" s="3">
        <f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>0</v>
      </c>
      <c r="D272" s="3">
        <f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>0</v>
      </c>
      <c r="E272" s="3">
        <f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>0</v>
      </c>
      <c r="F272" s="3">
        <f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>0</v>
      </c>
      <c r="J272">
        <v>0</v>
      </c>
      <c r="K272">
        <v>0</v>
      </c>
      <c r="L272">
        <v>0</v>
      </c>
      <c r="M272">
        <f>IF(N272,TRUE,AND(Q272:U272))</f>
        <v>0</v>
      </c>
      <c r="N272">
        <f>COUNTBLANK(Metadata!B272:F272)=COLUMNS(Metadata!B272:F272)</f>
        <v>0</v>
      </c>
      <c r="O272">
        <v>0</v>
      </c>
      <c r="Q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>
        <f>AND(IF(Metadata!C272="",FALSE,TRUE),exact(Metadata!C272,"human-skin"))</f>
        <v>0</v>
      </c>
      <c r="S272">
        <f>OR(AND(IF(Metadata!D272="",FALSE,TRUE),OR(exact(Metadata!D272,"missing: not collected"),exact(Metadata!D272,"missing: not provided"))),AND(IF(Metadata!D272="",FALSE,TRUE),OR(exact(Metadata!D272,"UBERON:zone of skin"),exact(Metadata!D272,"UBERON:skin of hand"),exact(Metadata!D272,"UBERON:skin of forehead"))))</f>
        <v>0</v>
      </c>
      <c r="T272">
        <f>AND(IF(Metadata!E272="",FALSE,TRUE),exact(Metadata!E272,"human skin metagenome"))</f>
        <v>0</v>
      </c>
      <c r="U272">
        <f>AND(IF(Metadata!F272="",FALSE,TRUE),exact(Metadata!F272,"539655"))</f>
        <v>0</v>
      </c>
    </row>
    <row r="273" spans="1:21">
      <c r="A273" s="4">
        <f>IF(B273=" "," ",HYPERLINK(CONCATENATE("#metadata!",ADDRESS(INDEX($L$2:$L$1001,MATCH(ROWS($J$2:J273),$J$2:$J$1001,0),0),1)),INDEX($O$2:$O$1001,MATCH(ROWS($J$2:J273),$J$2:$J$1001,0),0)))</f>
        <v>0</v>
      </c>
      <c r="B273" s="3">
        <f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>0</v>
      </c>
      <c r="C273" s="3">
        <f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>0</v>
      </c>
      <c r="D273" s="3">
        <f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>0</v>
      </c>
      <c r="E273" s="3">
        <f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>0</v>
      </c>
      <c r="F273" s="3">
        <f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>0</v>
      </c>
      <c r="J273">
        <v>0</v>
      </c>
      <c r="K273">
        <v>0</v>
      </c>
      <c r="L273">
        <v>0</v>
      </c>
      <c r="M273">
        <f>IF(N273,TRUE,AND(Q273:U273))</f>
        <v>0</v>
      </c>
      <c r="N273">
        <f>COUNTBLANK(Metadata!B273:F273)=COLUMNS(Metadata!B273:F273)</f>
        <v>0</v>
      </c>
      <c r="O273">
        <v>0</v>
      </c>
      <c r="Q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>
        <f>AND(IF(Metadata!C273="",FALSE,TRUE),exact(Metadata!C273,"human-skin"))</f>
        <v>0</v>
      </c>
      <c r="S273">
        <f>OR(AND(IF(Metadata!D273="",FALSE,TRUE),OR(exact(Metadata!D273,"missing: not collected"),exact(Metadata!D273,"missing: not provided"))),AND(IF(Metadata!D273="",FALSE,TRUE),OR(exact(Metadata!D273,"UBERON:zone of skin"),exact(Metadata!D273,"UBERON:skin of hand"),exact(Metadata!D273,"UBERON:skin of forehead"))))</f>
        <v>0</v>
      </c>
      <c r="T273">
        <f>AND(IF(Metadata!E273="",FALSE,TRUE),exact(Metadata!E273,"human skin metagenome"))</f>
        <v>0</v>
      </c>
      <c r="U273">
        <f>AND(IF(Metadata!F273="",FALSE,TRUE),exact(Metadata!F273,"539655"))</f>
        <v>0</v>
      </c>
    </row>
    <row r="274" spans="1:21">
      <c r="A274" s="4">
        <f>IF(B274=" "," ",HYPERLINK(CONCATENATE("#metadata!",ADDRESS(INDEX($L$2:$L$1001,MATCH(ROWS($J$2:J274),$J$2:$J$1001,0),0),1)),INDEX($O$2:$O$1001,MATCH(ROWS($J$2:J274),$J$2:$J$1001,0),0)))</f>
        <v>0</v>
      </c>
      <c r="B274" s="3">
        <f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>0</v>
      </c>
      <c r="C274" s="3">
        <f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>0</v>
      </c>
      <c r="D274" s="3">
        <f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>0</v>
      </c>
      <c r="E274" s="3">
        <f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>0</v>
      </c>
      <c r="F274" s="3">
        <f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>0</v>
      </c>
      <c r="J274">
        <v>0</v>
      </c>
      <c r="K274">
        <v>0</v>
      </c>
      <c r="L274">
        <v>0</v>
      </c>
      <c r="M274">
        <f>IF(N274,TRUE,AND(Q274:U274))</f>
        <v>0</v>
      </c>
      <c r="N274">
        <f>COUNTBLANK(Metadata!B274:F274)=COLUMNS(Metadata!B274:F274)</f>
        <v>0</v>
      </c>
      <c r="O274">
        <v>0</v>
      </c>
      <c r="Q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>
        <f>AND(IF(Metadata!C274="",FALSE,TRUE),exact(Metadata!C274,"human-skin"))</f>
        <v>0</v>
      </c>
      <c r="S274">
        <f>OR(AND(IF(Metadata!D274="",FALSE,TRUE),OR(exact(Metadata!D274,"missing: not collected"),exact(Metadata!D274,"missing: not provided"))),AND(IF(Metadata!D274="",FALSE,TRUE),OR(exact(Metadata!D274,"UBERON:zone of skin"),exact(Metadata!D274,"UBERON:skin of hand"),exact(Metadata!D274,"UBERON:skin of forehead"))))</f>
        <v>0</v>
      </c>
      <c r="T274">
        <f>AND(IF(Metadata!E274="",FALSE,TRUE),exact(Metadata!E274,"human skin metagenome"))</f>
        <v>0</v>
      </c>
      <c r="U274">
        <f>AND(IF(Metadata!F274="",FALSE,TRUE),exact(Metadata!F274,"539655"))</f>
        <v>0</v>
      </c>
    </row>
    <row r="275" spans="1:21">
      <c r="A275" s="4">
        <f>IF(B275=" "," ",HYPERLINK(CONCATENATE("#metadata!",ADDRESS(INDEX($L$2:$L$1001,MATCH(ROWS($J$2:J275),$J$2:$J$1001,0),0),1)),INDEX($O$2:$O$1001,MATCH(ROWS($J$2:J275),$J$2:$J$1001,0),0)))</f>
        <v>0</v>
      </c>
      <c r="B275" s="3">
        <f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>0</v>
      </c>
      <c r="C275" s="3">
        <f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>0</v>
      </c>
      <c r="D275" s="3">
        <f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>0</v>
      </c>
      <c r="E275" s="3">
        <f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>0</v>
      </c>
      <c r="F275" s="3">
        <f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>0</v>
      </c>
      <c r="J275">
        <v>0</v>
      </c>
      <c r="K275">
        <v>0</v>
      </c>
      <c r="L275">
        <v>0</v>
      </c>
      <c r="M275">
        <f>IF(N275,TRUE,AND(Q275:U275))</f>
        <v>0</v>
      </c>
      <c r="N275">
        <f>COUNTBLANK(Metadata!B275:F275)=COLUMNS(Metadata!B275:F275)</f>
        <v>0</v>
      </c>
      <c r="O275">
        <v>0</v>
      </c>
      <c r="Q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>
        <f>AND(IF(Metadata!C275="",FALSE,TRUE),exact(Metadata!C275,"human-skin"))</f>
        <v>0</v>
      </c>
      <c r="S275">
        <f>OR(AND(IF(Metadata!D275="",FALSE,TRUE),OR(exact(Metadata!D275,"missing: not collected"),exact(Metadata!D275,"missing: not provided"))),AND(IF(Metadata!D275="",FALSE,TRUE),OR(exact(Metadata!D275,"UBERON:zone of skin"),exact(Metadata!D275,"UBERON:skin of hand"),exact(Metadata!D275,"UBERON:skin of forehead"))))</f>
        <v>0</v>
      </c>
      <c r="T275">
        <f>AND(IF(Metadata!E275="",FALSE,TRUE),exact(Metadata!E275,"human skin metagenome"))</f>
        <v>0</v>
      </c>
      <c r="U275">
        <f>AND(IF(Metadata!F275="",FALSE,TRUE),exact(Metadata!F275,"539655"))</f>
        <v>0</v>
      </c>
    </row>
    <row r="276" spans="1:21">
      <c r="A276" s="4">
        <f>IF(B276=" "," ",HYPERLINK(CONCATENATE("#metadata!",ADDRESS(INDEX($L$2:$L$1001,MATCH(ROWS($J$2:J276),$J$2:$J$1001,0),0),1)),INDEX($O$2:$O$1001,MATCH(ROWS($J$2:J276),$J$2:$J$1001,0),0)))</f>
        <v>0</v>
      </c>
      <c r="B276" s="3">
        <f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>0</v>
      </c>
      <c r="C276" s="3">
        <f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>0</v>
      </c>
      <c r="D276" s="3">
        <f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>0</v>
      </c>
      <c r="E276" s="3">
        <f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>0</v>
      </c>
      <c r="F276" s="3">
        <f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>0</v>
      </c>
      <c r="J276">
        <v>0</v>
      </c>
      <c r="K276">
        <v>0</v>
      </c>
      <c r="L276">
        <v>0</v>
      </c>
      <c r="M276">
        <f>IF(N276,TRUE,AND(Q276:U276))</f>
        <v>0</v>
      </c>
      <c r="N276">
        <f>COUNTBLANK(Metadata!B276:F276)=COLUMNS(Metadata!B276:F276)</f>
        <v>0</v>
      </c>
      <c r="O276">
        <v>0</v>
      </c>
      <c r="Q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>
        <f>AND(IF(Metadata!C276="",FALSE,TRUE),exact(Metadata!C276,"human-skin"))</f>
        <v>0</v>
      </c>
      <c r="S276">
        <f>OR(AND(IF(Metadata!D276="",FALSE,TRUE),OR(exact(Metadata!D276,"missing: not collected"),exact(Metadata!D276,"missing: not provided"))),AND(IF(Metadata!D276="",FALSE,TRUE),OR(exact(Metadata!D276,"UBERON:zone of skin"),exact(Metadata!D276,"UBERON:skin of hand"),exact(Metadata!D276,"UBERON:skin of forehead"))))</f>
        <v>0</v>
      </c>
      <c r="T276">
        <f>AND(IF(Metadata!E276="",FALSE,TRUE),exact(Metadata!E276,"human skin metagenome"))</f>
        <v>0</v>
      </c>
      <c r="U276">
        <f>AND(IF(Metadata!F276="",FALSE,TRUE),exact(Metadata!F276,"539655"))</f>
        <v>0</v>
      </c>
    </row>
    <row r="277" spans="1:21">
      <c r="A277" s="4">
        <f>IF(B277=" "," ",HYPERLINK(CONCATENATE("#metadata!",ADDRESS(INDEX($L$2:$L$1001,MATCH(ROWS($J$2:J277),$J$2:$J$1001,0),0),1)),INDEX($O$2:$O$1001,MATCH(ROWS($J$2:J277),$J$2:$J$1001,0),0)))</f>
        <v>0</v>
      </c>
      <c r="B277" s="3">
        <f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>0</v>
      </c>
      <c r="C277" s="3">
        <f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>0</v>
      </c>
      <c r="D277" s="3">
        <f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>0</v>
      </c>
      <c r="E277" s="3">
        <f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>0</v>
      </c>
      <c r="F277" s="3">
        <f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>0</v>
      </c>
      <c r="J277">
        <v>0</v>
      </c>
      <c r="K277">
        <v>0</v>
      </c>
      <c r="L277">
        <v>0</v>
      </c>
      <c r="M277">
        <f>IF(N277,TRUE,AND(Q277:U277))</f>
        <v>0</v>
      </c>
      <c r="N277">
        <f>COUNTBLANK(Metadata!B277:F277)=COLUMNS(Metadata!B277:F277)</f>
        <v>0</v>
      </c>
      <c r="O277">
        <v>0</v>
      </c>
      <c r="Q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>
        <f>AND(IF(Metadata!C277="",FALSE,TRUE),exact(Metadata!C277,"human-skin"))</f>
        <v>0</v>
      </c>
      <c r="S277">
        <f>OR(AND(IF(Metadata!D277="",FALSE,TRUE),OR(exact(Metadata!D277,"missing: not collected"),exact(Metadata!D277,"missing: not provided"))),AND(IF(Metadata!D277="",FALSE,TRUE),OR(exact(Metadata!D277,"UBERON:zone of skin"),exact(Metadata!D277,"UBERON:skin of hand"),exact(Metadata!D277,"UBERON:skin of forehead"))))</f>
        <v>0</v>
      </c>
      <c r="T277">
        <f>AND(IF(Metadata!E277="",FALSE,TRUE),exact(Metadata!E277,"human skin metagenome"))</f>
        <v>0</v>
      </c>
      <c r="U277">
        <f>AND(IF(Metadata!F277="",FALSE,TRUE),exact(Metadata!F277,"539655"))</f>
        <v>0</v>
      </c>
    </row>
    <row r="278" spans="1:21">
      <c r="A278" s="4">
        <f>IF(B278=" "," ",HYPERLINK(CONCATENATE("#metadata!",ADDRESS(INDEX($L$2:$L$1001,MATCH(ROWS($J$2:J278),$J$2:$J$1001,0),0),1)),INDEX($O$2:$O$1001,MATCH(ROWS($J$2:J278),$J$2:$J$1001,0),0)))</f>
        <v>0</v>
      </c>
      <c r="B278" s="3">
        <f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>0</v>
      </c>
      <c r="C278" s="3">
        <f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>0</v>
      </c>
      <c r="D278" s="3">
        <f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>0</v>
      </c>
      <c r="E278" s="3">
        <f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>0</v>
      </c>
      <c r="F278" s="3">
        <f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>0</v>
      </c>
      <c r="J278">
        <v>0</v>
      </c>
      <c r="K278">
        <v>0</v>
      </c>
      <c r="L278">
        <v>0</v>
      </c>
      <c r="M278">
        <f>IF(N278,TRUE,AND(Q278:U278))</f>
        <v>0</v>
      </c>
      <c r="N278">
        <f>COUNTBLANK(Metadata!B278:F278)=COLUMNS(Metadata!B278:F278)</f>
        <v>0</v>
      </c>
      <c r="O278">
        <v>0</v>
      </c>
      <c r="Q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>
        <f>AND(IF(Metadata!C278="",FALSE,TRUE),exact(Metadata!C278,"human-skin"))</f>
        <v>0</v>
      </c>
      <c r="S278">
        <f>OR(AND(IF(Metadata!D278="",FALSE,TRUE),OR(exact(Metadata!D278,"missing: not collected"),exact(Metadata!D278,"missing: not provided"))),AND(IF(Metadata!D278="",FALSE,TRUE),OR(exact(Metadata!D278,"UBERON:zone of skin"),exact(Metadata!D278,"UBERON:skin of hand"),exact(Metadata!D278,"UBERON:skin of forehead"))))</f>
        <v>0</v>
      </c>
      <c r="T278">
        <f>AND(IF(Metadata!E278="",FALSE,TRUE),exact(Metadata!E278,"human skin metagenome"))</f>
        <v>0</v>
      </c>
      <c r="U278">
        <f>AND(IF(Metadata!F278="",FALSE,TRUE),exact(Metadata!F278,"539655"))</f>
        <v>0</v>
      </c>
    </row>
    <row r="279" spans="1:21">
      <c r="A279" s="4">
        <f>IF(B279=" "," ",HYPERLINK(CONCATENATE("#metadata!",ADDRESS(INDEX($L$2:$L$1001,MATCH(ROWS($J$2:J279),$J$2:$J$1001,0),0),1)),INDEX($O$2:$O$1001,MATCH(ROWS($J$2:J279),$J$2:$J$1001,0),0)))</f>
        <v>0</v>
      </c>
      <c r="B279" s="3">
        <f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>0</v>
      </c>
      <c r="C279" s="3">
        <f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>0</v>
      </c>
      <c r="D279" s="3">
        <f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>0</v>
      </c>
      <c r="E279" s="3">
        <f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>0</v>
      </c>
      <c r="F279" s="3">
        <f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>0</v>
      </c>
      <c r="J279">
        <v>0</v>
      </c>
      <c r="K279">
        <v>0</v>
      </c>
      <c r="L279">
        <v>0</v>
      </c>
      <c r="M279">
        <f>IF(N279,TRUE,AND(Q279:U279))</f>
        <v>0</v>
      </c>
      <c r="N279">
        <f>COUNTBLANK(Metadata!B279:F279)=COLUMNS(Metadata!B279:F279)</f>
        <v>0</v>
      </c>
      <c r="O279">
        <v>0</v>
      </c>
      <c r="Q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>
        <f>AND(IF(Metadata!C279="",FALSE,TRUE),exact(Metadata!C279,"human-skin"))</f>
        <v>0</v>
      </c>
      <c r="S279">
        <f>OR(AND(IF(Metadata!D279="",FALSE,TRUE),OR(exact(Metadata!D279,"missing: not collected"),exact(Metadata!D279,"missing: not provided"))),AND(IF(Metadata!D279="",FALSE,TRUE),OR(exact(Metadata!D279,"UBERON:zone of skin"),exact(Metadata!D279,"UBERON:skin of hand"),exact(Metadata!D279,"UBERON:skin of forehead"))))</f>
        <v>0</v>
      </c>
      <c r="T279">
        <f>AND(IF(Metadata!E279="",FALSE,TRUE),exact(Metadata!E279,"human skin metagenome"))</f>
        <v>0</v>
      </c>
      <c r="U279">
        <f>AND(IF(Metadata!F279="",FALSE,TRUE),exact(Metadata!F279,"539655"))</f>
        <v>0</v>
      </c>
    </row>
    <row r="280" spans="1:21">
      <c r="A280" s="4">
        <f>IF(B280=" "," ",HYPERLINK(CONCATENATE("#metadata!",ADDRESS(INDEX($L$2:$L$1001,MATCH(ROWS($J$2:J280),$J$2:$J$1001,0),0),1)),INDEX($O$2:$O$1001,MATCH(ROWS($J$2:J280),$J$2:$J$1001,0),0)))</f>
        <v>0</v>
      </c>
      <c r="B280" s="3">
        <f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>0</v>
      </c>
      <c r="C280" s="3">
        <f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>0</v>
      </c>
      <c r="D280" s="3">
        <f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>0</v>
      </c>
      <c r="E280" s="3">
        <f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>0</v>
      </c>
      <c r="F280" s="3">
        <f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>0</v>
      </c>
      <c r="J280">
        <v>0</v>
      </c>
      <c r="K280">
        <v>0</v>
      </c>
      <c r="L280">
        <v>0</v>
      </c>
      <c r="M280">
        <f>IF(N280,TRUE,AND(Q280:U280))</f>
        <v>0</v>
      </c>
      <c r="N280">
        <f>COUNTBLANK(Metadata!B280:F280)=COLUMNS(Metadata!B280:F280)</f>
        <v>0</v>
      </c>
      <c r="O280">
        <v>0</v>
      </c>
      <c r="Q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>
        <f>AND(IF(Metadata!C280="",FALSE,TRUE),exact(Metadata!C280,"human-skin"))</f>
        <v>0</v>
      </c>
      <c r="S280">
        <f>OR(AND(IF(Metadata!D280="",FALSE,TRUE),OR(exact(Metadata!D280,"missing: not collected"),exact(Metadata!D280,"missing: not provided"))),AND(IF(Metadata!D280="",FALSE,TRUE),OR(exact(Metadata!D280,"UBERON:zone of skin"),exact(Metadata!D280,"UBERON:skin of hand"),exact(Metadata!D280,"UBERON:skin of forehead"))))</f>
        <v>0</v>
      </c>
      <c r="T280">
        <f>AND(IF(Metadata!E280="",FALSE,TRUE),exact(Metadata!E280,"human skin metagenome"))</f>
        <v>0</v>
      </c>
      <c r="U280">
        <f>AND(IF(Metadata!F280="",FALSE,TRUE),exact(Metadata!F280,"539655"))</f>
        <v>0</v>
      </c>
    </row>
    <row r="281" spans="1:21">
      <c r="A281" s="4">
        <f>IF(B281=" "," ",HYPERLINK(CONCATENATE("#metadata!",ADDRESS(INDEX($L$2:$L$1001,MATCH(ROWS($J$2:J281),$J$2:$J$1001,0),0),1)),INDEX($O$2:$O$1001,MATCH(ROWS($J$2:J281),$J$2:$J$1001,0),0)))</f>
        <v>0</v>
      </c>
      <c r="B281" s="3">
        <f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>0</v>
      </c>
      <c r="C281" s="3">
        <f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>0</v>
      </c>
      <c r="D281" s="3">
        <f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>0</v>
      </c>
      <c r="E281" s="3">
        <f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>0</v>
      </c>
      <c r="F281" s="3">
        <f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>0</v>
      </c>
      <c r="J281">
        <v>0</v>
      </c>
      <c r="K281">
        <v>0</v>
      </c>
      <c r="L281">
        <v>0</v>
      </c>
      <c r="M281">
        <f>IF(N281,TRUE,AND(Q281:U281))</f>
        <v>0</v>
      </c>
      <c r="N281">
        <f>COUNTBLANK(Metadata!B281:F281)=COLUMNS(Metadata!B281:F281)</f>
        <v>0</v>
      </c>
      <c r="O281">
        <v>0</v>
      </c>
      <c r="Q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>
        <f>AND(IF(Metadata!C281="",FALSE,TRUE),exact(Metadata!C281,"human-skin"))</f>
        <v>0</v>
      </c>
      <c r="S281">
        <f>OR(AND(IF(Metadata!D281="",FALSE,TRUE),OR(exact(Metadata!D281,"missing: not collected"),exact(Metadata!D281,"missing: not provided"))),AND(IF(Metadata!D281="",FALSE,TRUE),OR(exact(Metadata!D281,"UBERON:zone of skin"),exact(Metadata!D281,"UBERON:skin of hand"),exact(Metadata!D281,"UBERON:skin of forehead"))))</f>
        <v>0</v>
      </c>
      <c r="T281">
        <f>AND(IF(Metadata!E281="",FALSE,TRUE),exact(Metadata!E281,"human skin metagenome"))</f>
        <v>0</v>
      </c>
      <c r="U281">
        <f>AND(IF(Metadata!F281="",FALSE,TRUE),exact(Metadata!F281,"539655"))</f>
        <v>0</v>
      </c>
    </row>
    <row r="282" spans="1:21">
      <c r="A282" s="4">
        <f>IF(B282=" "," ",HYPERLINK(CONCATENATE("#metadata!",ADDRESS(INDEX($L$2:$L$1001,MATCH(ROWS($J$2:J282),$J$2:$J$1001,0),0),1)),INDEX($O$2:$O$1001,MATCH(ROWS($J$2:J282),$J$2:$J$1001,0),0)))</f>
        <v>0</v>
      </c>
      <c r="B282" s="3">
        <f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>0</v>
      </c>
      <c r="C282" s="3">
        <f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>0</v>
      </c>
      <c r="D282" s="3">
        <f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>0</v>
      </c>
      <c r="E282" s="3">
        <f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>0</v>
      </c>
      <c r="F282" s="3">
        <f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>0</v>
      </c>
      <c r="J282">
        <v>0</v>
      </c>
      <c r="K282">
        <v>0</v>
      </c>
      <c r="L282">
        <v>0</v>
      </c>
      <c r="M282">
        <f>IF(N282,TRUE,AND(Q282:U282))</f>
        <v>0</v>
      </c>
      <c r="N282">
        <f>COUNTBLANK(Metadata!B282:F282)=COLUMNS(Metadata!B282:F282)</f>
        <v>0</v>
      </c>
      <c r="O282">
        <v>0</v>
      </c>
      <c r="Q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>
        <f>AND(IF(Metadata!C282="",FALSE,TRUE),exact(Metadata!C282,"human-skin"))</f>
        <v>0</v>
      </c>
      <c r="S282">
        <f>OR(AND(IF(Metadata!D282="",FALSE,TRUE),OR(exact(Metadata!D282,"missing: not collected"),exact(Metadata!D282,"missing: not provided"))),AND(IF(Metadata!D282="",FALSE,TRUE),OR(exact(Metadata!D282,"UBERON:zone of skin"),exact(Metadata!D282,"UBERON:skin of hand"),exact(Metadata!D282,"UBERON:skin of forehead"))))</f>
        <v>0</v>
      </c>
      <c r="T282">
        <f>AND(IF(Metadata!E282="",FALSE,TRUE),exact(Metadata!E282,"human skin metagenome"))</f>
        <v>0</v>
      </c>
      <c r="U282">
        <f>AND(IF(Metadata!F282="",FALSE,TRUE),exact(Metadata!F282,"539655"))</f>
        <v>0</v>
      </c>
    </row>
    <row r="283" spans="1:21">
      <c r="A283" s="4">
        <f>IF(B283=" "," ",HYPERLINK(CONCATENATE("#metadata!",ADDRESS(INDEX($L$2:$L$1001,MATCH(ROWS($J$2:J283),$J$2:$J$1001,0),0),1)),INDEX($O$2:$O$1001,MATCH(ROWS($J$2:J283),$J$2:$J$1001,0),0)))</f>
        <v>0</v>
      </c>
      <c r="B283" s="3">
        <f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>0</v>
      </c>
      <c r="C283" s="3">
        <f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>0</v>
      </c>
      <c r="D283" s="3">
        <f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>0</v>
      </c>
      <c r="E283" s="3">
        <f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>0</v>
      </c>
      <c r="F283" s="3">
        <f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>0</v>
      </c>
      <c r="J283">
        <v>0</v>
      </c>
      <c r="K283">
        <v>0</v>
      </c>
      <c r="L283">
        <v>0</v>
      </c>
      <c r="M283">
        <f>IF(N283,TRUE,AND(Q283:U283))</f>
        <v>0</v>
      </c>
      <c r="N283">
        <f>COUNTBLANK(Metadata!B283:F283)=COLUMNS(Metadata!B283:F283)</f>
        <v>0</v>
      </c>
      <c r="O283">
        <v>0</v>
      </c>
      <c r="Q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>
        <f>AND(IF(Metadata!C283="",FALSE,TRUE),exact(Metadata!C283,"human-skin"))</f>
        <v>0</v>
      </c>
      <c r="S283">
        <f>OR(AND(IF(Metadata!D283="",FALSE,TRUE),OR(exact(Metadata!D283,"missing: not collected"),exact(Metadata!D283,"missing: not provided"))),AND(IF(Metadata!D283="",FALSE,TRUE),OR(exact(Metadata!D283,"UBERON:zone of skin"),exact(Metadata!D283,"UBERON:skin of hand"),exact(Metadata!D283,"UBERON:skin of forehead"))))</f>
        <v>0</v>
      </c>
      <c r="T283">
        <f>AND(IF(Metadata!E283="",FALSE,TRUE),exact(Metadata!E283,"human skin metagenome"))</f>
        <v>0</v>
      </c>
      <c r="U283">
        <f>AND(IF(Metadata!F283="",FALSE,TRUE),exact(Metadata!F283,"539655"))</f>
        <v>0</v>
      </c>
    </row>
    <row r="284" spans="1:21">
      <c r="A284" s="4">
        <f>IF(B284=" "," ",HYPERLINK(CONCATENATE("#metadata!",ADDRESS(INDEX($L$2:$L$1001,MATCH(ROWS($J$2:J284),$J$2:$J$1001,0),0),1)),INDEX($O$2:$O$1001,MATCH(ROWS($J$2:J284),$J$2:$J$1001,0),0)))</f>
        <v>0</v>
      </c>
      <c r="B284" s="3">
        <f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>0</v>
      </c>
      <c r="C284" s="3">
        <f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>0</v>
      </c>
      <c r="D284" s="3">
        <f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>0</v>
      </c>
      <c r="E284" s="3">
        <f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>0</v>
      </c>
      <c r="F284" s="3">
        <f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>0</v>
      </c>
      <c r="J284">
        <v>0</v>
      </c>
      <c r="K284">
        <v>0</v>
      </c>
      <c r="L284">
        <v>0</v>
      </c>
      <c r="M284">
        <f>IF(N284,TRUE,AND(Q284:U284))</f>
        <v>0</v>
      </c>
      <c r="N284">
        <f>COUNTBLANK(Metadata!B284:F284)=COLUMNS(Metadata!B284:F284)</f>
        <v>0</v>
      </c>
      <c r="O284">
        <v>0</v>
      </c>
      <c r="Q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>
        <f>AND(IF(Metadata!C284="",FALSE,TRUE),exact(Metadata!C284,"human-skin"))</f>
        <v>0</v>
      </c>
      <c r="S284">
        <f>OR(AND(IF(Metadata!D284="",FALSE,TRUE),OR(exact(Metadata!D284,"missing: not collected"),exact(Metadata!D284,"missing: not provided"))),AND(IF(Metadata!D284="",FALSE,TRUE),OR(exact(Metadata!D284,"UBERON:zone of skin"),exact(Metadata!D284,"UBERON:skin of hand"),exact(Metadata!D284,"UBERON:skin of forehead"))))</f>
        <v>0</v>
      </c>
      <c r="T284">
        <f>AND(IF(Metadata!E284="",FALSE,TRUE),exact(Metadata!E284,"human skin metagenome"))</f>
        <v>0</v>
      </c>
      <c r="U284">
        <f>AND(IF(Metadata!F284="",FALSE,TRUE),exact(Metadata!F284,"539655"))</f>
        <v>0</v>
      </c>
    </row>
    <row r="285" spans="1:21">
      <c r="A285" s="4">
        <f>IF(B285=" "," ",HYPERLINK(CONCATENATE("#metadata!",ADDRESS(INDEX($L$2:$L$1001,MATCH(ROWS($J$2:J285),$J$2:$J$1001,0),0),1)),INDEX($O$2:$O$1001,MATCH(ROWS($J$2:J285),$J$2:$J$1001,0),0)))</f>
        <v>0</v>
      </c>
      <c r="B285" s="3">
        <f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>0</v>
      </c>
      <c r="C285" s="3">
        <f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>0</v>
      </c>
      <c r="D285" s="3">
        <f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>0</v>
      </c>
      <c r="E285" s="3">
        <f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>0</v>
      </c>
      <c r="F285" s="3">
        <f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>0</v>
      </c>
      <c r="J285">
        <v>0</v>
      </c>
      <c r="K285">
        <v>0</v>
      </c>
      <c r="L285">
        <v>0</v>
      </c>
      <c r="M285">
        <f>IF(N285,TRUE,AND(Q285:U285))</f>
        <v>0</v>
      </c>
      <c r="N285">
        <f>COUNTBLANK(Metadata!B285:F285)=COLUMNS(Metadata!B285:F285)</f>
        <v>0</v>
      </c>
      <c r="O285">
        <v>0</v>
      </c>
      <c r="Q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>
        <f>AND(IF(Metadata!C285="",FALSE,TRUE),exact(Metadata!C285,"human-skin"))</f>
        <v>0</v>
      </c>
      <c r="S285">
        <f>OR(AND(IF(Metadata!D285="",FALSE,TRUE),OR(exact(Metadata!D285,"missing: not collected"),exact(Metadata!D285,"missing: not provided"))),AND(IF(Metadata!D285="",FALSE,TRUE),OR(exact(Metadata!D285,"UBERON:zone of skin"),exact(Metadata!D285,"UBERON:skin of hand"),exact(Metadata!D285,"UBERON:skin of forehead"))))</f>
        <v>0</v>
      </c>
      <c r="T285">
        <f>AND(IF(Metadata!E285="",FALSE,TRUE),exact(Metadata!E285,"human skin metagenome"))</f>
        <v>0</v>
      </c>
      <c r="U285">
        <f>AND(IF(Metadata!F285="",FALSE,TRUE),exact(Metadata!F285,"539655"))</f>
        <v>0</v>
      </c>
    </row>
    <row r="286" spans="1:21">
      <c r="A286" s="4">
        <f>IF(B286=" "," ",HYPERLINK(CONCATENATE("#metadata!",ADDRESS(INDEX($L$2:$L$1001,MATCH(ROWS($J$2:J286),$J$2:$J$1001,0),0),1)),INDEX($O$2:$O$1001,MATCH(ROWS($J$2:J286),$J$2:$J$1001,0),0)))</f>
        <v>0</v>
      </c>
      <c r="B286" s="3">
        <f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>0</v>
      </c>
      <c r="C286" s="3">
        <f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>0</v>
      </c>
      <c r="D286" s="3">
        <f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>0</v>
      </c>
      <c r="E286" s="3">
        <f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>0</v>
      </c>
      <c r="F286" s="3">
        <f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>0</v>
      </c>
      <c r="J286">
        <v>0</v>
      </c>
      <c r="K286">
        <v>0</v>
      </c>
      <c r="L286">
        <v>0</v>
      </c>
      <c r="M286">
        <f>IF(N286,TRUE,AND(Q286:U286))</f>
        <v>0</v>
      </c>
      <c r="N286">
        <f>COUNTBLANK(Metadata!B286:F286)=COLUMNS(Metadata!B286:F286)</f>
        <v>0</v>
      </c>
      <c r="O286">
        <v>0</v>
      </c>
      <c r="Q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>
        <f>AND(IF(Metadata!C286="",FALSE,TRUE),exact(Metadata!C286,"human-skin"))</f>
        <v>0</v>
      </c>
      <c r="S286">
        <f>OR(AND(IF(Metadata!D286="",FALSE,TRUE),OR(exact(Metadata!D286,"missing: not collected"),exact(Metadata!D286,"missing: not provided"))),AND(IF(Metadata!D286="",FALSE,TRUE),OR(exact(Metadata!D286,"UBERON:zone of skin"),exact(Metadata!D286,"UBERON:skin of hand"),exact(Metadata!D286,"UBERON:skin of forehead"))))</f>
        <v>0</v>
      </c>
      <c r="T286">
        <f>AND(IF(Metadata!E286="",FALSE,TRUE),exact(Metadata!E286,"human skin metagenome"))</f>
        <v>0</v>
      </c>
      <c r="U286">
        <f>AND(IF(Metadata!F286="",FALSE,TRUE),exact(Metadata!F286,"539655"))</f>
        <v>0</v>
      </c>
    </row>
    <row r="287" spans="1:21">
      <c r="A287" s="4">
        <f>IF(B287=" "," ",HYPERLINK(CONCATENATE("#metadata!",ADDRESS(INDEX($L$2:$L$1001,MATCH(ROWS($J$2:J287),$J$2:$J$1001,0),0),1)),INDEX($O$2:$O$1001,MATCH(ROWS($J$2:J287),$J$2:$J$1001,0),0)))</f>
        <v>0</v>
      </c>
      <c r="B287" s="3">
        <f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>0</v>
      </c>
      <c r="C287" s="3">
        <f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>0</v>
      </c>
      <c r="D287" s="3">
        <f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>0</v>
      </c>
      <c r="E287" s="3">
        <f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>0</v>
      </c>
      <c r="F287" s="3">
        <f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>0</v>
      </c>
      <c r="J287">
        <v>0</v>
      </c>
      <c r="K287">
        <v>0</v>
      </c>
      <c r="L287">
        <v>0</v>
      </c>
      <c r="M287">
        <f>IF(N287,TRUE,AND(Q287:U287))</f>
        <v>0</v>
      </c>
      <c r="N287">
        <f>COUNTBLANK(Metadata!B287:F287)=COLUMNS(Metadata!B287:F287)</f>
        <v>0</v>
      </c>
      <c r="O287">
        <v>0</v>
      </c>
      <c r="Q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>
        <f>AND(IF(Metadata!C287="",FALSE,TRUE),exact(Metadata!C287,"human-skin"))</f>
        <v>0</v>
      </c>
      <c r="S287">
        <f>OR(AND(IF(Metadata!D287="",FALSE,TRUE),OR(exact(Metadata!D287,"missing: not collected"),exact(Metadata!D287,"missing: not provided"))),AND(IF(Metadata!D287="",FALSE,TRUE),OR(exact(Metadata!D287,"UBERON:zone of skin"),exact(Metadata!D287,"UBERON:skin of hand"),exact(Metadata!D287,"UBERON:skin of forehead"))))</f>
        <v>0</v>
      </c>
      <c r="T287">
        <f>AND(IF(Metadata!E287="",FALSE,TRUE),exact(Metadata!E287,"human skin metagenome"))</f>
        <v>0</v>
      </c>
      <c r="U287">
        <f>AND(IF(Metadata!F287="",FALSE,TRUE),exact(Metadata!F287,"539655"))</f>
        <v>0</v>
      </c>
    </row>
    <row r="288" spans="1:21">
      <c r="A288" s="4">
        <f>IF(B288=" "," ",HYPERLINK(CONCATENATE("#metadata!",ADDRESS(INDEX($L$2:$L$1001,MATCH(ROWS($J$2:J288),$J$2:$J$1001,0),0),1)),INDEX($O$2:$O$1001,MATCH(ROWS($J$2:J288),$J$2:$J$1001,0),0)))</f>
        <v>0</v>
      </c>
      <c r="B288" s="3">
        <f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>0</v>
      </c>
      <c r="C288" s="3">
        <f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>0</v>
      </c>
      <c r="D288" s="3">
        <f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>0</v>
      </c>
      <c r="E288" s="3">
        <f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>0</v>
      </c>
      <c r="F288" s="3">
        <f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>0</v>
      </c>
      <c r="J288">
        <v>0</v>
      </c>
      <c r="K288">
        <v>0</v>
      </c>
      <c r="L288">
        <v>0</v>
      </c>
      <c r="M288">
        <f>IF(N288,TRUE,AND(Q288:U288))</f>
        <v>0</v>
      </c>
      <c r="N288">
        <f>COUNTBLANK(Metadata!B288:F288)=COLUMNS(Metadata!B288:F288)</f>
        <v>0</v>
      </c>
      <c r="O288">
        <v>0</v>
      </c>
      <c r="Q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>
        <f>AND(IF(Metadata!C288="",FALSE,TRUE),exact(Metadata!C288,"human-skin"))</f>
        <v>0</v>
      </c>
      <c r="S288">
        <f>OR(AND(IF(Metadata!D288="",FALSE,TRUE),OR(exact(Metadata!D288,"missing: not collected"),exact(Metadata!D288,"missing: not provided"))),AND(IF(Metadata!D288="",FALSE,TRUE),OR(exact(Metadata!D288,"UBERON:zone of skin"),exact(Metadata!D288,"UBERON:skin of hand"),exact(Metadata!D288,"UBERON:skin of forehead"))))</f>
        <v>0</v>
      </c>
      <c r="T288">
        <f>AND(IF(Metadata!E288="",FALSE,TRUE),exact(Metadata!E288,"human skin metagenome"))</f>
        <v>0</v>
      </c>
      <c r="U288">
        <f>AND(IF(Metadata!F288="",FALSE,TRUE),exact(Metadata!F288,"539655"))</f>
        <v>0</v>
      </c>
    </row>
    <row r="289" spans="1:21">
      <c r="A289" s="4">
        <f>IF(B289=" "," ",HYPERLINK(CONCATENATE("#metadata!",ADDRESS(INDEX($L$2:$L$1001,MATCH(ROWS($J$2:J289),$J$2:$J$1001,0),0),1)),INDEX($O$2:$O$1001,MATCH(ROWS($J$2:J289),$J$2:$J$1001,0),0)))</f>
        <v>0</v>
      </c>
      <c r="B289" s="3">
        <f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>0</v>
      </c>
      <c r="C289" s="3">
        <f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>0</v>
      </c>
      <c r="D289" s="3">
        <f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>0</v>
      </c>
      <c r="E289" s="3">
        <f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>0</v>
      </c>
      <c r="F289" s="3">
        <f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>0</v>
      </c>
      <c r="J289">
        <v>0</v>
      </c>
      <c r="K289">
        <v>0</v>
      </c>
      <c r="L289">
        <v>0</v>
      </c>
      <c r="M289">
        <f>IF(N289,TRUE,AND(Q289:U289))</f>
        <v>0</v>
      </c>
      <c r="N289">
        <f>COUNTBLANK(Metadata!B289:F289)=COLUMNS(Metadata!B289:F289)</f>
        <v>0</v>
      </c>
      <c r="O289">
        <v>0</v>
      </c>
      <c r="Q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>
        <f>AND(IF(Metadata!C289="",FALSE,TRUE),exact(Metadata!C289,"human-skin"))</f>
        <v>0</v>
      </c>
      <c r="S289">
        <f>OR(AND(IF(Metadata!D289="",FALSE,TRUE),OR(exact(Metadata!D289,"missing: not collected"),exact(Metadata!D289,"missing: not provided"))),AND(IF(Metadata!D289="",FALSE,TRUE),OR(exact(Metadata!D289,"UBERON:zone of skin"),exact(Metadata!D289,"UBERON:skin of hand"),exact(Metadata!D289,"UBERON:skin of forehead"))))</f>
        <v>0</v>
      </c>
      <c r="T289">
        <f>AND(IF(Metadata!E289="",FALSE,TRUE),exact(Metadata!E289,"human skin metagenome"))</f>
        <v>0</v>
      </c>
      <c r="U289">
        <f>AND(IF(Metadata!F289="",FALSE,TRUE),exact(Metadata!F289,"539655"))</f>
        <v>0</v>
      </c>
    </row>
    <row r="290" spans="1:21">
      <c r="A290" s="4">
        <f>IF(B290=" "," ",HYPERLINK(CONCATENATE("#metadata!",ADDRESS(INDEX($L$2:$L$1001,MATCH(ROWS($J$2:J290),$J$2:$J$1001,0),0),1)),INDEX($O$2:$O$1001,MATCH(ROWS($J$2:J290),$J$2:$J$1001,0),0)))</f>
        <v>0</v>
      </c>
      <c r="B290" s="3">
        <f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>0</v>
      </c>
      <c r="C290" s="3">
        <f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>0</v>
      </c>
      <c r="D290" s="3">
        <f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>0</v>
      </c>
      <c r="E290" s="3">
        <f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>0</v>
      </c>
      <c r="F290" s="3">
        <f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>0</v>
      </c>
      <c r="J290">
        <v>0</v>
      </c>
      <c r="K290">
        <v>0</v>
      </c>
      <c r="L290">
        <v>0</v>
      </c>
      <c r="M290">
        <f>IF(N290,TRUE,AND(Q290:U290))</f>
        <v>0</v>
      </c>
      <c r="N290">
        <f>COUNTBLANK(Metadata!B290:F290)=COLUMNS(Metadata!B290:F290)</f>
        <v>0</v>
      </c>
      <c r="O290">
        <v>0</v>
      </c>
      <c r="Q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>
        <f>AND(IF(Metadata!C290="",FALSE,TRUE),exact(Metadata!C290,"human-skin"))</f>
        <v>0</v>
      </c>
      <c r="S290">
        <f>OR(AND(IF(Metadata!D290="",FALSE,TRUE),OR(exact(Metadata!D290,"missing: not collected"),exact(Metadata!D290,"missing: not provided"))),AND(IF(Metadata!D290="",FALSE,TRUE),OR(exact(Metadata!D290,"UBERON:zone of skin"),exact(Metadata!D290,"UBERON:skin of hand"),exact(Metadata!D290,"UBERON:skin of forehead"))))</f>
        <v>0</v>
      </c>
      <c r="T290">
        <f>AND(IF(Metadata!E290="",FALSE,TRUE),exact(Metadata!E290,"human skin metagenome"))</f>
        <v>0</v>
      </c>
      <c r="U290">
        <f>AND(IF(Metadata!F290="",FALSE,TRUE),exact(Metadata!F290,"539655"))</f>
        <v>0</v>
      </c>
    </row>
    <row r="291" spans="1:21">
      <c r="A291" s="4">
        <f>IF(B291=" "," ",HYPERLINK(CONCATENATE("#metadata!",ADDRESS(INDEX($L$2:$L$1001,MATCH(ROWS($J$2:J291),$J$2:$J$1001,0),0),1)),INDEX($O$2:$O$1001,MATCH(ROWS($J$2:J291),$J$2:$J$1001,0),0)))</f>
        <v>0</v>
      </c>
      <c r="B291" s="3">
        <f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>0</v>
      </c>
      <c r="C291" s="3">
        <f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>0</v>
      </c>
      <c r="D291" s="3">
        <f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>0</v>
      </c>
      <c r="E291" s="3">
        <f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>0</v>
      </c>
      <c r="F291" s="3">
        <f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>0</v>
      </c>
      <c r="J291">
        <v>0</v>
      </c>
      <c r="K291">
        <v>0</v>
      </c>
      <c r="L291">
        <v>0</v>
      </c>
      <c r="M291">
        <f>IF(N291,TRUE,AND(Q291:U291))</f>
        <v>0</v>
      </c>
      <c r="N291">
        <f>COUNTBLANK(Metadata!B291:F291)=COLUMNS(Metadata!B291:F291)</f>
        <v>0</v>
      </c>
      <c r="O291">
        <v>0</v>
      </c>
      <c r="Q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>
        <f>AND(IF(Metadata!C291="",FALSE,TRUE),exact(Metadata!C291,"human-skin"))</f>
        <v>0</v>
      </c>
      <c r="S291">
        <f>OR(AND(IF(Metadata!D291="",FALSE,TRUE),OR(exact(Metadata!D291,"missing: not collected"),exact(Metadata!D291,"missing: not provided"))),AND(IF(Metadata!D291="",FALSE,TRUE),OR(exact(Metadata!D291,"UBERON:zone of skin"),exact(Metadata!D291,"UBERON:skin of hand"),exact(Metadata!D291,"UBERON:skin of forehead"))))</f>
        <v>0</v>
      </c>
      <c r="T291">
        <f>AND(IF(Metadata!E291="",FALSE,TRUE),exact(Metadata!E291,"human skin metagenome"))</f>
        <v>0</v>
      </c>
      <c r="U291">
        <f>AND(IF(Metadata!F291="",FALSE,TRUE),exact(Metadata!F291,"539655"))</f>
        <v>0</v>
      </c>
    </row>
    <row r="292" spans="1:21">
      <c r="A292" s="4">
        <f>IF(B292=" "," ",HYPERLINK(CONCATENATE("#metadata!",ADDRESS(INDEX($L$2:$L$1001,MATCH(ROWS($J$2:J292),$J$2:$J$1001,0),0),1)),INDEX($O$2:$O$1001,MATCH(ROWS($J$2:J292),$J$2:$J$1001,0),0)))</f>
        <v>0</v>
      </c>
      <c r="B292" s="3">
        <f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>0</v>
      </c>
      <c r="C292" s="3">
        <f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>0</v>
      </c>
      <c r="D292" s="3">
        <f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>0</v>
      </c>
      <c r="E292" s="3">
        <f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>0</v>
      </c>
      <c r="F292" s="3">
        <f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>0</v>
      </c>
      <c r="J292">
        <v>0</v>
      </c>
      <c r="K292">
        <v>0</v>
      </c>
      <c r="L292">
        <v>0</v>
      </c>
      <c r="M292">
        <f>IF(N292,TRUE,AND(Q292:U292))</f>
        <v>0</v>
      </c>
      <c r="N292">
        <f>COUNTBLANK(Metadata!B292:F292)=COLUMNS(Metadata!B292:F292)</f>
        <v>0</v>
      </c>
      <c r="O292">
        <v>0</v>
      </c>
      <c r="Q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>
        <f>AND(IF(Metadata!C292="",FALSE,TRUE),exact(Metadata!C292,"human-skin"))</f>
        <v>0</v>
      </c>
      <c r="S292">
        <f>OR(AND(IF(Metadata!D292="",FALSE,TRUE),OR(exact(Metadata!D292,"missing: not collected"),exact(Metadata!D292,"missing: not provided"))),AND(IF(Metadata!D292="",FALSE,TRUE),OR(exact(Metadata!D292,"UBERON:zone of skin"),exact(Metadata!D292,"UBERON:skin of hand"),exact(Metadata!D292,"UBERON:skin of forehead"))))</f>
        <v>0</v>
      </c>
      <c r="T292">
        <f>AND(IF(Metadata!E292="",FALSE,TRUE),exact(Metadata!E292,"human skin metagenome"))</f>
        <v>0</v>
      </c>
      <c r="U292">
        <f>AND(IF(Metadata!F292="",FALSE,TRUE),exact(Metadata!F292,"539655"))</f>
        <v>0</v>
      </c>
    </row>
    <row r="293" spans="1:21">
      <c r="A293" s="4">
        <f>IF(B293=" "," ",HYPERLINK(CONCATENATE("#metadata!",ADDRESS(INDEX($L$2:$L$1001,MATCH(ROWS($J$2:J293),$J$2:$J$1001,0),0),1)),INDEX($O$2:$O$1001,MATCH(ROWS($J$2:J293),$J$2:$J$1001,0),0)))</f>
        <v>0</v>
      </c>
      <c r="B293" s="3">
        <f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>0</v>
      </c>
      <c r="C293" s="3">
        <f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>0</v>
      </c>
      <c r="D293" s="3">
        <f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>0</v>
      </c>
      <c r="E293" s="3">
        <f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>0</v>
      </c>
      <c r="F293" s="3">
        <f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>0</v>
      </c>
      <c r="J293">
        <v>0</v>
      </c>
      <c r="K293">
        <v>0</v>
      </c>
      <c r="L293">
        <v>0</v>
      </c>
      <c r="M293">
        <f>IF(N293,TRUE,AND(Q293:U293))</f>
        <v>0</v>
      </c>
      <c r="N293">
        <f>COUNTBLANK(Metadata!B293:F293)=COLUMNS(Metadata!B293:F293)</f>
        <v>0</v>
      </c>
      <c r="O293">
        <v>0</v>
      </c>
      <c r="Q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>
        <f>AND(IF(Metadata!C293="",FALSE,TRUE),exact(Metadata!C293,"human-skin"))</f>
        <v>0</v>
      </c>
      <c r="S293">
        <f>OR(AND(IF(Metadata!D293="",FALSE,TRUE),OR(exact(Metadata!D293,"missing: not collected"),exact(Metadata!D293,"missing: not provided"))),AND(IF(Metadata!D293="",FALSE,TRUE),OR(exact(Metadata!D293,"UBERON:zone of skin"),exact(Metadata!D293,"UBERON:skin of hand"),exact(Metadata!D293,"UBERON:skin of forehead"))))</f>
        <v>0</v>
      </c>
      <c r="T293">
        <f>AND(IF(Metadata!E293="",FALSE,TRUE),exact(Metadata!E293,"human skin metagenome"))</f>
        <v>0</v>
      </c>
      <c r="U293">
        <f>AND(IF(Metadata!F293="",FALSE,TRUE),exact(Metadata!F293,"539655"))</f>
        <v>0</v>
      </c>
    </row>
    <row r="294" spans="1:21">
      <c r="A294" s="4">
        <f>IF(B294=" "," ",HYPERLINK(CONCATENATE("#metadata!",ADDRESS(INDEX($L$2:$L$1001,MATCH(ROWS($J$2:J294),$J$2:$J$1001,0),0),1)),INDEX($O$2:$O$1001,MATCH(ROWS($J$2:J294),$J$2:$J$1001,0),0)))</f>
        <v>0</v>
      </c>
      <c r="B294" s="3">
        <f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>0</v>
      </c>
      <c r="C294" s="3">
        <f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>0</v>
      </c>
      <c r="D294" s="3">
        <f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>0</v>
      </c>
      <c r="E294" s="3">
        <f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>0</v>
      </c>
      <c r="F294" s="3">
        <f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>0</v>
      </c>
      <c r="J294">
        <v>0</v>
      </c>
      <c r="K294">
        <v>0</v>
      </c>
      <c r="L294">
        <v>0</v>
      </c>
      <c r="M294">
        <f>IF(N294,TRUE,AND(Q294:U294))</f>
        <v>0</v>
      </c>
      <c r="N294">
        <f>COUNTBLANK(Metadata!B294:F294)=COLUMNS(Metadata!B294:F294)</f>
        <v>0</v>
      </c>
      <c r="O294">
        <v>0</v>
      </c>
      <c r="Q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>
        <f>AND(IF(Metadata!C294="",FALSE,TRUE),exact(Metadata!C294,"human-skin"))</f>
        <v>0</v>
      </c>
      <c r="S294">
        <f>OR(AND(IF(Metadata!D294="",FALSE,TRUE),OR(exact(Metadata!D294,"missing: not collected"),exact(Metadata!D294,"missing: not provided"))),AND(IF(Metadata!D294="",FALSE,TRUE),OR(exact(Metadata!D294,"UBERON:zone of skin"),exact(Metadata!D294,"UBERON:skin of hand"),exact(Metadata!D294,"UBERON:skin of forehead"))))</f>
        <v>0</v>
      </c>
      <c r="T294">
        <f>AND(IF(Metadata!E294="",FALSE,TRUE),exact(Metadata!E294,"human skin metagenome"))</f>
        <v>0</v>
      </c>
      <c r="U294">
        <f>AND(IF(Metadata!F294="",FALSE,TRUE),exact(Metadata!F294,"539655"))</f>
        <v>0</v>
      </c>
    </row>
    <row r="295" spans="1:21">
      <c r="A295" s="4">
        <f>IF(B295=" "," ",HYPERLINK(CONCATENATE("#metadata!",ADDRESS(INDEX($L$2:$L$1001,MATCH(ROWS($J$2:J295),$J$2:$J$1001,0),0),1)),INDEX($O$2:$O$1001,MATCH(ROWS($J$2:J295),$J$2:$J$1001,0),0)))</f>
        <v>0</v>
      </c>
      <c r="B295" s="3">
        <f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>0</v>
      </c>
      <c r="C295" s="3">
        <f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>0</v>
      </c>
      <c r="D295" s="3">
        <f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>0</v>
      </c>
      <c r="E295" s="3">
        <f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>0</v>
      </c>
      <c r="F295" s="3">
        <f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>0</v>
      </c>
      <c r="J295">
        <v>0</v>
      </c>
      <c r="K295">
        <v>0</v>
      </c>
      <c r="L295">
        <v>0</v>
      </c>
      <c r="M295">
        <f>IF(N295,TRUE,AND(Q295:U295))</f>
        <v>0</v>
      </c>
      <c r="N295">
        <f>COUNTBLANK(Metadata!B295:F295)=COLUMNS(Metadata!B295:F295)</f>
        <v>0</v>
      </c>
      <c r="O295">
        <v>0</v>
      </c>
      <c r="Q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>
        <f>AND(IF(Metadata!C295="",FALSE,TRUE),exact(Metadata!C295,"human-skin"))</f>
        <v>0</v>
      </c>
      <c r="S295">
        <f>OR(AND(IF(Metadata!D295="",FALSE,TRUE),OR(exact(Metadata!D295,"missing: not collected"),exact(Metadata!D295,"missing: not provided"))),AND(IF(Metadata!D295="",FALSE,TRUE),OR(exact(Metadata!D295,"UBERON:zone of skin"),exact(Metadata!D295,"UBERON:skin of hand"),exact(Metadata!D295,"UBERON:skin of forehead"))))</f>
        <v>0</v>
      </c>
      <c r="T295">
        <f>AND(IF(Metadata!E295="",FALSE,TRUE),exact(Metadata!E295,"human skin metagenome"))</f>
        <v>0</v>
      </c>
      <c r="U295">
        <f>AND(IF(Metadata!F295="",FALSE,TRUE),exact(Metadata!F295,"539655"))</f>
        <v>0</v>
      </c>
    </row>
    <row r="296" spans="1:21">
      <c r="A296" s="4">
        <f>IF(B296=" "," ",HYPERLINK(CONCATENATE("#metadata!",ADDRESS(INDEX($L$2:$L$1001,MATCH(ROWS($J$2:J296),$J$2:$J$1001,0),0),1)),INDEX($O$2:$O$1001,MATCH(ROWS($J$2:J296),$J$2:$J$1001,0),0)))</f>
        <v>0</v>
      </c>
      <c r="B296" s="3">
        <f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>0</v>
      </c>
      <c r="C296" s="3">
        <f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>0</v>
      </c>
      <c r="D296" s="3">
        <f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>0</v>
      </c>
      <c r="E296" s="3">
        <f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>0</v>
      </c>
      <c r="F296" s="3">
        <f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>0</v>
      </c>
      <c r="J296">
        <v>0</v>
      </c>
      <c r="K296">
        <v>0</v>
      </c>
      <c r="L296">
        <v>0</v>
      </c>
      <c r="M296">
        <f>IF(N296,TRUE,AND(Q296:U296))</f>
        <v>0</v>
      </c>
      <c r="N296">
        <f>COUNTBLANK(Metadata!B296:F296)=COLUMNS(Metadata!B296:F296)</f>
        <v>0</v>
      </c>
      <c r="O296">
        <v>0</v>
      </c>
      <c r="Q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>
        <f>AND(IF(Metadata!C296="",FALSE,TRUE),exact(Metadata!C296,"human-skin"))</f>
        <v>0</v>
      </c>
      <c r="S296">
        <f>OR(AND(IF(Metadata!D296="",FALSE,TRUE),OR(exact(Metadata!D296,"missing: not collected"),exact(Metadata!D296,"missing: not provided"))),AND(IF(Metadata!D296="",FALSE,TRUE),OR(exact(Metadata!D296,"UBERON:zone of skin"),exact(Metadata!D296,"UBERON:skin of hand"),exact(Metadata!D296,"UBERON:skin of forehead"))))</f>
        <v>0</v>
      </c>
      <c r="T296">
        <f>AND(IF(Metadata!E296="",FALSE,TRUE),exact(Metadata!E296,"human skin metagenome"))</f>
        <v>0</v>
      </c>
      <c r="U296">
        <f>AND(IF(Metadata!F296="",FALSE,TRUE),exact(Metadata!F296,"539655"))</f>
        <v>0</v>
      </c>
    </row>
    <row r="297" spans="1:21">
      <c r="A297" s="4">
        <f>IF(B297=" "," ",HYPERLINK(CONCATENATE("#metadata!",ADDRESS(INDEX($L$2:$L$1001,MATCH(ROWS($J$2:J297),$J$2:$J$1001,0),0),1)),INDEX($O$2:$O$1001,MATCH(ROWS($J$2:J297),$J$2:$J$1001,0),0)))</f>
        <v>0</v>
      </c>
      <c r="B297" s="3">
        <f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>0</v>
      </c>
      <c r="C297" s="3">
        <f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>0</v>
      </c>
      <c r="D297" s="3">
        <f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>0</v>
      </c>
      <c r="E297" s="3">
        <f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>0</v>
      </c>
      <c r="F297" s="3">
        <f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>0</v>
      </c>
      <c r="J297">
        <v>0</v>
      </c>
      <c r="K297">
        <v>0</v>
      </c>
      <c r="L297">
        <v>0</v>
      </c>
      <c r="M297">
        <f>IF(N297,TRUE,AND(Q297:U297))</f>
        <v>0</v>
      </c>
      <c r="N297">
        <f>COUNTBLANK(Metadata!B297:F297)=COLUMNS(Metadata!B297:F297)</f>
        <v>0</v>
      </c>
      <c r="O297">
        <v>0</v>
      </c>
      <c r="Q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>
        <f>AND(IF(Metadata!C297="",FALSE,TRUE),exact(Metadata!C297,"human-skin"))</f>
        <v>0</v>
      </c>
      <c r="S297">
        <f>OR(AND(IF(Metadata!D297="",FALSE,TRUE),OR(exact(Metadata!D297,"missing: not collected"),exact(Metadata!D297,"missing: not provided"))),AND(IF(Metadata!D297="",FALSE,TRUE),OR(exact(Metadata!D297,"UBERON:zone of skin"),exact(Metadata!D297,"UBERON:skin of hand"),exact(Metadata!D297,"UBERON:skin of forehead"))))</f>
        <v>0</v>
      </c>
      <c r="T297">
        <f>AND(IF(Metadata!E297="",FALSE,TRUE),exact(Metadata!E297,"human skin metagenome"))</f>
        <v>0</v>
      </c>
      <c r="U297">
        <f>AND(IF(Metadata!F297="",FALSE,TRUE),exact(Metadata!F297,"539655"))</f>
        <v>0</v>
      </c>
    </row>
    <row r="298" spans="1:21">
      <c r="A298" s="4">
        <f>IF(B298=" "," ",HYPERLINK(CONCATENATE("#metadata!",ADDRESS(INDEX($L$2:$L$1001,MATCH(ROWS($J$2:J298),$J$2:$J$1001,0),0),1)),INDEX($O$2:$O$1001,MATCH(ROWS($J$2:J298),$J$2:$J$1001,0),0)))</f>
        <v>0</v>
      </c>
      <c r="B298" s="3">
        <f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>0</v>
      </c>
      <c r="C298" s="3">
        <f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>0</v>
      </c>
      <c r="D298" s="3">
        <f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>0</v>
      </c>
      <c r="E298" s="3">
        <f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>0</v>
      </c>
      <c r="F298" s="3">
        <f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>0</v>
      </c>
      <c r="J298">
        <v>0</v>
      </c>
      <c r="K298">
        <v>0</v>
      </c>
      <c r="L298">
        <v>0</v>
      </c>
      <c r="M298">
        <f>IF(N298,TRUE,AND(Q298:U298))</f>
        <v>0</v>
      </c>
      <c r="N298">
        <f>COUNTBLANK(Metadata!B298:F298)=COLUMNS(Metadata!B298:F298)</f>
        <v>0</v>
      </c>
      <c r="O298">
        <v>0</v>
      </c>
      <c r="Q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>
        <f>AND(IF(Metadata!C298="",FALSE,TRUE),exact(Metadata!C298,"human-skin"))</f>
        <v>0</v>
      </c>
      <c r="S298">
        <f>OR(AND(IF(Metadata!D298="",FALSE,TRUE),OR(exact(Metadata!D298,"missing: not collected"),exact(Metadata!D298,"missing: not provided"))),AND(IF(Metadata!D298="",FALSE,TRUE),OR(exact(Metadata!D298,"UBERON:zone of skin"),exact(Metadata!D298,"UBERON:skin of hand"),exact(Metadata!D298,"UBERON:skin of forehead"))))</f>
        <v>0</v>
      </c>
      <c r="T298">
        <f>AND(IF(Metadata!E298="",FALSE,TRUE),exact(Metadata!E298,"human skin metagenome"))</f>
        <v>0</v>
      </c>
      <c r="U298">
        <f>AND(IF(Metadata!F298="",FALSE,TRUE),exact(Metadata!F298,"539655"))</f>
        <v>0</v>
      </c>
    </row>
    <row r="299" spans="1:21">
      <c r="A299" s="4">
        <f>IF(B299=" "," ",HYPERLINK(CONCATENATE("#metadata!",ADDRESS(INDEX($L$2:$L$1001,MATCH(ROWS($J$2:J299),$J$2:$J$1001,0),0),1)),INDEX($O$2:$O$1001,MATCH(ROWS($J$2:J299),$J$2:$J$1001,0),0)))</f>
        <v>0</v>
      </c>
      <c r="B299" s="3">
        <f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>0</v>
      </c>
      <c r="C299" s="3">
        <f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>0</v>
      </c>
      <c r="D299" s="3">
        <f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>0</v>
      </c>
      <c r="E299" s="3">
        <f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>0</v>
      </c>
      <c r="F299" s="3">
        <f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>0</v>
      </c>
      <c r="J299">
        <v>0</v>
      </c>
      <c r="K299">
        <v>0</v>
      </c>
      <c r="L299">
        <v>0</v>
      </c>
      <c r="M299">
        <f>IF(N299,TRUE,AND(Q299:U299))</f>
        <v>0</v>
      </c>
      <c r="N299">
        <f>COUNTBLANK(Metadata!B299:F299)=COLUMNS(Metadata!B299:F299)</f>
        <v>0</v>
      </c>
      <c r="O299">
        <v>0</v>
      </c>
      <c r="Q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>
        <f>AND(IF(Metadata!C299="",FALSE,TRUE),exact(Metadata!C299,"human-skin"))</f>
        <v>0</v>
      </c>
      <c r="S299">
        <f>OR(AND(IF(Metadata!D299="",FALSE,TRUE),OR(exact(Metadata!D299,"missing: not collected"),exact(Metadata!D299,"missing: not provided"))),AND(IF(Metadata!D299="",FALSE,TRUE),OR(exact(Metadata!D299,"UBERON:zone of skin"),exact(Metadata!D299,"UBERON:skin of hand"),exact(Metadata!D299,"UBERON:skin of forehead"))))</f>
        <v>0</v>
      </c>
      <c r="T299">
        <f>AND(IF(Metadata!E299="",FALSE,TRUE),exact(Metadata!E299,"human skin metagenome"))</f>
        <v>0</v>
      </c>
      <c r="U299">
        <f>AND(IF(Metadata!F299="",FALSE,TRUE),exact(Metadata!F299,"539655"))</f>
        <v>0</v>
      </c>
    </row>
    <row r="300" spans="1:21">
      <c r="A300" s="4">
        <f>IF(B300=" "," ",HYPERLINK(CONCATENATE("#metadata!",ADDRESS(INDEX($L$2:$L$1001,MATCH(ROWS($J$2:J300),$J$2:$J$1001,0),0),1)),INDEX($O$2:$O$1001,MATCH(ROWS($J$2:J300),$J$2:$J$1001,0),0)))</f>
        <v>0</v>
      </c>
      <c r="B300" s="3">
        <f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>0</v>
      </c>
      <c r="C300" s="3">
        <f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>0</v>
      </c>
      <c r="D300" s="3">
        <f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>0</v>
      </c>
      <c r="E300" s="3">
        <f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>0</v>
      </c>
      <c r="F300" s="3">
        <f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>0</v>
      </c>
      <c r="J300">
        <v>0</v>
      </c>
      <c r="K300">
        <v>0</v>
      </c>
      <c r="L300">
        <v>0</v>
      </c>
      <c r="M300">
        <f>IF(N300,TRUE,AND(Q300:U300))</f>
        <v>0</v>
      </c>
      <c r="N300">
        <f>COUNTBLANK(Metadata!B300:F300)=COLUMNS(Metadata!B300:F300)</f>
        <v>0</v>
      </c>
      <c r="O300">
        <v>0</v>
      </c>
      <c r="Q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>
        <f>AND(IF(Metadata!C300="",FALSE,TRUE),exact(Metadata!C300,"human-skin"))</f>
        <v>0</v>
      </c>
      <c r="S300">
        <f>OR(AND(IF(Metadata!D300="",FALSE,TRUE),OR(exact(Metadata!D300,"missing: not collected"),exact(Metadata!D300,"missing: not provided"))),AND(IF(Metadata!D300="",FALSE,TRUE),OR(exact(Metadata!D300,"UBERON:zone of skin"),exact(Metadata!D300,"UBERON:skin of hand"),exact(Metadata!D300,"UBERON:skin of forehead"))))</f>
        <v>0</v>
      </c>
      <c r="T300">
        <f>AND(IF(Metadata!E300="",FALSE,TRUE),exact(Metadata!E300,"human skin metagenome"))</f>
        <v>0</v>
      </c>
      <c r="U300">
        <f>AND(IF(Metadata!F300="",FALSE,TRUE),exact(Metadata!F300,"539655"))</f>
        <v>0</v>
      </c>
    </row>
    <row r="301" spans="1:21">
      <c r="A301" s="4">
        <f>IF(B301=" "," ",HYPERLINK(CONCATENATE("#metadata!",ADDRESS(INDEX($L$2:$L$1001,MATCH(ROWS($J$2:J301),$J$2:$J$1001,0),0),1)),INDEX($O$2:$O$1001,MATCH(ROWS($J$2:J301),$J$2:$J$1001,0),0)))</f>
        <v>0</v>
      </c>
      <c r="B301" s="3">
        <f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>0</v>
      </c>
      <c r="C301" s="3">
        <f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>0</v>
      </c>
      <c r="D301" s="3">
        <f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>0</v>
      </c>
      <c r="E301" s="3">
        <f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>0</v>
      </c>
      <c r="F301" s="3">
        <f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>0</v>
      </c>
      <c r="J301">
        <v>0</v>
      </c>
      <c r="K301">
        <v>0</v>
      </c>
      <c r="L301">
        <v>0</v>
      </c>
      <c r="M301">
        <f>IF(N301,TRUE,AND(Q301:U301))</f>
        <v>0</v>
      </c>
      <c r="N301">
        <f>COUNTBLANK(Metadata!B301:F301)=COLUMNS(Metadata!B301:F301)</f>
        <v>0</v>
      </c>
      <c r="O301">
        <v>0</v>
      </c>
      <c r="Q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>
        <f>AND(IF(Metadata!C301="",FALSE,TRUE),exact(Metadata!C301,"human-skin"))</f>
        <v>0</v>
      </c>
      <c r="S301">
        <f>OR(AND(IF(Metadata!D301="",FALSE,TRUE),OR(exact(Metadata!D301,"missing: not collected"),exact(Metadata!D301,"missing: not provided"))),AND(IF(Metadata!D301="",FALSE,TRUE),OR(exact(Metadata!D301,"UBERON:zone of skin"),exact(Metadata!D301,"UBERON:skin of hand"),exact(Metadata!D301,"UBERON:skin of forehead"))))</f>
        <v>0</v>
      </c>
      <c r="T301">
        <f>AND(IF(Metadata!E301="",FALSE,TRUE),exact(Metadata!E301,"human skin metagenome"))</f>
        <v>0</v>
      </c>
      <c r="U301">
        <f>AND(IF(Metadata!F301="",FALSE,TRUE),exact(Metadata!F301,"539655"))</f>
        <v>0</v>
      </c>
    </row>
    <row r="302" spans="1:21">
      <c r="A302" s="4">
        <f>IF(B302=" "," ",HYPERLINK(CONCATENATE("#metadata!",ADDRESS(INDEX($L$2:$L$1001,MATCH(ROWS($J$2:J302),$J$2:$J$1001,0),0),1)),INDEX($O$2:$O$1001,MATCH(ROWS($J$2:J302),$J$2:$J$1001,0),0)))</f>
        <v>0</v>
      </c>
      <c r="B302" s="3">
        <f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>0</v>
      </c>
      <c r="C302" s="3">
        <f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>0</v>
      </c>
      <c r="D302" s="3">
        <f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>0</v>
      </c>
      <c r="E302" s="3">
        <f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>0</v>
      </c>
      <c r="F302" s="3">
        <f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>0</v>
      </c>
      <c r="J302">
        <v>0</v>
      </c>
      <c r="K302">
        <v>0</v>
      </c>
      <c r="L302">
        <v>0</v>
      </c>
      <c r="M302">
        <f>IF(N302,TRUE,AND(Q302:U302))</f>
        <v>0</v>
      </c>
      <c r="N302">
        <f>COUNTBLANK(Metadata!B302:F302)=COLUMNS(Metadata!B302:F302)</f>
        <v>0</v>
      </c>
      <c r="O302">
        <v>0</v>
      </c>
      <c r="Q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>
        <f>AND(IF(Metadata!C302="",FALSE,TRUE),exact(Metadata!C302,"human-skin"))</f>
        <v>0</v>
      </c>
      <c r="S302">
        <f>OR(AND(IF(Metadata!D302="",FALSE,TRUE),OR(exact(Metadata!D302,"missing: not collected"),exact(Metadata!D302,"missing: not provided"))),AND(IF(Metadata!D302="",FALSE,TRUE),OR(exact(Metadata!D302,"UBERON:zone of skin"),exact(Metadata!D302,"UBERON:skin of hand"),exact(Metadata!D302,"UBERON:skin of forehead"))))</f>
        <v>0</v>
      </c>
      <c r="T302">
        <f>AND(IF(Metadata!E302="",FALSE,TRUE),exact(Metadata!E302,"human skin metagenome"))</f>
        <v>0</v>
      </c>
      <c r="U302">
        <f>AND(IF(Metadata!F302="",FALSE,TRUE),exact(Metadata!F302,"539655"))</f>
        <v>0</v>
      </c>
    </row>
    <row r="303" spans="1:21">
      <c r="A303" s="4">
        <f>IF(B303=" "," ",HYPERLINK(CONCATENATE("#metadata!",ADDRESS(INDEX($L$2:$L$1001,MATCH(ROWS($J$2:J303),$J$2:$J$1001,0),0),1)),INDEX($O$2:$O$1001,MATCH(ROWS($J$2:J303),$J$2:$J$1001,0),0)))</f>
        <v>0</v>
      </c>
      <c r="B303" s="3">
        <f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>0</v>
      </c>
      <c r="C303" s="3">
        <f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>0</v>
      </c>
      <c r="D303" s="3">
        <f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>0</v>
      </c>
      <c r="E303" s="3">
        <f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>0</v>
      </c>
      <c r="F303" s="3">
        <f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>0</v>
      </c>
      <c r="J303">
        <v>0</v>
      </c>
      <c r="K303">
        <v>0</v>
      </c>
      <c r="L303">
        <v>0</v>
      </c>
      <c r="M303">
        <f>IF(N303,TRUE,AND(Q303:U303))</f>
        <v>0</v>
      </c>
      <c r="N303">
        <f>COUNTBLANK(Metadata!B303:F303)=COLUMNS(Metadata!B303:F303)</f>
        <v>0</v>
      </c>
      <c r="O303">
        <v>0</v>
      </c>
      <c r="Q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>
        <f>AND(IF(Metadata!C303="",FALSE,TRUE),exact(Metadata!C303,"human-skin"))</f>
        <v>0</v>
      </c>
      <c r="S303">
        <f>OR(AND(IF(Metadata!D303="",FALSE,TRUE),OR(exact(Metadata!D303,"missing: not collected"),exact(Metadata!D303,"missing: not provided"))),AND(IF(Metadata!D303="",FALSE,TRUE),OR(exact(Metadata!D303,"UBERON:zone of skin"),exact(Metadata!D303,"UBERON:skin of hand"),exact(Metadata!D303,"UBERON:skin of forehead"))))</f>
        <v>0</v>
      </c>
      <c r="T303">
        <f>AND(IF(Metadata!E303="",FALSE,TRUE),exact(Metadata!E303,"human skin metagenome"))</f>
        <v>0</v>
      </c>
      <c r="U303">
        <f>AND(IF(Metadata!F303="",FALSE,TRUE),exact(Metadata!F303,"539655"))</f>
        <v>0</v>
      </c>
    </row>
    <row r="304" spans="1:21">
      <c r="A304" s="4">
        <f>IF(B304=" "," ",HYPERLINK(CONCATENATE("#metadata!",ADDRESS(INDEX($L$2:$L$1001,MATCH(ROWS($J$2:J304),$J$2:$J$1001,0),0),1)),INDEX($O$2:$O$1001,MATCH(ROWS($J$2:J304),$J$2:$J$1001,0),0)))</f>
        <v>0</v>
      </c>
      <c r="B304" s="3">
        <f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>0</v>
      </c>
      <c r="C304" s="3">
        <f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>0</v>
      </c>
      <c r="D304" s="3">
        <f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>0</v>
      </c>
      <c r="E304" s="3">
        <f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>0</v>
      </c>
      <c r="F304" s="3">
        <f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>0</v>
      </c>
      <c r="J304">
        <v>0</v>
      </c>
      <c r="K304">
        <v>0</v>
      </c>
      <c r="L304">
        <v>0</v>
      </c>
      <c r="M304">
        <f>IF(N304,TRUE,AND(Q304:U304))</f>
        <v>0</v>
      </c>
      <c r="N304">
        <f>COUNTBLANK(Metadata!B304:F304)=COLUMNS(Metadata!B304:F304)</f>
        <v>0</v>
      </c>
      <c r="O304">
        <v>0</v>
      </c>
      <c r="Q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>
        <f>AND(IF(Metadata!C304="",FALSE,TRUE),exact(Metadata!C304,"human-skin"))</f>
        <v>0</v>
      </c>
      <c r="S304">
        <f>OR(AND(IF(Metadata!D304="",FALSE,TRUE),OR(exact(Metadata!D304,"missing: not collected"),exact(Metadata!D304,"missing: not provided"))),AND(IF(Metadata!D304="",FALSE,TRUE),OR(exact(Metadata!D304,"UBERON:zone of skin"),exact(Metadata!D304,"UBERON:skin of hand"),exact(Metadata!D304,"UBERON:skin of forehead"))))</f>
        <v>0</v>
      </c>
      <c r="T304">
        <f>AND(IF(Metadata!E304="",FALSE,TRUE),exact(Metadata!E304,"human skin metagenome"))</f>
        <v>0</v>
      </c>
      <c r="U304">
        <f>AND(IF(Metadata!F304="",FALSE,TRUE),exact(Metadata!F304,"539655"))</f>
        <v>0</v>
      </c>
    </row>
    <row r="305" spans="1:21">
      <c r="A305" s="4">
        <f>IF(B305=" "," ",HYPERLINK(CONCATENATE("#metadata!",ADDRESS(INDEX($L$2:$L$1001,MATCH(ROWS($J$2:J305),$J$2:$J$1001,0),0),1)),INDEX($O$2:$O$1001,MATCH(ROWS($J$2:J305),$J$2:$J$1001,0),0)))</f>
        <v>0</v>
      </c>
      <c r="B305" s="3">
        <f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>0</v>
      </c>
      <c r="C305" s="3">
        <f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>0</v>
      </c>
      <c r="D305" s="3">
        <f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>0</v>
      </c>
      <c r="E305" s="3">
        <f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>0</v>
      </c>
      <c r="F305" s="3">
        <f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>0</v>
      </c>
      <c r="J305">
        <v>0</v>
      </c>
      <c r="K305">
        <v>0</v>
      </c>
      <c r="L305">
        <v>0</v>
      </c>
      <c r="M305">
        <f>IF(N305,TRUE,AND(Q305:U305))</f>
        <v>0</v>
      </c>
      <c r="N305">
        <f>COUNTBLANK(Metadata!B305:F305)=COLUMNS(Metadata!B305:F305)</f>
        <v>0</v>
      </c>
      <c r="O305">
        <v>0</v>
      </c>
      <c r="Q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>
        <f>AND(IF(Metadata!C305="",FALSE,TRUE),exact(Metadata!C305,"human-skin"))</f>
        <v>0</v>
      </c>
      <c r="S305">
        <f>OR(AND(IF(Metadata!D305="",FALSE,TRUE),OR(exact(Metadata!D305,"missing: not collected"),exact(Metadata!D305,"missing: not provided"))),AND(IF(Metadata!D305="",FALSE,TRUE),OR(exact(Metadata!D305,"UBERON:zone of skin"),exact(Metadata!D305,"UBERON:skin of hand"),exact(Metadata!D305,"UBERON:skin of forehead"))))</f>
        <v>0</v>
      </c>
      <c r="T305">
        <f>AND(IF(Metadata!E305="",FALSE,TRUE),exact(Metadata!E305,"human skin metagenome"))</f>
        <v>0</v>
      </c>
      <c r="U305">
        <f>AND(IF(Metadata!F305="",FALSE,TRUE),exact(Metadata!F305,"539655"))</f>
        <v>0</v>
      </c>
    </row>
    <row r="306" spans="1:21">
      <c r="A306" s="4">
        <f>IF(B306=" "," ",HYPERLINK(CONCATENATE("#metadata!",ADDRESS(INDEX($L$2:$L$1001,MATCH(ROWS($J$2:J306),$J$2:$J$1001,0),0),1)),INDEX($O$2:$O$1001,MATCH(ROWS($J$2:J306),$J$2:$J$1001,0),0)))</f>
        <v>0</v>
      </c>
      <c r="B306" s="3">
        <f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>0</v>
      </c>
      <c r="C306" s="3">
        <f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>0</v>
      </c>
      <c r="D306" s="3">
        <f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>0</v>
      </c>
      <c r="E306" s="3">
        <f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>0</v>
      </c>
      <c r="F306" s="3">
        <f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>0</v>
      </c>
      <c r="J306">
        <v>0</v>
      </c>
      <c r="K306">
        <v>0</v>
      </c>
      <c r="L306">
        <v>0</v>
      </c>
      <c r="M306">
        <f>IF(N306,TRUE,AND(Q306:U306))</f>
        <v>0</v>
      </c>
      <c r="N306">
        <f>COUNTBLANK(Metadata!B306:F306)=COLUMNS(Metadata!B306:F306)</f>
        <v>0</v>
      </c>
      <c r="O306">
        <v>0</v>
      </c>
      <c r="Q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>
        <f>AND(IF(Metadata!C306="",FALSE,TRUE),exact(Metadata!C306,"human-skin"))</f>
        <v>0</v>
      </c>
      <c r="S306">
        <f>OR(AND(IF(Metadata!D306="",FALSE,TRUE),OR(exact(Metadata!D306,"missing: not collected"),exact(Metadata!D306,"missing: not provided"))),AND(IF(Metadata!D306="",FALSE,TRUE),OR(exact(Metadata!D306,"UBERON:zone of skin"),exact(Metadata!D306,"UBERON:skin of hand"),exact(Metadata!D306,"UBERON:skin of forehead"))))</f>
        <v>0</v>
      </c>
      <c r="T306">
        <f>AND(IF(Metadata!E306="",FALSE,TRUE),exact(Metadata!E306,"human skin metagenome"))</f>
        <v>0</v>
      </c>
      <c r="U306">
        <f>AND(IF(Metadata!F306="",FALSE,TRUE),exact(Metadata!F306,"539655"))</f>
        <v>0</v>
      </c>
    </row>
    <row r="307" spans="1:21">
      <c r="A307" s="4">
        <f>IF(B307=" "," ",HYPERLINK(CONCATENATE("#metadata!",ADDRESS(INDEX($L$2:$L$1001,MATCH(ROWS($J$2:J307),$J$2:$J$1001,0),0),1)),INDEX($O$2:$O$1001,MATCH(ROWS($J$2:J307),$J$2:$J$1001,0),0)))</f>
        <v>0</v>
      </c>
      <c r="B307" s="3">
        <f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>0</v>
      </c>
      <c r="C307" s="3">
        <f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>0</v>
      </c>
      <c r="D307" s="3">
        <f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>0</v>
      </c>
      <c r="E307" s="3">
        <f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>0</v>
      </c>
      <c r="F307" s="3">
        <f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>0</v>
      </c>
      <c r="J307">
        <v>0</v>
      </c>
      <c r="K307">
        <v>0</v>
      </c>
      <c r="L307">
        <v>0</v>
      </c>
      <c r="M307">
        <f>IF(N307,TRUE,AND(Q307:U307))</f>
        <v>0</v>
      </c>
      <c r="N307">
        <f>COUNTBLANK(Metadata!B307:F307)=COLUMNS(Metadata!B307:F307)</f>
        <v>0</v>
      </c>
      <c r="O307">
        <v>0</v>
      </c>
      <c r="Q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>
        <f>AND(IF(Metadata!C307="",FALSE,TRUE),exact(Metadata!C307,"human-skin"))</f>
        <v>0</v>
      </c>
      <c r="S307">
        <f>OR(AND(IF(Metadata!D307="",FALSE,TRUE),OR(exact(Metadata!D307,"missing: not collected"),exact(Metadata!D307,"missing: not provided"))),AND(IF(Metadata!D307="",FALSE,TRUE),OR(exact(Metadata!D307,"UBERON:zone of skin"),exact(Metadata!D307,"UBERON:skin of hand"),exact(Metadata!D307,"UBERON:skin of forehead"))))</f>
        <v>0</v>
      </c>
      <c r="T307">
        <f>AND(IF(Metadata!E307="",FALSE,TRUE),exact(Metadata!E307,"human skin metagenome"))</f>
        <v>0</v>
      </c>
      <c r="U307">
        <f>AND(IF(Metadata!F307="",FALSE,TRUE),exact(Metadata!F307,"539655"))</f>
        <v>0</v>
      </c>
    </row>
    <row r="308" spans="1:21">
      <c r="A308" s="4">
        <f>IF(B308=" "," ",HYPERLINK(CONCATENATE("#metadata!",ADDRESS(INDEX($L$2:$L$1001,MATCH(ROWS($J$2:J308),$J$2:$J$1001,0),0),1)),INDEX($O$2:$O$1001,MATCH(ROWS($J$2:J308),$J$2:$J$1001,0),0)))</f>
        <v>0</v>
      </c>
      <c r="B308" s="3">
        <f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>0</v>
      </c>
      <c r="C308" s="3">
        <f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>0</v>
      </c>
      <c r="D308" s="3">
        <f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>0</v>
      </c>
      <c r="E308" s="3">
        <f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>0</v>
      </c>
      <c r="F308" s="3">
        <f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>0</v>
      </c>
      <c r="J308">
        <v>0</v>
      </c>
      <c r="K308">
        <v>0</v>
      </c>
      <c r="L308">
        <v>0</v>
      </c>
      <c r="M308">
        <f>IF(N308,TRUE,AND(Q308:U308))</f>
        <v>0</v>
      </c>
      <c r="N308">
        <f>COUNTBLANK(Metadata!B308:F308)=COLUMNS(Metadata!B308:F308)</f>
        <v>0</v>
      </c>
      <c r="O308">
        <v>0</v>
      </c>
      <c r="Q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>
        <f>AND(IF(Metadata!C308="",FALSE,TRUE),exact(Metadata!C308,"human-skin"))</f>
        <v>0</v>
      </c>
      <c r="S308">
        <f>OR(AND(IF(Metadata!D308="",FALSE,TRUE),OR(exact(Metadata!D308,"missing: not collected"),exact(Metadata!D308,"missing: not provided"))),AND(IF(Metadata!D308="",FALSE,TRUE),OR(exact(Metadata!D308,"UBERON:zone of skin"),exact(Metadata!D308,"UBERON:skin of hand"),exact(Metadata!D308,"UBERON:skin of forehead"))))</f>
        <v>0</v>
      </c>
      <c r="T308">
        <f>AND(IF(Metadata!E308="",FALSE,TRUE),exact(Metadata!E308,"human skin metagenome"))</f>
        <v>0</v>
      </c>
      <c r="U308">
        <f>AND(IF(Metadata!F308="",FALSE,TRUE),exact(Metadata!F308,"539655"))</f>
        <v>0</v>
      </c>
    </row>
    <row r="309" spans="1:21">
      <c r="A309" s="4">
        <f>IF(B309=" "," ",HYPERLINK(CONCATENATE("#metadata!",ADDRESS(INDEX($L$2:$L$1001,MATCH(ROWS($J$2:J309),$J$2:$J$1001,0),0),1)),INDEX($O$2:$O$1001,MATCH(ROWS($J$2:J309),$J$2:$J$1001,0),0)))</f>
        <v>0</v>
      </c>
      <c r="B309" s="3">
        <f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>0</v>
      </c>
      <c r="C309" s="3">
        <f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>0</v>
      </c>
      <c r="D309" s="3">
        <f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>0</v>
      </c>
      <c r="E309" s="3">
        <f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>0</v>
      </c>
      <c r="F309" s="3">
        <f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>0</v>
      </c>
      <c r="J309">
        <v>0</v>
      </c>
      <c r="K309">
        <v>0</v>
      </c>
      <c r="L309">
        <v>0</v>
      </c>
      <c r="M309">
        <f>IF(N309,TRUE,AND(Q309:U309))</f>
        <v>0</v>
      </c>
      <c r="N309">
        <f>COUNTBLANK(Metadata!B309:F309)=COLUMNS(Metadata!B309:F309)</f>
        <v>0</v>
      </c>
      <c r="O309">
        <v>0</v>
      </c>
      <c r="Q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>
        <f>AND(IF(Metadata!C309="",FALSE,TRUE),exact(Metadata!C309,"human-skin"))</f>
        <v>0</v>
      </c>
      <c r="S309">
        <f>OR(AND(IF(Metadata!D309="",FALSE,TRUE),OR(exact(Metadata!D309,"missing: not collected"),exact(Metadata!D309,"missing: not provided"))),AND(IF(Metadata!D309="",FALSE,TRUE),OR(exact(Metadata!D309,"UBERON:zone of skin"),exact(Metadata!D309,"UBERON:skin of hand"),exact(Metadata!D309,"UBERON:skin of forehead"))))</f>
        <v>0</v>
      </c>
      <c r="T309">
        <f>AND(IF(Metadata!E309="",FALSE,TRUE),exact(Metadata!E309,"human skin metagenome"))</f>
        <v>0</v>
      </c>
      <c r="U309">
        <f>AND(IF(Metadata!F309="",FALSE,TRUE),exact(Metadata!F309,"539655"))</f>
        <v>0</v>
      </c>
    </row>
    <row r="310" spans="1:21">
      <c r="A310" s="4">
        <f>IF(B310=" "," ",HYPERLINK(CONCATENATE("#metadata!",ADDRESS(INDEX($L$2:$L$1001,MATCH(ROWS($J$2:J310),$J$2:$J$1001,0),0),1)),INDEX($O$2:$O$1001,MATCH(ROWS($J$2:J310),$J$2:$J$1001,0),0)))</f>
        <v>0</v>
      </c>
      <c r="B310" s="3">
        <f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>0</v>
      </c>
      <c r="C310" s="3">
        <f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>0</v>
      </c>
      <c r="D310" s="3">
        <f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>0</v>
      </c>
      <c r="E310" s="3">
        <f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>0</v>
      </c>
      <c r="F310" s="3">
        <f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>0</v>
      </c>
      <c r="J310">
        <v>0</v>
      </c>
      <c r="K310">
        <v>0</v>
      </c>
      <c r="L310">
        <v>0</v>
      </c>
      <c r="M310">
        <f>IF(N310,TRUE,AND(Q310:U310))</f>
        <v>0</v>
      </c>
      <c r="N310">
        <f>COUNTBLANK(Metadata!B310:F310)=COLUMNS(Metadata!B310:F310)</f>
        <v>0</v>
      </c>
      <c r="O310">
        <v>0</v>
      </c>
      <c r="Q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>
        <f>AND(IF(Metadata!C310="",FALSE,TRUE),exact(Metadata!C310,"human-skin"))</f>
        <v>0</v>
      </c>
      <c r="S310">
        <f>OR(AND(IF(Metadata!D310="",FALSE,TRUE),OR(exact(Metadata!D310,"missing: not collected"),exact(Metadata!D310,"missing: not provided"))),AND(IF(Metadata!D310="",FALSE,TRUE),OR(exact(Metadata!D310,"UBERON:zone of skin"),exact(Metadata!D310,"UBERON:skin of hand"),exact(Metadata!D310,"UBERON:skin of forehead"))))</f>
        <v>0</v>
      </c>
      <c r="T310">
        <f>AND(IF(Metadata!E310="",FALSE,TRUE),exact(Metadata!E310,"human skin metagenome"))</f>
        <v>0</v>
      </c>
      <c r="U310">
        <f>AND(IF(Metadata!F310="",FALSE,TRUE),exact(Metadata!F310,"539655"))</f>
        <v>0</v>
      </c>
    </row>
    <row r="311" spans="1:21">
      <c r="A311" s="4">
        <f>IF(B311=" "," ",HYPERLINK(CONCATENATE("#metadata!",ADDRESS(INDEX($L$2:$L$1001,MATCH(ROWS($J$2:J311),$J$2:$J$1001,0),0),1)),INDEX($O$2:$O$1001,MATCH(ROWS($J$2:J311),$J$2:$J$1001,0),0)))</f>
        <v>0</v>
      </c>
      <c r="B311" s="3">
        <f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>0</v>
      </c>
      <c r="C311" s="3">
        <f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>0</v>
      </c>
      <c r="D311" s="3">
        <f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>0</v>
      </c>
      <c r="E311" s="3">
        <f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>0</v>
      </c>
      <c r="F311" s="3">
        <f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>0</v>
      </c>
      <c r="J311">
        <v>0</v>
      </c>
      <c r="K311">
        <v>0</v>
      </c>
      <c r="L311">
        <v>0</v>
      </c>
      <c r="M311">
        <f>IF(N311,TRUE,AND(Q311:U311))</f>
        <v>0</v>
      </c>
      <c r="N311">
        <f>COUNTBLANK(Metadata!B311:F311)=COLUMNS(Metadata!B311:F311)</f>
        <v>0</v>
      </c>
      <c r="O311">
        <v>0</v>
      </c>
      <c r="Q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>
        <f>AND(IF(Metadata!C311="",FALSE,TRUE),exact(Metadata!C311,"human-skin"))</f>
        <v>0</v>
      </c>
      <c r="S311">
        <f>OR(AND(IF(Metadata!D311="",FALSE,TRUE),OR(exact(Metadata!D311,"missing: not collected"),exact(Metadata!D311,"missing: not provided"))),AND(IF(Metadata!D311="",FALSE,TRUE),OR(exact(Metadata!D311,"UBERON:zone of skin"),exact(Metadata!D311,"UBERON:skin of hand"),exact(Metadata!D311,"UBERON:skin of forehead"))))</f>
        <v>0</v>
      </c>
      <c r="T311">
        <f>AND(IF(Metadata!E311="",FALSE,TRUE),exact(Metadata!E311,"human skin metagenome"))</f>
        <v>0</v>
      </c>
      <c r="U311">
        <f>AND(IF(Metadata!F311="",FALSE,TRUE),exact(Metadata!F311,"539655"))</f>
        <v>0</v>
      </c>
    </row>
    <row r="312" spans="1:21">
      <c r="A312" s="4">
        <f>IF(B312=" "," ",HYPERLINK(CONCATENATE("#metadata!",ADDRESS(INDEX($L$2:$L$1001,MATCH(ROWS($J$2:J312),$J$2:$J$1001,0),0),1)),INDEX($O$2:$O$1001,MATCH(ROWS($J$2:J312),$J$2:$J$1001,0),0)))</f>
        <v>0</v>
      </c>
      <c r="B312" s="3">
        <f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>0</v>
      </c>
      <c r="C312" s="3">
        <f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>0</v>
      </c>
      <c r="D312" s="3">
        <f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>0</v>
      </c>
      <c r="E312" s="3">
        <f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>0</v>
      </c>
      <c r="F312" s="3">
        <f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>0</v>
      </c>
      <c r="J312">
        <v>0</v>
      </c>
      <c r="K312">
        <v>0</v>
      </c>
      <c r="L312">
        <v>0</v>
      </c>
      <c r="M312">
        <f>IF(N312,TRUE,AND(Q312:U312))</f>
        <v>0</v>
      </c>
      <c r="N312">
        <f>COUNTBLANK(Metadata!B312:F312)=COLUMNS(Metadata!B312:F312)</f>
        <v>0</v>
      </c>
      <c r="O312">
        <v>0</v>
      </c>
      <c r="Q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>
        <f>AND(IF(Metadata!C312="",FALSE,TRUE),exact(Metadata!C312,"human-skin"))</f>
        <v>0</v>
      </c>
      <c r="S312">
        <f>OR(AND(IF(Metadata!D312="",FALSE,TRUE),OR(exact(Metadata!D312,"missing: not collected"),exact(Metadata!D312,"missing: not provided"))),AND(IF(Metadata!D312="",FALSE,TRUE),OR(exact(Metadata!D312,"UBERON:zone of skin"),exact(Metadata!D312,"UBERON:skin of hand"),exact(Metadata!D312,"UBERON:skin of forehead"))))</f>
        <v>0</v>
      </c>
      <c r="T312">
        <f>AND(IF(Metadata!E312="",FALSE,TRUE),exact(Metadata!E312,"human skin metagenome"))</f>
        <v>0</v>
      </c>
      <c r="U312">
        <f>AND(IF(Metadata!F312="",FALSE,TRUE),exact(Metadata!F312,"539655"))</f>
        <v>0</v>
      </c>
    </row>
    <row r="313" spans="1:21">
      <c r="A313" s="4">
        <f>IF(B313=" "," ",HYPERLINK(CONCATENATE("#metadata!",ADDRESS(INDEX($L$2:$L$1001,MATCH(ROWS($J$2:J313),$J$2:$J$1001,0),0),1)),INDEX($O$2:$O$1001,MATCH(ROWS($J$2:J313),$J$2:$J$1001,0),0)))</f>
        <v>0</v>
      </c>
      <c r="B313" s="3">
        <f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>0</v>
      </c>
      <c r="C313" s="3">
        <f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>0</v>
      </c>
      <c r="D313" s="3">
        <f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>0</v>
      </c>
      <c r="E313" s="3">
        <f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>0</v>
      </c>
      <c r="F313" s="3">
        <f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>0</v>
      </c>
      <c r="J313">
        <v>0</v>
      </c>
      <c r="K313">
        <v>0</v>
      </c>
      <c r="L313">
        <v>0</v>
      </c>
      <c r="M313">
        <f>IF(N313,TRUE,AND(Q313:U313))</f>
        <v>0</v>
      </c>
      <c r="N313">
        <f>COUNTBLANK(Metadata!B313:F313)=COLUMNS(Metadata!B313:F313)</f>
        <v>0</v>
      </c>
      <c r="O313">
        <v>0</v>
      </c>
      <c r="Q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>
        <f>AND(IF(Metadata!C313="",FALSE,TRUE),exact(Metadata!C313,"human-skin"))</f>
        <v>0</v>
      </c>
      <c r="S313">
        <f>OR(AND(IF(Metadata!D313="",FALSE,TRUE),OR(exact(Metadata!D313,"missing: not collected"),exact(Metadata!D313,"missing: not provided"))),AND(IF(Metadata!D313="",FALSE,TRUE),OR(exact(Metadata!D313,"UBERON:zone of skin"),exact(Metadata!D313,"UBERON:skin of hand"),exact(Metadata!D313,"UBERON:skin of forehead"))))</f>
        <v>0</v>
      </c>
      <c r="T313">
        <f>AND(IF(Metadata!E313="",FALSE,TRUE),exact(Metadata!E313,"human skin metagenome"))</f>
        <v>0</v>
      </c>
      <c r="U313">
        <f>AND(IF(Metadata!F313="",FALSE,TRUE),exact(Metadata!F313,"539655"))</f>
        <v>0</v>
      </c>
    </row>
    <row r="314" spans="1:21">
      <c r="A314" s="4">
        <f>IF(B314=" "," ",HYPERLINK(CONCATENATE("#metadata!",ADDRESS(INDEX($L$2:$L$1001,MATCH(ROWS($J$2:J314),$J$2:$J$1001,0),0),1)),INDEX($O$2:$O$1001,MATCH(ROWS($J$2:J314),$J$2:$J$1001,0),0)))</f>
        <v>0</v>
      </c>
      <c r="B314" s="3">
        <f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>0</v>
      </c>
      <c r="C314" s="3">
        <f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>0</v>
      </c>
      <c r="D314" s="3">
        <f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>0</v>
      </c>
      <c r="E314" s="3">
        <f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>0</v>
      </c>
      <c r="F314" s="3">
        <f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>0</v>
      </c>
      <c r="J314">
        <v>0</v>
      </c>
      <c r="K314">
        <v>0</v>
      </c>
      <c r="L314">
        <v>0</v>
      </c>
      <c r="M314">
        <f>IF(N314,TRUE,AND(Q314:U314))</f>
        <v>0</v>
      </c>
      <c r="N314">
        <f>COUNTBLANK(Metadata!B314:F314)=COLUMNS(Metadata!B314:F314)</f>
        <v>0</v>
      </c>
      <c r="O314">
        <v>0</v>
      </c>
      <c r="Q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>
        <f>AND(IF(Metadata!C314="",FALSE,TRUE),exact(Metadata!C314,"human-skin"))</f>
        <v>0</v>
      </c>
      <c r="S314">
        <f>OR(AND(IF(Metadata!D314="",FALSE,TRUE),OR(exact(Metadata!D314,"missing: not collected"),exact(Metadata!D314,"missing: not provided"))),AND(IF(Metadata!D314="",FALSE,TRUE),OR(exact(Metadata!D314,"UBERON:zone of skin"),exact(Metadata!D314,"UBERON:skin of hand"),exact(Metadata!D314,"UBERON:skin of forehead"))))</f>
        <v>0</v>
      </c>
      <c r="T314">
        <f>AND(IF(Metadata!E314="",FALSE,TRUE),exact(Metadata!E314,"human skin metagenome"))</f>
        <v>0</v>
      </c>
      <c r="U314">
        <f>AND(IF(Metadata!F314="",FALSE,TRUE),exact(Metadata!F314,"539655"))</f>
        <v>0</v>
      </c>
    </row>
    <row r="315" spans="1:21">
      <c r="A315" s="4">
        <f>IF(B315=" "," ",HYPERLINK(CONCATENATE("#metadata!",ADDRESS(INDEX($L$2:$L$1001,MATCH(ROWS($J$2:J315),$J$2:$J$1001,0),0),1)),INDEX($O$2:$O$1001,MATCH(ROWS($J$2:J315),$J$2:$J$1001,0),0)))</f>
        <v>0</v>
      </c>
      <c r="B315" s="3">
        <f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>0</v>
      </c>
      <c r="C315" s="3">
        <f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>0</v>
      </c>
      <c r="D315" s="3">
        <f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>0</v>
      </c>
      <c r="E315" s="3">
        <f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>0</v>
      </c>
      <c r="F315" s="3">
        <f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>0</v>
      </c>
      <c r="J315">
        <v>0</v>
      </c>
      <c r=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/v>
      </c>
      <c r="O315">
        <v>0</v>
      </c>
      <c r="Q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>
        <f>AND(IF(Metadata!C315="",FALSE,TRUE),exact(Metadata!C315,"human-skin"))</f>
        <v>0</v>
      </c>
      <c r="S315">
        <f>OR(AND(IF(Metadata!D315="",FALSE,TRUE),OR(exact(Metadata!D315,"missing: not collected"),exact(Metadata!D315,"missing: not provided"))),AND(IF(Metadata!D315="",FALSE,TRUE),OR(exact(Metadata!D315,"UBERON:zone of skin"),exact(Metadata!D315,"UBERON:skin of hand"),exact(Metadata!D315,"UBERON:skin of forehead"))))</f>
        <v>0</v>
      </c>
      <c r="T315">
        <f>AND(IF(Metadata!E315="",FALSE,TRUE),exact(Metadata!E315,"human skin metagenome"))</f>
        <v>0</v>
      </c>
      <c r="U315">
        <f>AND(IF(Metadata!F315="",FALSE,TRUE),exact(Metadata!F315,"539655"))</f>
        <v>0</v>
      </c>
    </row>
    <row r="316" spans="1:21">
      <c r="A316" s="4">
        <f>IF(B316=" "," ",HYPERLINK(CONCATENATE("#metadata!",ADDRESS(INDEX($L$2:$L$1001,MATCH(ROWS($J$2:J316),$J$2:$J$1001,0),0),1)),INDEX($O$2:$O$1001,MATCH(ROWS($J$2:J316),$J$2:$J$1001,0),0)))</f>
        <v>0</v>
      </c>
      <c r="B316" s="3">
        <f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>0</v>
      </c>
      <c r="C316" s="3">
        <f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>0</v>
      </c>
      <c r="D316" s="3">
        <f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>0</v>
      </c>
      <c r="E316" s="3">
        <f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>0</v>
      </c>
      <c r="F316" s="3">
        <f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>0</v>
      </c>
      <c r="J316">
        <v>0</v>
      </c>
      <c r="K316">
        <v>0</v>
      </c>
      <c r="L316">
        <v>0</v>
      </c>
      <c r="M316">
        <f>IF(N316,TRUE,AND(Q316:U316))</f>
        <v>0</v>
      </c>
      <c r="N316">
        <f>COUNTBLANK(Metadata!B316:F316)=COLUMNS(Metadata!B316:F316)</f>
        <v>0</v>
      </c>
      <c r="O316">
        <v>0</v>
      </c>
      <c r="Q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>
        <f>AND(IF(Metadata!C316="",FALSE,TRUE),exact(Metadata!C316,"human-skin"))</f>
        <v>0</v>
      </c>
      <c r="S316">
        <f>OR(AND(IF(Metadata!D316="",FALSE,TRUE),OR(exact(Metadata!D316,"missing: not collected"),exact(Metadata!D316,"missing: not provided"))),AND(IF(Metadata!D316="",FALSE,TRUE),OR(exact(Metadata!D316,"UBERON:zone of skin"),exact(Metadata!D316,"UBERON:skin of hand"),exact(Metadata!D316,"UBERON:skin of forehead"))))</f>
        <v>0</v>
      </c>
      <c r="T316">
        <f>AND(IF(Metadata!E316="",FALSE,TRUE),exact(Metadata!E316,"human skin metagenome"))</f>
        <v>0</v>
      </c>
      <c r="U316">
        <f>AND(IF(Metadata!F316="",FALSE,TRUE),exact(Metadata!F316,"539655"))</f>
        <v>0</v>
      </c>
    </row>
    <row r="317" spans="1:21">
      <c r="A317" s="4">
        <f>IF(B317=" "," ",HYPERLINK(CONCATENATE("#metadata!",ADDRESS(INDEX($L$2:$L$1001,MATCH(ROWS($J$2:J317),$J$2:$J$1001,0),0),1)),INDEX($O$2:$O$1001,MATCH(ROWS($J$2:J317),$J$2:$J$1001,0),0)))</f>
        <v>0</v>
      </c>
      <c r="B317" s="3">
        <f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>0</v>
      </c>
      <c r="C317" s="3">
        <f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>0</v>
      </c>
      <c r="D317" s="3">
        <f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>0</v>
      </c>
      <c r="E317" s="3">
        <f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>0</v>
      </c>
      <c r="F317" s="3">
        <f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>0</v>
      </c>
      <c r="J317">
        <v>0</v>
      </c>
      <c r="K317">
        <v>0</v>
      </c>
      <c r="L317">
        <v>0</v>
      </c>
      <c r="M317">
        <f>IF(N317,TRUE,AND(Q317:U317))</f>
        <v>0</v>
      </c>
      <c r="N317">
        <f>COUNTBLANK(Metadata!B317:F317)=COLUMNS(Metadata!B317:F317)</f>
        <v>0</v>
      </c>
      <c r="O317">
        <v>0</v>
      </c>
      <c r="Q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>
        <f>AND(IF(Metadata!C317="",FALSE,TRUE),exact(Metadata!C317,"human-skin"))</f>
        <v>0</v>
      </c>
      <c r="S317">
        <f>OR(AND(IF(Metadata!D317="",FALSE,TRUE),OR(exact(Metadata!D317,"missing: not collected"),exact(Metadata!D317,"missing: not provided"))),AND(IF(Metadata!D317="",FALSE,TRUE),OR(exact(Metadata!D317,"UBERON:zone of skin"),exact(Metadata!D317,"UBERON:skin of hand"),exact(Metadata!D317,"UBERON:skin of forehead"))))</f>
        <v>0</v>
      </c>
      <c r="T317">
        <f>AND(IF(Metadata!E317="",FALSE,TRUE),exact(Metadata!E317,"human skin metagenome"))</f>
        <v>0</v>
      </c>
      <c r="U317">
        <f>AND(IF(Metadata!F317="",FALSE,TRUE),exact(Metadata!F317,"539655"))</f>
        <v>0</v>
      </c>
    </row>
    <row r="318" spans="1:21">
      <c r="A318" s="4">
        <f>IF(B318=" "," ",HYPERLINK(CONCATENATE("#metadata!",ADDRESS(INDEX($L$2:$L$1001,MATCH(ROWS($J$2:J318),$J$2:$J$1001,0),0),1)),INDEX($O$2:$O$1001,MATCH(ROWS($J$2:J318),$J$2:$J$1001,0),0)))</f>
        <v>0</v>
      </c>
      <c r="B318" s="3">
        <f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>0</v>
      </c>
      <c r="C318" s="3">
        <f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>0</v>
      </c>
      <c r="D318" s="3">
        <f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>0</v>
      </c>
      <c r="E318" s="3">
        <f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>0</v>
      </c>
      <c r="F318" s="3">
        <f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>0</v>
      </c>
      <c r="J318">
        <v>0</v>
      </c>
      <c r="K318">
        <v>0</v>
      </c>
      <c r="L318">
        <v>0</v>
      </c>
      <c r="M318">
        <f>IF(N318,TRUE,AND(Q318:U318))</f>
        <v>0</v>
      </c>
      <c r="N318">
        <f>COUNTBLANK(Metadata!B318:F318)=COLUMNS(Metadata!B318:F318)</f>
        <v>0</v>
      </c>
      <c r="O318">
        <v>0</v>
      </c>
      <c r="Q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>
        <f>AND(IF(Metadata!C318="",FALSE,TRUE),exact(Metadata!C318,"human-skin"))</f>
        <v>0</v>
      </c>
      <c r="S318">
        <f>OR(AND(IF(Metadata!D318="",FALSE,TRUE),OR(exact(Metadata!D318,"missing: not collected"),exact(Metadata!D318,"missing: not provided"))),AND(IF(Metadata!D318="",FALSE,TRUE),OR(exact(Metadata!D318,"UBERON:zone of skin"),exact(Metadata!D318,"UBERON:skin of hand"),exact(Metadata!D318,"UBERON:skin of forehead"))))</f>
        <v>0</v>
      </c>
      <c r="T318">
        <f>AND(IF(Metadata!E318="",FALSE,TRUE),exact(Metadata!E318,"human skin metagenome"))</f>
        <v>0</v>
      </c>
      <c r="U318">
        <f>AND(IF(Metadata!F318="",FALSE,TRUE),exact(Metadata!F318,"539655"))</f>
        <v>0</v>
      </c>
    </row>
    <row r="319" spans="1:21">
      <c r="A319" s="4">
        <f>IF(B319=" "," ",HYPERLINK(CONCATENATE("#metadata!",ADDRESS(INDEX($L$2:$L$1001,MATCH(ROWS($J$2:J319),$J$2:$J$1001,0),0),1)),INDEX($O$2:$O$1001,MATCH(ROWS($J$2:J319),$J$2:$J$1001,0),0)))</f>
        <v>0</v>
      </c>
      <c r="B319" s="3">
        <f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>0</v>
      </c>
      <c r="C319" s="3">
        <f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>0</v>
      </c>
      <c r="D319" s="3">
        <f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>0</v>
      </c>
      <c r="E319" s="3">
        <f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>0</v>
      </c>
      <c r="F319" s="3">
        <f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>0</v>
      </c>
      <c r="J319">
        <v>0</v>
      </c>
      <c r="K319">
        <v>0</v>
      </c>
      <c r="L319">
        <v>0</v>
      </c>
      <c r="M319">
        <f>IF(N319,TRUE,AND(Q319:U319))</f>
        <v>0</v>
      </c>
      <c r="N319">
        <f>COUNTBLANK(Metadata!B319:F319)=COLUMNS(Metadata!B319:F319)</f>
        <v>0</v>
      </c>
      <c r="O319">
        <v>0</v>
      </c>
      <c r="Q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>
        <f>AND(IF(Metadata!C319="",FALSE,TRUE),exact(Metadata!C319,"human-skin"))</f>
        <v>0</v>
      </c>
      <c r="S319">
        <f>OR(AND(IF(Metadata!D319="",FALSE,TRUE),OR(exact(Metadata!D319,"missing: not collected"),exact(Metadata!D319,"missing: not provided"))),AND(IF(Metadata!D319="",FALSE,TRUE),OR(exact(Metadata!D319,"UBERON:zone of skin"),exact(Metadata!D319,"UBERON:skin of hand"),exact(Metadata!D319,"UBERON:skin of forehead"))))</f>
        <v>0</v>
      </c>
      <c r="T319">
        <f>AND(IF(Metadata!E319="",FALSE,TRUE),exact(Metadata!E319,"human skin metagenome"))</f>
        <v>0</v>
      </c>
      <c r="U319">
        <f>AND(IF(Metadata!F319="",FALSE,TRUE),exact(Metadata!F319,"539655"))</f>
        <v>0</v>
      </c>
    </row>
    <row r="320" spans="1:21">
      <c r="A320" s="4">
        <f>IF(B320=" "," ",HYPERLINK(CONCATENATE("#metadata!",ADDRESS(INDEX($L$2:$L$1001,MATCH(ROWS($J$2:J320),$J$2:$J$1001,0),0),1)),INDEX($O$2:$O$1001,MATCH(ROWS($J$2:J320),$J$2:$J$1001,0),0)))</f>
        <v>0</v>
      </c>
      <c r="B320" s="3">
        <f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>0</v>
      </c>
      <c r="C320" s="3">
        <f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>0</v>
      </c>
      <c r="D320" s="3">
        <f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>0</v>
      </c>
      <c r="E320" s="3">
        <f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>0</v>
      </c>
      <c r="F320" s="3">
        <f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>0</v>
      </c>
      <c r="J320">
        <v>0</v>
      </c>
      <c r="K320">
        <v>0</v>
      </c>
      <c r="L320">
        <v>0</v>
      </c>
      <c r="M320">
        <f>IF(N320,TRUE,AND(Q320:U320))</f>
        <v>0</v>
      </c>
      <c r="N320">
        <f>COUNTBLANK(Metadata!B320:F320)=COLUMNS(Metadata!B320:F320)</f>
        <v>0</v>
      </c>
      <c r="O320">
        <v>0</v>
      </c>
      <c r="Q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>
        <f>AND(IF(Metadata!C320="",FALSE,TRUE),exact(Metadata!C320,"human-skin"))</f>
        <v>0</v>
      </c>
      <c r="S320">
        <f>OR(AND(IF(Metadata!D320="",FALSE,TRUE),OR(exact(Metadata!D320,"missing: not collected"),exact(Metadata!D320,"missing: not provided"))),AND(IF(Metadata!D320="",FALSE,TRUE),OR(exact(Metadata!D320,"UBERON:zone of skin"),exact(Metadata!D320,"UBERON:skin of hand"),exact(Metadata!D320,"UBERON:skin of forehead"))))</f>
        <v>0</v>
      </c>
      <c r="T320">
        <f>AND(IF(Metadata!E320="",FALSE,TRUE),exact(Metadata!E320,"human skin metagenome"))</f>
        <v>0</v>
      </c>
      <c r="U320">
        <f>AND(IF(Metadata!F320="",FALSE,TRUE),exact(Metadata!F320,"539655"))</f>
        <v>0</v>
      </c>
    </row>
    <row r="321" spans="1:21">
      <c r="A321" s="4">
        <f>IF(B321=" "," ",HYPERLINK(CONCATENATE("#metadata!",ADDRESS(INDEX($L$2:$L$1001,MATCH(ROWS($J$2:J321),$J$2:$J$1001,0),0),1)),INDEX($O$2:$O$1001,MATCH(ROWS($J$2:J321),$J$2:$J$1001,0),0)))</f>
        <v>0</v>
      </c>
      <c r="B321" s="3">
        <f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>0</v>
      </c>
      <c r="C321" s="3">
        <f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>0</v>
      </c>
      <c r="D321" s="3">
        <f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>0</v>
      </c>
      <c r="E321" s="3">
        <f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>0</v>
      </c>
      <c r="F321" s="3">
        <f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>0</v>
      </c>
      <c r="J321">
        <v>0</v>
      </c>
      <c r="K321">
        <v>0</v>
      </c>
      <c r="L321">
        <v>0</v>
      </c>
      <c r="M321">
        <f>IF(N321,TRUE,AND(Q321:U321))</f>
        <v>0</v>
      </c>
      <c r="N321">
        <f>COUNTBLANK(Metadata!B321:F321)=COLUMNS(Metadata!B321:F321)</f>
        <v>0</v>
      </c>
      <c r="O321">
        <v>0</v>
      </c>
      <c r="Q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>
        <f>AND(IF(Metadata!C321="",FALSE,TRUE),exact(Metadata!C321,"human-skin"))</f>
        <v>0</v>
      </c>
      <c r="S321">
        <f>OR(AND(IF(Metadata!D321="",FALSE,TRUE),OR(exact(Metadata!D321,"missing: not collected"),exact(Metadata!D321,"missing: not provided"))),AND(IF(Metadata!D321="",FALSE,TRUE),OR(exact(Metadata!D321,"UBERON:zone of skin"),exact(Metadata!D321,"UBERON:skin of hand"),exact(Metadata!D321,"UBERON:skin of forehead"))))</f>
        <v>0</v>
      </c>
      <c r="T321">
        <f>AND(IF(Metadata!E321="",FALSE,TRUE),exact(Metadata!E321,"human skin metagenome"))</f>
        <v>0</v>
      </c>
      <c r="U321">
        <f>AND(IF(Metadata!F321="",FALSE,TRUE),exact(Metadata!F321,"539655"))</f>
        <v>0</v>
      </c>
    </row>
    <row r="322" spans="1:21">
      <c r="A322" s="4">
        <f>IF(B322=" "," ",HYPERLINK(CONCATENATE("#metadata!",ADDRESS(INDEX($L$2:$L$1001,MATCH(ROWS($J$2:J322),$J$2:$J$1001,0),0),1)),INDEX($O$2:$O$1001,MATCH(ROWS($J$2:J322),$J$2:$J$1001,0),0)))</f>
        <v>0</v>
      </c>
      <c r="B322" s="3">
        <f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>0</v>
      </c>
      <c r="C322" s="3">
        <f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>0</v>
      </c>
      <c r="D322" s="3">
        <f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>0</v>
      </c>
      <c r="E322" s="3">
        <f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>0</v>
      </c>
      <c r="F322" s="3">
        <f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>0</v>
      </c>
      <c r="J322">
        <v>0</v>
      </c>
      <c r="K322">
        <v>0</v>
      </c>
      <c r="L322">
        <v>0</v>
      </c>
      <c r="M322">
        <f>IF(N322,TRUE,AND(Q322:U322))</f>
        <v>0</v>
      </c>
      <c r="N322">
        <f>COUNTBLANK(Metadata!B322:F322)=COLUMNS(Metadata!B322:F322)</f>
        <v>0</v>
      </c>
      <c r="O322">
        <v>0</v>
      </c>
      <c r="Q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>
        <f>AND(IF(Metadata!C322="",FALSE,TRUE),exact(Metadata!C322,"human-skin"))</f>
        <v>0</v>
      </c>
      <c r="S322">
        <f>OR(AND(IF(Metadata!D322="",FALSE,TRUE),OR(exact(Metadata!D322,"missing: not collected"),exact(Metadata!D322,"missing: not provided"))),AND(IF(Metadata!D322="",FALSE,TRUE),OR(exact(Metadata!D322,"UBERON:zone of skin"),exact(Metadata!D322,"UBERON:skin of hand"),exact(Metadata!D322,"UBERON:skin of forehead"))))</f>
        <v>0</v>
      </c>
      <c r="T322">
        <f>AND(IF(Metadata!E322="",FALSE,TRUE),exact(Metadata!E322,"human skin metagenome"))</f>
        <v>0</v>
      </c>
      <c r="U322">
        <f>AND(IF(Metadata!F322="",FALSE,TRUE),exact(Metadata!F322,"539655"))</f>
        <v>0</v>
      </c>
    </row>
    <row r="323" spans="1:21">
      <c r="A323" s="4">
        <f>IF(B323=" "," ",HYPERLINK(CONCATENATE("#metadata!",ADDRESS(INDEX($L$2:$L$1001,MATCH(ROWS($J$2:J323),$J$2:$J$1001,0),0),1)),INDEX($O$2:$O$1001,MATCH(ROWS($J$2:J323),$J$2:$J$1001,0),0)))</f>
        <v>0</v>
      </c>
      <c r="B323" s="3">
        <f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>0</v>
      </c>
      <c r="C323" s="3">
        <f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>0</v>
      </c>
      <c r="D323" s="3">
        <f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>0</v>
      </c>
      <c r="E323" s="3">
        <f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>0</v>
      </c>
      <c r="F323" s="3">
        <f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>0</v>
      </c>
      <c r="J323">
        <v>0</v>
      </c>
      <c r="K323">
        <v>0</v>
      </c>
      <c r="L323">
        <v>0</v>
      </c>
      <c r="M323">
        <f>IF(N323,TRUE,AND(Q323:U323))</f>
        <v>0</v>
      </c>
      <c r="N323">
        <f>COUNTBLANK(Metadata!B323:F323)=COLUMNS(Metadata!B323:F323)</f>
        <v>0</v>
      </c>
      <c r="O323">
        <v>0</v>
      </c>
      <c r="Q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>
        <f>AND(IF(Metadata!C323="",FALSE,TRUE),exact(Metadata!C323,"human-skin"))</f>
        <v>0</v>
      </c>
      <c r="S323">
        <f>OR(AND(IF(Metadata!D323="",FALSE,TRUE),OR(exact(Metadata!D323,"missing: not collected"),exact(Metadata!D323,"missing: not provided"))),AND(IF(Metadata!D323="",FALSE,TRUE),OR(exact(Metadata!D323,"UBERON:zone of skin"),exact(Metadata!D323,"UBERON:skin of hand"),exact(Metadata!D323,"UBERON:skin of forehead"))))</f>
        <v>0</v>
      </c>
      <c r="T323">
        <f>AND(IF(Metadata!E323="",FALSE,TRUE),exact(Metadata!E323,"human skin metagenome"))</f>
        <v>0</v>
      </c>
      <c r="U323">
        <f>AND(IF(Metadata!F323="",FALSE,TRUE),exact(Metadata!F323,"539655"))</f>
        <v>0</v>
      </c>
    </row>
    <row r="324" spans="1:21">
      <c r="A324" s="4">
        <f>IF(B324=" "," ",HYPERLINK(CONCATENATE("#metadata!",ADDRESS(INDEX($L$2:$L$1001,MATCH(ROWS($J$2:J324),$J$2:$J$1001,0),0),1)),INDEX($O$2:$O$1001,MATCH(ROWS($J$2:J324),$J$2:$J$1001,0),0)))</f>
        <v>0</v>
      </c>
      <c r="B324" s="3">
        <f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>0</v>
      </c>
      <c r="C324" s="3">
        <f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>0</v>
      </c>
      <c r="D324" s="3">
        <f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>0</v>
      </c>
      <c r="E324" s="3">
        <f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>0</v>
      </c>
      <c r="F324" s="3">
        <f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>0</v>
      </c>
      <c r="J324">
        <v>0</v>
      </c>
      <c r="K324">
        <v>0</v>
      </c>
      <c r="L324">
        <v>0</v>
      </c>
      <c r="M324">
        <f>IF(N324,TRUE,AND(Q324:U324))</f>
        <v>0</v>
      </c>
      <c r="N324">
        <f>COUNTBLANK(Metadata!B324:F324)=COLUMNS(Metadata!B324:F324)</f>
        <v>0</v>
      </c>
      <c r="O324">
        <v>0</v>
      </c>
      <c r="Q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>
        <f>AND(IF(Metadata!C324="",FALSE,TRUE),exact(Metadata!C324,"human-skin"))</f>
        <v>0</v>
      </c>
      <c r="S324">
        <f>OR(AND(IF(Metadata!D324="",FALSE,TRUE),OR(exact(Metadata!D324,"missing: not collected"),exact(Metadata!D324,"missing: not provided"))),AND(IF(Metadata!D324="",FALSE,TRUE),OR(exact(Metadata!D324,"UBERON:zone of skin"),exact(Metadata!D324,"UBERON:skin of hand"),exact(Metadata!D324,"UBERON:skin of forehead"))))</f>
        <v>0</v>
      </c>
      <c r="T324">
        <f>AND(IF(Metadata!E324="",FALSE,TRUE),exact(Metadata!E324,"human skin metagenome"))</f>
        <v>0</v>
      </c>
      <c r="U324">
        <f>AND(IF(Metadata!F324="",FALSE,TRUE),exact(Metadata!F324,"539655"))</f>
        <v>0</v>
      </c>
    </row>
    <row r="325" spans="1:21">
      <c r="A325" s="4">
        <f>IF(B325=" "," ",HYPERLINK(CONCATENATE("#metadata!",ADDRESS(INDEX($L$2:$L$1001,MATCH(ROWS($J$2:J325),$J$2:$J$1001,0),0),1)),INDEX($O$2:$O$1001,MATCH(ROWS($J$2:J325),$J$2:$J$1001,0),0)))</f>
        <v>0</v>
      </c>
      <c r="B325" s="3">
        <f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>0</v>
      </c>
      <c r="C325" s="3">
        <f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>0</v>
      </c>
      <c r="D325" s="3">
        <f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>0</v>
      </c>
      <c r="E325" s="3">
        <f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>0</v>
      </c>
      <c r="F325" s="3">
        <f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>0</v>
      </c>
      <c r="J325">
        <v>0</v>
      </c>
      <c r="K325">
        <v>0</v>
      </c>
      <c r="L325">
        <v>0</v>
      </c>
      <c r="M325">
        <f>IF(N325,TRUE,AND(Q325:U325))</f>
        <v>0</v>
      </c>
      <c r="N325">
        <f>COUNTBLANK(Metadata!B325:F325)=COLUMNS(Metadata!B325:F325)</f>
        <v>0</v>
      </c>
      <c r="O325">
        <v>0</v>
      </c>
      <c r="Q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>
        <f>AND(IF(Metadata!C325="",FALSE,TRUE),exact(Metadata!C325,"human-skin"))</f>
        <v>0</v>
      </c>
      <c r="S325">
        <f>OR(AND(IF(Metadata!D325="",FALSE,TRUE),OR(exact(Metadata!D325,"missing: not collected"),exact(Metadata!D325,"missing: not provided"))),AND(IF(Metadata!D325="",FALSE,TRUE),OR(exact(Metadata!D325,"UBERON:zone of skin"),exact(Metadata!D325,"UBERON:skin of hand"),exact(Metadata!D325,"UBERON:skin of forehead"))))</f>
        <v>0</v>
      </c>
      <c r="T325">
        <f>AND(IF(Metadata!E325="",FALSE,TRUE),exact(Metadata!E325,"human skin metagenome"))</f>
        <v>0</v>
      </c>
      <c r="U325">
        <f>AND(IF(Metadata!F325="",FALSE,TRUE),exact(Metadata!F325,"539655"))</f>
        <v>0</v>
      </c>
    </row>
    <row r="326" spans="1:21">
      <c r="A326" s="4">
        <f>IF(B326=" "," ",HYPERLINK(CONCATENATE("#metadata!",ADDRESS(INDEX($L$2:$L$1001,MATCH(ROWS($J$2:J326),$J$2:$J$1001,0),0),1)),INDEX($O$2:$O$1001,MATCH(ROWS($J$2:J326),$J$2:$J$1001,0),0)))</f>
        <v>0</v>
      </c>
      <c r="B326" s="3">
        <f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>0</v>
      </c>
      <c r="C326" s="3">
        <f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>0</v>
      </c>
      <c r="D326" s="3">
        <f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>0</v>
      </c>
      <c r="E326" s="3">
        <f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>0</v>
      </c>
      <c r="F326" s="3">
        <f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>0</v>
      </c>
      <c r="J326">
        <v>0</v>
      </c>
      <c r="K326">
        <v>0</v>
      </c>
      <c r="L326">
        <v>0</v>
      </c>
      <c r="M326">
        <f>IF(N326,TRUE,AND(Q326:U326))</f>
        <v>0</v>
      </c>
      <c r="N326">
        <f>COUNTBLANK(Metadata!B326:F326)=COLUMNS(Metadata!B326:F326)</f>
        <v>0</v>
      </c>
      <c r="O326">
        <v>0</v>
      </c>
      <c r="Q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>
        <f>AND(IF(Metadata!C326="",FALSE,TRUE),exact(Metadata!C326,"human-skin"))</f>
        <v>0</v>
      </c>
      <c r="S326">
        <f>OR(AND(IF(Metadata!D326="",FALSE,TRUE),OR(exact(Metadata!D326,"missing: not collected"),exact(Metadata!D326,"missing: not provided"))),AND(IF(Metadata!D326="",FALSE,TRUE),OR(exact(Metadata!D326,"UBERON:zone of skin"),exact(Metadata!D326,"UBERON:skin of hand"),exact(Metadata!D326,"UBERON:skin of forehead"))))</f>
        <v>0</v>
      </c>
      <c r="T326">
        <f>AND(IF(Metadata!E326="",FALSE,TRUE),exact(Metadata!E326,"human skin metagenome"))</f>
        <v>0</v>
      </c>
      <c r="U326">
        <f>AND(IF(Metadata!F326="",FALSE,TRUE),exact(Metadata!F326,"539655"))</f>
        <v>0</v>
      </c>
    </row>
    <row r="327" spans="1:21">
      <c r="A327" s="4">
        <f>IF(B327=" "," ",HYPERLINK(CONCATENATE("#metadata!",ADDRESS(INDEX($L$2:$L$1001,MATCH(ROWS($J$2:J327),$J$2:$J$1001,0),0),1)),INDEX($O$2:$O$1001,MATCH(ROWS($J$2:J327),$J$2:$J$1001,0),0)))</f>
        <v>0</v>
      </c>
      <c r="B327" s="3">
        <f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>0</v>
      </c>
      <c r="C327" s="3">
        <f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>0</v>
      </c>
      <c r="D327" s="3">
        <f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>0</v>
      </c>
      <c r="E327" s="3">
        <f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>0</v>
      </c>
      <c r="F327" s="3">
        <f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>0</v>
      </c>
      <c r="J327">
        <v>0</v>
      </c>
      <c r="K327">
        <v>0</v>
      </c>
      <c r="L327">
        <v>0</v>
      </c>
      <c r="M327">
        <f>IF(N327,TRUE,AND(Q327:U327))</f>
        <v>0</v>
      </c>
      <c r="N327">
        <f>COUNTBLANK(Metadata!B327:F327)=COLUMNS(Metadata!B327:F327)</f>
        <v>0</v>
      </c>
      <c r="O327">
        <v>0</v>
      </c>
      <c r="Q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>
        <f>AND(IF(Metadata!C327="",FALSE,TRUE),exact(Metadata!C327,"human-skin"))</f>
        <v>0</v>
      </c>
      <c r="S327">
        <f>OR(AND(IF(Metadata!D327="",FALSE,TRUE),OR(exact(Metadata!D327,"missing: not collected"),exact(Metadata!D327,"missing: not provided"))),AND(IF(Metadata!D327="",FALSE,TRUE),OR(exact(Metadata!D327,"UBERON:zone of skin"),exact(Metadata!D327,"UBERON:skin of hand"),exact(Metadata!D327,"UBERON:skin of forehead"))))</f>
        <v>0</v>
      </c>
      <c r="T327">
        <f>AND(IF(Metadata!E327="",FALSE,TRUE),exact(Metadata!E327,"human skin metagenome"))</f>
        <v>0</v>
      </c>
      <c r="U327">
        <f>AND(IF(Metadata!F327="",FALSE,TRUE),exact(Metadata!F327,"539655"))</f>
        <v>0</v>
      </c>
    </row>
    <row r="328" spans="1:21">
      <c r="A328" s="4">
        <f>IF(B328=" "," ",HYPERLINK(CONCATENATE("#metadata!",ADDRESS(INDEX($L$2:$L$1001,MATCH(ROWS($J$2:J328),$J$2:$J$1001,0),0),1)),INDEX($O$2:$O$1001,MATCH(ROWS($J$2:J328),$J$2:$J$1001,0),0)))</f>
        <v>0</v>
      </c>
      <c r="B328" s="3">
        <f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>0</v>
      </c>
      <c r="C328" s="3">
        <f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>0</v>
      </c>
      <c r="D328" s="3">
        <f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>0</v>
      </c>
      <c r="E328" s="3">
        <f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>0</v>
      </c>
      <c r="F328" s="3">
        <f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>0</v>
      </c>
      <c r="J328">
        <v>0</v>
      </c>
      <c r="K328">
        <v>0</v>
      </c>
      <c r="L328">
        <v>0</v>
      </c>
      <c r="M328">
        <f>IF(N328,TRUE,AND(Q328:U328))</f>
        <v>0</v>
      </c>
      <c r="N328">
        <f>COUNTBLANK(Metadata!B328:F328)=COLUMNS(Metadata!B328:F328)</f>
        <v>0</v>
      </c>
      <c r="O328">
        <v>0</v>
      </c>
      <c r="Q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>
        <f>AND(IF(Metadata!C328="",FALSE,TRUE),exact(Metadata!C328,"human-skin"))</f>
        <v>0</v>
      </c>
      <c r="S328">
        <f>OR(AND(IF(Metadata!D328="",FALSE,TRUE),OR(exact(Metadata!D328,"missing: not collected"),exact(Metadata!D328,"missing: not provided"))),AND(IF(Metadata!D328="",FALSE,TRUE),OR(exact(Metadata!D328,"UBERON:zone of skin"),exact(Metadata!D328,"UBERON:skin of hand"),exact(Metadata!D328,"UBERON:skin of forehead"))))</f>
        <v>0</v>
      </c>
      <c r="T328">
        <f>AND(IF(Metadata!E328="",FALSE,TRUE),exact(Metadata!E328,"human skin metagenome"))</f>
        <v>0</v>
      </c>
      <c r="U328">
        <f>AND(IF(Metadata!F328="",FALSE,TRUE),exact(Metadata!F328,"539655"))</f>
        <v>0</v>
      </c>
    </row>
    <row r="329" spans="1:21">
      <c r="A329" s="4">
        <f>IF(B329=" "," ",HYPERLINK(CONCATENATE("#metadata!",ADDRESS(INDEX($L$2:$L$1001,MATCH(ROWS($J$2:J329),$J$2:$J$1001,0),0),1)),INDEX($O$2:$O$1001,MATCH(ROWS($J$2:J329),$J$2:$J$1001,0),0)))</f>
        <v>0</v>
      </c>
      <c r="B329" s="3">
        <f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>0</v>
      </c>
      <c r="C329" s="3">
        <f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>0</v>
      </c>
      <c r="D329" s="3">
        <f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>0</v>
      </c>
      <c r="E329" s="3">
        <f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>0</v>
      </c>
      <c r="F329" s="3">
        <f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>0</v>
      </c>
      <c r="J329">
        <v>0</v>
      </c>
      <c r="K329">
        <v>0</v>
      </c>
      <c r="L329">
        <v>0</v>
      </c>
      <c r="M329">
        <f>IF(N329,TRUE,AND(Q329:U329))</f>
        <v>0</v>
      </c>
      <c r="N329">
        <f>COUNTBLANK(Metadata!B329:F329)=COLUMNS(Metadata!B329:F329)</f>
        <v>0</v>
      </c>
      <c r="O329">
        <v>0</v>
      </c>
      <c r="Q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>
        <f>AND(IF(Metadata!C329="",FALSE,TRUE),exact(Metadata!C329,"human-skin"))</f>
        <v>0</v>
      </c>
      <c r="S329">
        <f>OR(AND(IF(Metadata!D329="",FALSE,TRUE),OR(exact(Metadata!D329,"missing: not collected"),exact(Metadata!D329,"missing: not provided"))),AND(IF(Metadata!D329="",FALSE,TRUE),OR(exact(Metadata!D329,"UBERON:zone of skin"),exact(Metadata!D329,"UBERON:skin of hand"),exact(Metadata!D329,"UBERON:skin of forehead"))))</f>
        <v>0</v>
      </c>
      <c r="T329">
        <f>AND(IF(Metadata!E329="",FALSE,TRUE),exact(Metadata!E329,"human skin metagenome"))</f>
        <v>0</v>
      </c>
      <c r="U329">
        <f>AND(IF(Metadata!F329="",FALSE,TRUE),exact(Metadata!F329,"539655"))</f>
        <v>0</v>
      </c>
    </row>
    <row r="330" spans="1:21">
      <c r="A330" s="4">
        <f>IF(B330=" "," ",HYPERLINK(CONCATENATE("#metadata!",ADDRESS(INDEX($L$2:$L$1001,MATCH(ROWS($J$2:J330),$J$2:$J$1001,0),0),1)),INDEX($O$2:$O$1001,MATCH(ROWS($J$2:J330),$J$2:$J$1001,0),0)))</f>
        <v>0</v>
      </c>
      <c r="B330" s="3">
        <f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>0</v>
      </c>
      <c r="C330" s="3">
        <f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>0</v>
      </c>
      <c r="D330" s="3">
        <f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>0</v>
      </c>
      <c r="E330" s="3">
        <f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>0</v>
      </c>
      <c r="F330" s="3">
        <f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>0</v>
      </c>
      <c r="J330">
        <v>0</v>
      </c>
      <c r="K330">
        <v>0</v>
      </c>
      <c r="L330">
        <v>0</v>
      </c>
      <c r="M330">
        <f>IF(N330,TRUE,AND(Q330:U330))</f>
        <v>0</v>
      </c>
      <c r="N330">
        <f>COUNTBLANK(Metadata!B330:F330)=COLUMNS(Metadata!B330:F330)</f>
        <v>0</v>
      </c>
      <c r="O330">
        <v>0</v>
      </c>
      <c r="Q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>
        <f>AND(IF(Metadata!C330="",FALSE,TRUE),exact(Metadata!C330,"human-skin"))</f>
        <v>0</v>
      </c>
      <c r="S330">
        <f>OR(AND(IF(Metadata!D330="",FALSE,TRUE),OR(exact(Metadata!D330,"missing: not collected"),exact(Metadata!D330,"missing: not provided"))),AND(IF(Metadata!D330="",FALSE,TRUE),OR(exact(Metadata!D330,"UBERON:zone of skin"),exact(Metadata!D330,"UBERON:skin of hand"),exact(Metadata!D330,"UBERON:skin of forehead"))))</f>
        <v>0</v>
      </c>
      <c r="T330">
        <f>AND(IF(Metadata!E330="",FALSE,TRUE),exact(Metadata!E330,"human skin metagenome"))</f>
        <v>0</v>
      </c>
      <c r="U330">
        <f>AND(IF(Metadata!F330="",FALSE,TRUE),exact(Metadata!F330,"539655"))</f>
        <v>0</v>
      </c>
    </row>
    <row r="331" spans="1:21">
      <c r="A331" s="4">
        <f>IF(B331=" "," ",HYPERLINK(CONCATENATE("#metadata!",ADDRESS(INDEX($L$2:$L$1001,MATCH(ROWS($J$2:J331),$J$2:$J$1001,0),0),1)),INDEX($O$2:$O$1001,MATCH(ROWS($J$2:J331),$J$2:$J$1001,0),0)))</f>
        <v>0</v>
      </c>
      <c r="B331" s="3">
        <f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>0</v>
      </c>
      <c r="C331" s="3">
        <f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>0</v>
      </c>
      <c r="D331" s="3">
        <f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>0</v>
      </c>
      <c r="E331" s="3">
        <f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>0</v>
      </c>
      <c r="F331" s="3">
        <f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>0</v>
      </c>
      <c r="J331">
        <v>0</v>
      </c>
      <c r="K331">
        <v>0</v>
      </c>
      <c r="L331">
        <v>0</v>
      </c>
      <c r="M331">
        <f>IF(N331,TRUE,AND(Q331:U331))</f>
        <v>0</v>
      </c>
      <c r="N331">
        <f>COUNTBLANK(Metadata!B331:F331)=COLUMNS(Metadata!B331:F331)</f>
        <v>0</v>
      </c>
      <c r="O331">
        <v>0</v>
      </c>
      <c r="Q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>
        <f>AND(IF(Metadata!C331="",FALSE,TRUE),exact(Metadata!C331,"human-skin"))</f>
        <v>0</v>
      </c>
      <c r="S331">
        <f>OR(AND(IF(Metadata!D331="",FALSE,TRUE),OR(exact(Metadata!D331,"missing: not collected"),exact(Metadata!D331,"missing: not provided"))),AND(IF(Metadata!D331="",FALSE,TRUE),OR(exact(Metadata!D331,"UBERON:zone of skin"),exact(Metadata!D331,"UBERON:skin of hand"),exact(Metadata!D331,"UBERON:skin of forehead"))))</f>
        <v>0</v>
      </c>
      <c r="T331">
        <f>AND(IF(Metadata!E331="",FALSE,TRUE),exact(Metadata!E331,"human skin metagenome"))</f>
        <v>0</v>
      </c>
      <c r="U331">
        <f>AND(IF(Metadata!F331="",FALSE,TRUE),exact(Metadata!F331,"539655"))</f>
        <v>0</v>
      </c>
    </row>
    <row r="332" spans="1:21">
      <c r="A332" s="4">
        <f>IF(B332=" "," ",HYPERLINK(CONCATENATE("#metadata!",ADDRESS(INDEX($L$2:$L$1001,MATCH(ROWS($J$2:J332),$J$2:$J$1001,0),0),1)),INDEX($O$2:$O$1001,MATCH(ROWS($J$2:J332),$J$2:$J$1001,0),0)))</f>
        <v>0</v>
      </c>
      <c r="B332" s="3">
        <f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>0</v>
      </c>
      <c r="C332" s="3">
        <f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>0</v>
      </c>
      <c r="D332" s="3">
        <f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>0</v>
      </c>
      <c r="E332" s="3">
        <f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>0</v>
      </c>
      <c r="F332" s="3">
        <f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>0</v>
      </c>
      <c r="J332">
        <v>0</v>
      </c>
      <c r="K332">
        <v>0</v>
      </c>
      <c r="L332">
        <v>0</v>
      </c>
      <c r="M332">
        <f>IF(N332,TRUE,AND(Q332:U332))</f>
        <v>0</v>
      </c>
      <c r="N332">
        <f>COUNTBLANK(Metadata!B332:F332)=COLUMNS(Metadata!B332:F332)</f>
        <v>0</v>
      </c>
      <c r="O332">
        <v>0</v>
      </c>
      <c r="Q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>
        <f>AND(IF(Metadata!C332="",FALSE,TRUE),exact(Metadata!C332,"human-skin"))</f>
        <v>0</v>
      </c>
      <c r="S332">
        <f>OR(AND(IF(Metadata!D332="",FALSE,TRUE),OR(exact(Metadata!D332,"missing: not collected"),exact(Metadata!D332,"missing: not provided"))),AND(IF(Metadata!D332="",FALSE,TRUE),OR(exact(Metadata!D332,"UBERON:zone of skin"),exact(Metadata!D332,"UBERON:skin of hand"),exact(Metadata!D332,"UBERON:skin of forehead"))))</f>
        <v>0</v>
      </c>
      <c r="T332">
        <f>AND(IF(Metadata!E332="",FALSE,TRUE),exact(Metadata!E332,"human skin metagenome"))</f>
        <v>0</v>
      </c>
      <c r="U332">
        <f>AND(IF(Metadata!F332="",FALSE,TRUE),exact(Metadata!F332,"539655"))</f>
        <v>0</v>
      </c>
    </row>
    <row r="333" spans="1:21">
      <c r="A333" s="4">
        <f>IF(B333=" "," ",HYPERLINK(CONCATENATE("#metadata!",ADDRESS(INDEX($L$2:$L$1001,MATCH(ROWS($J$2:J333),$J$2:$J$1001,0),0),1)),INDEX($O$2:$O$1001,MATCH(ROWS($J$2:J333),$J$2:$J$1001,0),0)))</f>
        <v>0</v>
      </c>
      <c r="B333" s="3">
        <f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>0</v>
      </c>
      <c r="C333" s="3">
        <f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>0</v>
      </c>
      <c r="D333" s="3">
        <f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>0</v>
      </c>
      <c r="E333" s="3">
        <f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>0</v>
      </c>
      <c r="F333" s="3">
        <f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>0</v>
      </c>
      <c r="J333">
        <v>0</v>
      </c>
      <c r="K333">
        <v>0</v>
      </c>
      <c r="L333">
        <v>0</v>
      </c>
      <c r="M333">
        <f>IF(N333,TRUE,AND(Q333:U333))</f>
        <v>0</v>
      </c>
      <c r="N333">
        <f>COUNTBLANK(Metadata!B333:F333)=COLUMNS(Metadata!B333:F333)</f>
        <v>0</v>
      </c>
      <c r="O333">
        <v>0</v>
      </c>
      <c r="Q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>
        <f>AND(IF(Metadata!C333="",FALSE,TRUE),exact(Metadata!C333,"human-skin"))</f>
        <v>0</v>
      </c>
      <c r="S333">
        <f>OR(AND(IF(Metadata!D333="",FALSE,TRUE),OR(exact(Metadata!D333,"missing: not collected"),exact(Metadata!D333,"missing: not provided"))),AND(IF(Metadata!D333="",FALSE,TRUE),OR(exact(Metadata!D333,"UBERON:zone of skin"),exact(Metadata!D333,"UBERON:skin of hand"),exact(Metadata!D333,"UBERON:skin of forehead"))))</f>
        <v>0</v>
      </c>
      <c r="T333">
        <f>AND(IF(Metadata!E333="",FALSE,TRUE),exact(Metadata!E333,"human skin metagenome"))</f>
        <v>0</v>
      </c>
      <c r="U333">
        <f>AND(IF(Metadata!F333="",FALSE,TRUE),exact(Metadata!F333,"539655"))</f>
        <v>0</v>
      </c>
    </row>
    <row r="334" spans="1:21">
      <c r="A334" s="4">
        <f>IF(B334=" "," ",HYPERLINK(CONCATENATE("#metadata!",ADDRESS(INDEX($L$2:$L$1001,MATCH(ROWS($J$2:J334),$J$2:$J$1001,0),0),1)),INDEX($O$2:$O$1001,MATCH(ROWS($J$2:J334),$J$2:$J$1001,0),0)))</f>
        <v>0</v>
      </c>
      <c r="B334" s="3">
        <f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>0</v>
      </c>
      <c r="C334" s="3">
        <f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>0</v>
      </c>
      <c r="D334" s="3">
        <f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>0</v>
      </c>
      <c r="E334" s="3">
        <f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>0</v>
      </c>
      <c r="F334" s="3">
        <f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>0</v>
      </c>
      <c r="J334">
        <v>0</v>
      </c>
      <c r="K334">
        <v>0</v>
      </c>
      <c r="L334">
        <v>0</v>
      </c>
      <c r="M334">
        <f>IF(N334,TRUE,AND(Q334:U334))</f>
        <v>0</v>
      </c>
      <c r="N334">
        <f>COUNTBLANK(Metadata!B334:F334)=COLUMNS(Metadata!B334:F334)</f>
        <v>0</v>
      </c>
      <c r="O334">
        <v>0</v>
      </c>
      <c r="Q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>
        <f>AND(IF(Metadata!C334="",FALSE,TRUE),exact(Metadata!C334,"human-skin"))</f>
        <v>0</v>
      </c>
      <c r="S334">
        <f>OR(AND(IF(Metadata!D334="",FALSE,TRUE),OR(exact(Metadata!D334,"missing: not collected"),exact(Metadata!D334,"missing: not provided"))),AND(IF(Metadata!D334="",FALSE,TRUE),OR(exact(Metadata!D334,"UBERON:zone of skin"),exact(Metadata!D334,"UBERON:skin of hand"),exact(Metadata!D334,"UBERON:skin of forehead"))))</f>
        <v>0</v>
      </c>
      <c r="T334">
        <f>AND(IF(Metadata!E334="",FALSE,TRUE),exact(Metadata!E334,"human skin metagenome"))</f>
        <v>0</v>
      </c>
      <c r="U334">
        <f>AND(IF(Metadata!F334="",FALSE,TRUE),exact(Metadata!F334,"539655"))</f>
        <v>0</v>
      </c>
    </row>
    <row r="335" spans="1:21">
      <c r="A335" s="4">
        <f>IF(B335=" "," ",HYPERLINK(CONCATENATE("#metadata!",ADDRESS(INDEX($L$2:$L$1001,MATCH(ROWS($J$2:J335),$J$2:$J$1001,0),0),1)),INDEX($O$2:$O$1001,MATCH(ROWS($J$2:J335),$J$2:$J$1001,0),0)))</f>
        <v>0</v>
      </c>
      <c r="B335" s="3">
        <f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>0</v>
      </c>
      <c r="C335" s="3">
        <f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>0</v>
      </c>
      <c r="D335" s="3">
        <f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>0</v>
      </c>
      <c r="E335" s="3">
        <f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>0</v>
      </c>
      <c r="F335" s="3">
        <f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>0</v>
      </c>
      <c r="J335">
        <v>0</v>
      </c>
      <c r="K335">
        <v>0</v>
      </c>
      <c r="L335">
        <v>0</v>
      </c>
      <c r="M335">
        <f>IF(N335,TRUE,AND(Q335:U335))</f>
        <v>0</v>
      </c>
      <c r="N335">
        <f>COUNTBLANK(Metadata!B335:F335)=COLUMNS(Metadata!B335:F335)</f>
        <v>0</v>
      </c>
      <c r="O335">
        <v>0</v>
      </c>
      <c r="Q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>
        <f>AND(IF(Metadata!C335="",FALSE,TRUE),exact(Metadata!C335,"human-skin"))</f>
        <v>0</v>
      </c>
      <c r="S335">
        <f>OR(AND(IF(Metadata!D335="",FALSE,TRUE),OR(exact(Metadata!D335,"missing: not collected"),exact(Metadata!D335,"missing: not provided"))),AND(IF(Metadata!D335="",FALSE,TRUE),OR(exact(Metadata!D335,"UBERON:zone of skin"),exact(Metadata!D335,"UBERON:skin of hand"),exact(Metadata!D335,"UBERON:skin of forehead"))))</f>
        <v>0</v>
      </c>
      <c r="T335">
        <f>AND(IF(Metadata!E335="",FALSE,TRUE),exact(Metadata!E335,"human skin metagenome"))</f>
        <v>0</v>
      </c>
      <c r="U335">
        <f>AND(IF(Metadata!F335="",FALSE,TRUE),exact(Metadata!F335,"539655"))</f>
        <v>0</v>
      </c>
    </row>
    <row r="336" spans="1:21">
      <c r="A336" s="4">
        <f>IF(B336=" "," ",HYPERLINK(CONCATENATE("#metadata!",ADDRESS(INDEX($L$2:$L$1001,MATCH(ROWS($J$2:J336),$J$2:$J$1001,0),0),1)),INDEX($O$2:$O$1001,MATCH(ROWS($J$2:J336),$J$2:$J$1001,0),0)))</f>
        <v>0</v>
      </c>
      <c r="B336" s="3">
        <f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>0</v>
      </c>
      <c r="C336" s="3">
        <f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>0</v>
      </c>
      <c r="D336" s="3">
        <f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>0</v>
      </c>
      <c r="E336" s="3">
        <f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>0</v>
      </c>
      <c r="F336" s="3">
        <f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>0</v>
      </c>
      <c r="J336">
        <v>0</v>
      </c>
      <c r="K336">
        <v>0</v>
      </c>
      <c r="L336">
        <v>0</v>
      </c>
      <c r="M336">
        <f>IF(N336,TRUE,AND(Q336:U336))</f>
        <v>0</v>
      </c>
      <c r="N336">
        <f>COUNTBLANK(Metadata!B336:F336)=COLUMNS(Metadata!B336:F336)</f>
        <v>0</v>
      </c>
      <c r="O336">
        <v>0</v>
      </c>
      <c r="Q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>
        <f>AND(IF(Metadata!C336="",FALSE,TRUE),exact(Metadata!C336,"human-skin"))</f>
        <v>0</v>
      </c>
      <c r="S336">
        <f>OR(AND(IF(Metadata!D336="",FALSE,TRUE),OR(exact(Metadata!D336,"missing: not collected"),exact(Metadata!D336,"missing: not provided"))),AND(IF(Metadata!D336="",FALSE,TRUE),OR(exact(Metadata!D336,"UBERON:zone of skin"),exact(Metadata!D336,"UBERON:skin of hand"),exact(Metadata!D336,"UBERON:skin of forehead"))))</f>
        <v>0</v>
      </c>
      <c r="T336">
        <f>AND(IF(Metadata!E336="",FALSE,TRUE),exact(Metadata!E336,"human skin metagenome"))</f>
        <v>0</v>
      </c>
      <c r="U336">
        <f>AND(IF(Metadata!F336="",FALSE,TRUE),exact(Metadata!F336,"539655"))</f>
        <v>0</v>
      </c>
    </row>
    <row r="337" spans="1:21">
      <c r="A337" s="4">
        <f>IF(B337=" "," ",HYPERLINK(CONCATENATE("#metadata!",ADDRESS(INDEX($L$2:$L$1001,MATCH(ROWS($J$2:J337),$J$2:$J$1001,0),0),1)),INDEX($O$2:$O$1001,MATCH(ROWS($J$2:J337),$J$2:$J$1001,0),0)))</f>
        <v>0</v>
      </c>
      <c r="B337" s="3">
        <f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>0</v>
      </c>
      <c r="C337" s="3">
        <f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>0</v>
      </c>
      <c r="D337" s="3">
        <f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>0</v>
      </c>
      <c r="E337" s="3">
        <f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>0</v>
      </c>
      <c r="F337" s="3">
        <f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>0</v>
      </c>
      <c r="J337">
        <v>0</v>
      </c>
      <c r="K337">
        <v>0</v>
      </c>
      <c r="L337">
        <v>0</v>
      </c>
      <c r="M337">
        <f>IF(N337,TRUE,AND(Q337:U337))</f>
        <v>0</v>
      </c>
      <c r="N337">
        <f>COUNTBLANK(Metadata!B337:F337)=COLUMNS(Metadata!B337:F337)</f>
        <v>0</v>
      </c>
      <c r="O337">
        <v>0</v>
      </c>
      <c r="Q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>
        <f>AND(IF(Metadata!C337="",FALSE,TRUE),exact(Metadata!C337,"human-skin"))</f>
        <v>0</v>
      </c>
      <c r="S337">
        <f>OR(AND(IF(Metadata!D337="",FALSE,TRUE),OR(exact(Metadata!D337,"missing: not collected"),exact(Metadata!D337,"missing: not provided"))),AND(IF(Metadata!D337="",FALSE,TRUE),OR(exact(Metadata!D337,"UBERON:zone of skin"),exact(Metadata!D337,"UBERON:skin of hand"),exact(Metadata!D337,"UBERON:skin of forehead"))))</f>
        <v>0</v>
      </c>
      <c r="T337">
        <f>AND(IF(Metadata!E337="",FALSE,TRUE),exact(Metadata!E337,"human skin metagenome"))</f>
        <v>0</v>
      </c>
      <c r="U337">
        <f>AND(IF(Metadata!F337="",FALSE,TRUE),exact(Metadata!F337,"539655"))</f>
        <v>0</v>
      </c>
    </row>
    <row r="338" spans="1:21">
      <c r="A338" s="4">
        <f>IF(B338=" "," ",HYPERLINK(CONCATENATE("#metadata!",ADDRESS(INDEX($L$2:$L$1001,MATCH(ROWS($J$2:J338),$J$2:$J$1001,0),0),1)),INDEX($O$2:$O$1001,MATCH(ROWS($J$2:J338),$J$2:$J$1001,0),0)))</f>
        <v>0</v>
      </c>
      <c r="B338" s="3">
        <f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>0</v>
      </c>
      <c r="C338" s="3">
        <f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>0</v>
      </c>
      <c r="D338" s="3">
        <f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>0</v>
      </c>
      <c r="E338" s="3">
        <f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>0</v>
      </c>
      <c r="F338" s="3">
        <f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>0</v>
      </c>
      <c r="J338">
        <v>0</v>
      </c>
      <c r="K338">
        <v>0</v>
      </c>
      <c r="L338">
        <v>0</v>
      </c>
      <c r="M338">
        <f>IF(N338,TRUE,AND(Q338:U338))</f>
        <v>0</v>
      </c>
      <c r="N338">
        <f>COUNTBLANK(Metadata!B338:F338)=COLUMNS(Metadata!B338:F338)</f>
        <v>0</v>
      </c>
      <c r="O338">
        <v>0</v>
      </c>
      <c r="Q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>
        <f>AND(IF(Metadata!C338="",FALSE,TRUE),exact(Metadata!C338,"human-skin"))</f>
        <v>0</v>
      </c>
      <c r="S338">
        <f>OR(AND(IF(Metadata!D338="",FALSE,TRUE),OR(exact(Metadata!D338,"missing: not collected"),exact(Metadata!D338,"missing: not provided"))),AND(IF(Metadata!D338="",FALSE,TRUE),OR(exact(Metadata!D338,"UBERON:zone of skin"),exact(Metadata!D338,"UBERON:skin of hand"),exact(Metadata!D338,"UBERON:skin of forehead"))))</f>
        <v>0</v>
      </c>
      <c r="T338">
        <f>AND(IF(Metadata!E338="",FALSE,TRUE),exact(Metadata!E338,"human skin metagenome"))</f>
        <v>0</v>
      </c>
      <c r="U338">
        <f>AND(IF(Metadata!F338="",FALSE,TRUE),exact(Metadata!F338,"539655"))</f>
        <v>0</v>
      </c>
    </row>
    <row r="339" spans="1:21">
      <c r="A339" s="4">
        <f>IF(B339=" "," ",HYPERLINK(CONCATENATE("#metadata!",ADDRESS(INDEX($L$2:$L$1001,MATCH(ROWS($J$2:J339),$J$2:$J$1001,0),0),1)),INDEX($O$2:$O$1001,MATCH(ROWS($J$2:J339),$J$2:$J$1001,0),0)))</f>
        <v>0</v>
      </c>
      <c r="B339" s="3">
        <f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>0</v>
      </c>
      <c r="C339" s="3">
        <f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>0</v>
      </c>
      <c r="D339" s="3">
        <f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>0</v>
      </c>
      <c r="E339" s="3">
        <f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>0</v>
      </c>
      <c r="F339" s="3">
        <f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>0</v>
      </c>
      <c r="J339">
        <v>0</v>
      </c>
      <c r="K339">
        <v>0</v>
      </c>
      <c r="L339">
        <v>0</v>
      </c>
      <c r="M339">
        <f>IF(N339,TRUE,AND(Q339:U339))</f>
        <v>0</v>
      </c>
      <c r="N339">
        <f>COUNTBLANK(Metadata!B339:F339)=COLUMNS(Metadata!B339:F339)</f>
        <v>0</v>
      </c>
      <c r="O339">
        <v>0</v>
      </c>
      <c r="Q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>
        <f>AND(IF(Metadata!C339="",FALSE,TRUE),exact(Metadata!C339,"human-skin"))</f>
        <v>0</v>
      </c>
      <c r="S339">
        <f>OR(AND(IF(Metadata!D339="",FALSE,TRUE),OR(exact(Metadata!D339,"missing: not collected"),exact(Metadata!D339,"missing: not provided"))),AND(IF(Metadata!D339="",FALSE,TRUE),OR(exact(Metadata!D339,"UBERON:zone of skin"),exact(Metadata!D339,"UBERON:skin of hand"),exact(Metadata!D339,"UBERON:skin of forehead"))))</f>
        <v>0</v>
      </c>
      <c r="T339">
        <f>AND(IF(Metadata!E339="",FALSE,TRUE),exact(Metadata!E339,"human skin metagenome"))</f>
        <v>0</v>
      </c>
      <c r="U339">
        <f>AND(IF(Metadata!F339="",FALSE,TRUE),exact(Metadata!F339,"539655"))</f>
        <v>0</v>
      </c>
    </row>
    <row r="340" spans="1:21">
      <c r="A340" s="4">
        <f>IF(B340=" "," ",HYPERLINK(CONCATENATE("#metadata!",ADDRESS(INDEX($L$2:$L$1001,MATCH(ROWS($J$2:J340),$J$2:$J$1001,0),0),1)),INDEX($O$2:$O$1001,MATCH(ROWS($J$2:J340),$J$2:$J$1001,0),0)))</f>
        <v>0</v>
      </c>
      <c r="B340" s="3">
        <f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>0</v>
      </c>
      <c r="C340" s="3">
        <f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>0</v>
      </c>
      <c r="D340" s="3">
        <f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>0</v>
      </c>
      <c r="E340" s="3">
        <f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>0</v>
      </c>
      <c r="F340" s="3">
        <f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>0</v>
      </c>
      <c r="J340">
        <v>0</v>
      </c>
      <c r="K340">
        <v>0</v>
      </c>
      <c r="L340">
        <v>0</v>
      </c>
      <c r="M340">
        <f>IF(N340,TRUE,AND(Q340:U340))</f>
        <v>0</v>
      </c>
      <c r="N340">
        <f>COUNTBLANK(Metadata!B340:F340)=COLUMNS(Metadata!B340:F340)</f>
        <v>0</v>
      </c>
      <c r="O340">
        <v>0</v>
      </c>
      <c r="Q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>
        <f>AND(IF(Metadata!C340="",FALSE,TRUE),exact(Metadata!C340,"human-skin"))</f>
        <v>0</v>
      </c>
      <c r="S340">
        <f>OR(AND(IF(Metadata!D340="",FALSE,TRUE),OR(exact(Metadata!D340,"missing: not collected"),exact(Metadata!D340,"missing: not provided"))),AND(IF(Metadata!D340="",FALSE,TRUE),OR(exact(Metadata!D340,"UBERON:zone of skin"),exact(Metadata!D340,"UBERON:skin of hand"),exact(Metadata!D340,"UBERON:skin of forehead"))))</f>
        <v>0</v>
      </c>
      <c r="T340">
        <f>AND(IF(Metadata!E340="",FALSE,TRUE),exact(Metadata!E340,"human skin metagenome"))</f>
        <v>0</v>
      </c>
      <c r="U340">
        <f>AND(IF(Metadata!F340="",FALSE,TRUE),exact(Metadata!F340,"539655"))</f>
        <v>0</v>
      </c>
    </row>
    <row r="341" spans="1:21">
      <c r="A341" s="4">
        <f>IF(B341=" "," ",HYPERLINK(CONCATENATE("#metadata!",ADDRESS(INDEX($L$2:$L$1001,MATCH(ROWS($J$2:J341),$J$2:$J$1001,0),0),1)),INDEX($O$2:$O$1001,MATCH(ROWS($J$2:J341),$J$2:$J$1001,0),0)))</f>
        <v>0</v>
      </c>
      <c r="B341" s="3">
        <f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>0</v>
      </c>
      <c r="C341" s="3">
        <f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>0</v>
      </c>
      <c r="D341" s="3">
        <f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>0</v>
      </c>
      <c r="E341" s="3">
        <f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>0</v>
      </c>
      <c r="F341" s="3">
        <f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>0</v>
      </c>
      <c r="J341">
        <v>0</v>
      </c>
      <c r="K341">
        <v>0</v>
      </c>
      <c r="L341">
        <v>0</v>
      </c>
      <c r="M341">
        <f>IF(N341,TRUE,AND(Q341:U341))</f>
        <v>0</v>
      </c>
      <c r="N341">
        <f>COUNTBLANK(Metadata!B341:F341)=COLUMNS(Metadata!B341:F341)</f>
        <v>0</v>
      </c>
      <c r="O341">
        <v>0</v>
      </c>
      <c r="Q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>
        <f>AND(IF(Metadata!C341="",FALSE,TRUE),exact(Metadata!C341,"human-skin"))</f>
        <v>0</v>
      </c>
      <c r="S341">
        <f>OR(AND(IF(Metadata!D341="",FALSE,TRUE),OR(exact(Metadata!D341,"missing: not collected"),exact(Metadata!D341,"missing: not provided"))),AND(IF(Metadata!D341="",FALSE,TRUE),OR(exact(Metadata!D341,"UBERON:zone of skin"),exact(Metadata!D341,"UBERON:skin of hand"),exact(Metadata!D341,"UBERON:skin of forehead"))))</f>
        <v>0</v>
      </c>
      <c r="T341">
        <f>AND(IF(Metadata!E341="",FALSE,TRUE),exact(Metadata!E341,"human skin metagenome"))</f>
        <v>0</v>
      </c>
      <c r="U341">
        <f>AND(IF(Metadata!F341="",FALSE,TRUE),exact(Metadata!F341,"539655"))</f>
        <v>0</v>
      </c>
    </row>
    <row r="342" spans="1:21">
      <c r="A342" s="4">
        <f>IF(B342=" "," ",HYPERLINK(CONCATENATE("#metadata!",ADDRESS(INDEX($L$2:$L$1001,MATCH(ROWS($J$2:J342),$J$2:$J$1001,0),0),1)),INDEX($O$2:$O$1001,MATCH(ROWS($J$2:J342),$J$2:$J$1001,0),0)))</f>
        <v>0</v>
      </c>
      <c r="B342" s="3">
        <f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>0</v>
      </c>
      <c r="C342" s="3">
        <f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>0</v>
      </c>
      <c r="D342" s="3">
        <f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>0</v>
      </c>
      <c r="E342" s="3">
        <f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>0</v>
      </c>
      <c r="F342" s="3">
        <f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>0</v>
      </c>
      <c r="J342">
        <v>0</v>
      </c>
      <c r="K342">
        <v>0</v>
      </c>
      <c r="L342">
        <v>0</v>
      </c>
      <c r="M342">
        <f>IF(N342,TRUE,AND(Q342:U342))</f>
        <v>0</v>
      </c>
      <c r="N342">
        <f>COUNTBLANK(Metadata!B342:F342)=COLUMNS(Metadata!B342:F342)</f>
        <v>0</v>
      </c>
      <c r="O342">
        <v>0</v>
      </c>
      <c r="Q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>
        <f>AND(IF(Metadata!C342="",FALSE,TRUE),exact(Metadata!C342,"human-skin"))</f>
        <v>0</v>
      </c>
      <c r="S342">
        <f>OR(AND(IF(Metadata!D342="",FALSE,TRUE),OR(exact(Metadata!D342,"missing: not collected"),exact(Metadata!D342,"missing: not provided"))),AND(IF(Metadata!D342="",FALSE,TRUE),OR(exact(Metadata!D342,"UBERON:zone of skin"),exact(Metadata!D342,"UBERON:skin of hand"),exact(Metadata!D342,"UBERON:skin of forehead"))))</f>
        <v>0</v>
      </c>
      <c r="T342">
        <f>AND(IF(Metadata!E342="",FALSE,TRUE),exact(Metadata!E342,"human skin metagenome"))</f>
        <v>0</v>
      </c>
      <c r="U342">
        <f>AND(IF(Metadata!F342="",FALSE,TRUE),exact(Metadata!F342,"539655"))</f>
        <v>0</v>
      </c>
    </row>
    <row r="343" spans="1:21">
      <c r="A343" s="4">
        <f>IF(B343=" "," ",HYPERLINK(CONCATENATE("#metadata!",ADDRESS(INDEX($L$2:$L$1001,MATCH(ROWS($J$2:J343),$J$2:$J$1001,0),0),1)),INDEX($O$2:$O$1001,MATCH(ROWS($J$2:J343),$J$2:$J$1001,0),0)))</f>
        <v>0</v>
      </c>
      <c r="B343" s="3">
        <f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>0</v>
      </c>
      <c r="C343" s="3">
        <f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>0</v>
      </c>
      <c r="D343" s="3">
        <f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>0</v>
      </c>
      <c r="E343" s="3">
        <f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>0</v>
      </c>
      <c r="F343" s="3">
        <f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>0</v>
      </c>
      <c r="J343">
        <v>0</v>
      </c>
      <c r="K343">
        <v>0</v>
      </c>
      <c r="L343">
        <v>0</v>
      </c>
      <c r="M343">
        <f>IF(N343,TRUE,AND(Q343:U343))</f>
        <v>0</v>
      </c>
      <c r="N343">
        <f>COUNTBLANK(Metadata!B343:F343)=COLUMNS(Metadata!B343:F343)</f>
        <v>0</v>
      </c>
      <c r="O343">
        <v>0</v>
      </c>
      <c r="Q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>
        <f>AND(IF(Metadata!C343="",FALSE,TRUE),exact(Metadata!C343,"human-skin"))</f>
        <v>0</v>
      </c>
      <c r="S343">
        <f>OR(AND(IF(Metadata!D343="",FALSE,TRUE),OR(exact(Metadata!D343,"missing: not collected"),exact(Metadata!D343,"missing: not provided"))),AND(IF(Metadata!D343="",FALSE,TRUE),OR(exact(Metadata!D343,"UBERON:zone of skin"),exact(Metadata!D343,"UBERON:skin of hand"),exact(Metadata!D343,"UBERON:skin of forehead"))))</f>
        <v>0</v>
      </c>
      <c r="T343">
        <f>AND(IF(Metadata!E343="",FALSE,TRUE),exact(Metadata!E343,"human skin metagenome"))</f>
        <v>0</v>
      </c>
      <c r="U343">
        <f>AND(IF(Metadata!F343="",FALSE,TRUE),exact(Metadata!F343,"539655"))</f>
        <v>0</v>
      </c>
    </row>
    <row r="344" spans="1:21">
      <c r="A344" s="4">
        <f>IF(B344=" "," ",HYPERLINK(CONCATENATE("#metadata!",ADDRESS(INDEX($L$2:$L$1001,MATCH(ROWS($J$2:J344),$J$2:$J$1001,0),0),1)),INDEX($O$2:$O$1001,MATCH(ROWS($J$2:J344),$J$2:$J$1001,0),0)))</f>
        <v>0</v>
      </c>
      <c r="B344" s="3">
        <f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>0</v>
      </c>
      <c r="C344" s="3">
        <f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>0</v>
      </c>
      <c r="D344" s="3">
        <f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>0</v>
      </c>
      <c r="E344" s="3">
        <f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>0</v>
      </c>
      <c r="F344" s="3">
        <f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>0</v>
      </c>
      <c r="J344">
        <v>0</v>
      </c>
      <c r="K344">
        <v>0</v>
      </c>
      <c r="L344">
        <v>0</v>
      </c>
      <c r="M344">
        <f>IF(N344,TRUE,AND(Q344:U344))</f>
        <v>0</v>
      </c>
      <c r="N344">
        <f>COUNTBLANK(Metadata!B344:F344)=COLUMNS(Metadata!B344:F344)</f>
        <v>0</v>
      </c>
      <c r="O344">
        <v>0</v>
      </c>
      <c r="Q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>
        <f>AND(IF(Metadata!C344="",FALSE,TRUE),exact(Metadata!C344,"human-skin"))</f>
        <v>0</v>
      </c>
      <c r="S344">
        <f>OR(AND(IF(Metadata!D344="",FALSE,TRUE),OR(exact(Metadata!D344,"missing: not collected"),exact(Metadata!D344,"missing: not provided"))),AND(IF(Metadata!D344="",FALSE,TRUE),OR(exact(Metadata!D344,"UBERON:zone of skin"),exact(Metadata!D344,"UBERON:skin of hand"),exact(Metadata!D344,"UBERON:skin of forehead"))))</f>
        <v>0</v>
      </c>
      <c r="T344">
        <f>AND(IF(Metadata!E344="",FALSE,TRUE),exact(Metadata!E344,"human skin metagenome"))</f>
        <v>0</v>
      </c>
      <c r="U344">
        <f>AND(IF(Metadata!F344="",FALSE,TRUE),exact(Metadata!F344,"539655"))</f>
        <v>0</v>
      </c>
    </row>
    <row r="345" spans="1:21">
      <c r="A345" s="4">
        <f>IF(B345=" "," ",HYPERLINK(CONCATENATE("#metadata!",ADDRESS(INDEX($L$2:$L$1001,MATCH(ROWS($J$2:J345),$J$2:$J$1001,0),0),1)),INDEX($O$2:$O$1001,MATCH(ROWS($J$2:J345),$J$2:$J$1001,0),0)))</f>
        <v>0</v>
      </c>
      <c r="B345" s="3">
        <f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>0</v>
      </c>
      <c r="C345" s="3">
        <f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>0</v>
      </c>
      <c r="D345" s="3">
        <f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>0</v>
      </c>
      <c r="E345" s="3">
        <f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>0</v>
      </c>
      <c r="F345" s="3">
        <f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>0</v>
      </c>
      <c r="J345">
        <v>0</v>
      </c>
      <c r="K345">
        <v>0</v>
      </c>
      <c r="L345">
        <v>0</v>
      </c>
      <c r="M345">
        <f>IF(N345,TRUE,AND(Q345:U345))</f>
        <v>0</v>
      </c>
      <c r="N345">
        <f>COUNTBLANK(Metadata!B345:F345)=COLUMNS(Metadata!B345:F345)</f>
        <v>0</v>
      </c>
      <c r="O345">
        <v>0</v>
      </c>
      <c r="Q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>
        <f>AND(IF(Metadata!C345="",FALSE,TRUE),exact(Metadata!C345,"human-skin"))</f>
        <v>0</v>
      </c>
      <c r="S345">
        <f>OR(AND(IF(Metadata!D345="",FALSE,TRUE),OR(exact(Metadata!D345,"missing: not collected"),exact(Metadata!D345,"missing: not provided"))),AND(IF(Metadata!D345="",FALSE,TRUE),OR(exact(Metadata!D345,"UBERON:zone of skin"),exact(Metadata!D345,"UBERON:skin of hand"),exact(Metadata!D345,"UBERON:skin of forehead"))))</f>
        <v>0</v>
      </c>
      <c r="T345">
        <f>AND(IF(Metadata!E345="",FALSE,TRUE),exact(Metadata!E345,"human skin metagenome"))</f>
        <v>0</v>
      </c>
      <c r="U345">
        <f>AND(IF(Metadata!F345="",FALSE,TRUE),exact(Metadata!F345,"539655"))</f>
        <v>0</v>
      </c>
    </row>
    <row r="346" spans="1:21">
      <c r="A346" s="4">
        <f>IF(B346=" "," ",HYPERLINK(CONCATENATE("#metadata!",ADDRESS(INDEX($L$2:$L$1001,MATCH(ROWS($J$2:J346),$J$2:$J$1001,0),0),1)),INDEX($O$2:$O$1001,MATCH(ROWS($J$2:J346),$J$2:$J$1001,0),0)))</f>
        <v>0</v>
      </c>
      <c r="B346" s="3">
        <f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>0</v>
      </c>
      <c r="C346" s="3">
        <f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>0</v>
      </c>
      <c r="D346" s="3">
        <f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>0</v>
      </c>
      <c r="E346" s="3">
        <f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>0</v>
      </c>
      <c r="F346" s="3">
        <f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>0</v>
      </c>
      <c r="J346">
        <v>0</v>
      </c>
      <c r="K346">
        <v>0</v>
      </c>
      <c r="L346">
        <v>0</v>
      </c>
      <c r="M346">
        <f>IF(N346,TRUE,AND(Q346:U346))</f>
        <v>0</v>
      </c>
      <c r="N346">
        <f>COUNTBLANK(Metadata!B346:F346)=COLUMNS(Metadata!B346:F346)</f>
        <v>0</v>
      </c>
      <c r="O346">
        <v>0</v>
      </c>
      <c r="Q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>
        <f>AND(IF(Metadata!C346="",FALSE,TRUE),exact(Metadata!C346,"human-skin"))</f>
        <v>0</v>
      </c>
      <c r="S346">
        <f>OR(AND(IF(Metadata!D346="",FALSE,TRUE),OR(exact(Metadata!D346,"missing: not collected"),exact(Metadata!D346,"missing: not provided"))),AND(IF(Metadata!D346="",FALSE,TRUE),OR(exact(Metadata!D346,"UBERON:zone of skin"),exact(Metadata!D346,"UBERON:skin of hand"),exact(Metadata!D346,"UBERON:skin of forehead"))))</f>
        <v>0</v>
      </c>
      <c r="T346">
        <f>AND(IF(Metadata!E346="",FALSE,TRUE),exact(Metadata!E346,"human skin metagenome"))</f>
        <v>0</v>
      </c>
      <c r="U346">
        <f>AND(IF(Metadata!F346="",FALSE,TRUE),exact(Metadata!F346,"539655"))</f>
        <v>0</v>
      </c>
    </row>
    <row r="347" spans="1:21">
      <c r="A347" s="4">
        <f>IF(B347=" "," ",HYPERLINK(CONCATENATE("#metadata!",ADDRESS(INDEX($L$2:$L$1001,MATCH(ROWS($J$2:J347),$J$2:$J$1001,0),0),1)),INDEX($O$2:$O$1001,MATCH(ROWS($J$2:J347),$J$2:$J$1001,0),0)))</f>
        <v>0</v>
      </c>
      <c r="B347" s="3">
        <f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>0</v>
      </c>
      <c r="C347" s="3">
        <f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>0</v>
      </c>
      <c r="D347" s="3">
        <f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>0</v>
      </c>
      <c r="E347" s="3">
        <f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>0</v>
      </c>
      <c r="F347" s="3">
        <f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>0</v>
      </c>
      <c r="J347">
        <v>0</v>
      </c>
      <c r="K347">
        <v>0</v>
      </c>
      <c r="L347">
        <v>0</v>
      </c>
      <c r="M347">
        <f>IF(N347,TRUE,AND(Q347:U347))</f>
        <v>0</v>
      </c>
      <c r="N347">
        <f>COUNTBLANK(Metadata!B347:F347)=COLUMNS(Metadata!B347:F347)</f>
        <v>0</v>
      </c>
      <c r="O347">
        <v>0</v>
      </c>
      <c r="Q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>
        <f>AND(IF(Metadata!C347="",FALSE,TRUE),exact(Metadata!C347,"human-skin"))</f>
        <v>0</v>
      </c>
      <c r="S347">
        <f>OR(AND(IF(Metadata!D347="",FALSE,TRUE),OR(exact(Metadata!D347,"missing: not collected"),exact(Metadata!D347,"missing: not provided"))),AND(IF(Metadata!D347="",FALSE,TRUE),OR(exact(Metadata!D347,"UBERON:zone of skin"),exact(Metadata!D347,"UBERON:skin of hand"),exact(Metadata!D347,"UBERON:skin of forehead"))))</f>
        <v>0</v>
      </c>
      <c r="T347">
        <f>AND(IF(Metadata!E347="",FALSE,TRUE),exact(Metadata!E347,"human skin metagenome"))</f>
        <v>0</v>
      </c>
      <c r="U347">
        <f>AND(IF(Metadata!F347="",FALSE,TRUE),exact(Metadata!F347,"539655"))</f>
        <v>0</v>
      </c>
    </row>
    <row r="348" spans="1:21">
      <c r="A348" s="4">
        <f>IF(B348=" "," ",HYPERLINK(CONCATENATE("#metadata!",ADDRESS(INDEX($L$2:$L$1001,MATCH(ROWS($J$2:J348),$J$2:$J$1001,0),0),1)),INDEX($O$2:$O$1001,MATCH(ROWS($J$2:J348),$J$2:$J$1001,0),0)))</f>
        <v>0</v>
      </c>
      <c r="B348" s="3">
        <f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>0</v>
      </c>
      <c r="C348" s="3">
        <f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>0</v>
      </c>
      <c r="D348" s="3">
        <f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>0</v>
      </c>
      <c r="E348" s="3">
        <f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>0</v>
      </c>
      <c r="F348" s="3">
        <f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>0</v>
      </c>
      <c r="J348">
        <v>0</v>
      </c>
      <c r="K348">
        <v>0</v>
      </c>
      <c r="L348">
        <v>0</v>
      </c>
      <c r="M348">
        <f>IF(N348,TRUE,AND(Q348:U348))</f>
        <v>0</v>
      </c>
      <c r="N348">
        <f>COUNTBLANK(Metadata!B348:F348)=COLUMNS(Metadata!B348:F348)</f>
        <v>0</v>
      </c>
      <c r="O348">
        <v>0</v>
      </c>
      <c r="Q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>
        <f>AND(IF(Metadata!C348="",FALSE,TRUE),exact(Metadata!C348,"human-skin"))</f>
        <v>0</v>
      </c>
      <c r="S348">
        <f>OR(AND(IF(Metadata!D348="",FALSE,TRUE),OR(exact(Metadata!D348,"missing: not collected"),exact(Metadata!D348,"missing: not provided"))),AND(IF(Metadata!D348="",FALSE,TRUE),OR(exact(Metadata!D348,"UBERON:zone of skin"),exact(Metadata!D348,"UBERON:skin of hand"),exact(Metadata!D348,"UBERON:skin of forehead"))))</f>
        <v>0</v>
      </c>
      <c r="T348">
        <f>AND(IF(Metadata!E348="",FALSE,TRUE),exact(Metadata!E348,"human skin metagenome"))</f>
        <v>0</v>
      </c>
      <c r="U348">
        <f>AND(IF(Metadata!F348="",FALSE,TRUE),exact(Metadata!F348,"539655"))</f>
        <v>0</v>
      </c>
    </row>
    <row r="349" spans="1:21">
      <c r="A349" s="4">
        <f>IF(B349=" "," ",HYPERLINK(CONCATENATE("#metadata!",ADDRESS(INDEX($L$2:$L$1001,MATCH(ROWS($J$2:J349),$J$2:$J$1001,0),0),1)),INDEX($O$2:$O$1001,MATCH(ROWS($J$2:J349),$J$2:$J$1001,0),0)))</f>
        <v>0</v>
      </c>
      <c r="B349" s="3">
        <f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>0</v>
      </c>
      <c r="C349" s="3">
        <f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>0</v>
      </c>
      <c r="D349" s="3">
        <f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>0</v>
      </c>
      <c r="E349" s="3">
        <f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>0</v>
      </c>
      <c r="F349" s="3">
        <f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>0</v>
      </c>
      <c r="J349">
        <v>0</v>
      </c>
      <c r="K349">
        <v>0</v>
      </c>
      <c r="L349">
        <v>0</v>
      </c>
      <c r="M349">
        <f>IF(N349,TRUE,AND(Q349:U349))</f>
        <v>0</v>
      </c>
      <c r="N349">
        <f>COUNTBLANK(Metadata!B349:F349)=COLUMNS(Metadata!B349:F349)</f>
        <v>0</v>
      </c>
      <c r="O349">
        <v>0</v>
      </c>
      <c r="Q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>
        <f>AND(IF(Metadata!C349="",FALSE,TRUE),exact(Metadata!C349,"human-skin"))</f>
        <v>0</v>
      </c>
      <c r="S349">
        <f>OR(AND(IF(Metadata!D349="",FALSE,TRUE),OR(exact(Metadata!D349,"missing: not collected"),exact(Metadata!D349,"missing: not provided"))),AND(IF(Metadata!D349="",FALSE,TRUE),OR(exact(Metadata!D349,"UBERON:zone of skin"),exact(Metadata!D349,"UBERON:skin of hand"),exact(Metadata!D349,"UBERON:skin of forehead"))))</f>
        <v>0</v>
      </c>
      <c r="T349">
        <f>AND(IF(Metadata!E349="",FALSE,TRUE),exact(Metadata!E349,"human skin metagenome"))</f>
        <v>0</v>
      </c>
      <c r="U349">
        <f>AND(IF(Metadata!F349="",FALSE,TRUE),exact(Metadata!F349,"539655"))</f>
        <v>0</v>
      </c>
    </row>
    <row r="350" spans="1:21">
      <c r="A350" s="4">
        <f>IF(B350=" "," ",HYPERLINK(CONCATENATE("#metadata!",ADDRESS(INDEX($L$2:$L$1001,MATCH(ROWS($J$2:J350),$J$2:$J$1001,0),0),1)),INDEX($O$2:$O$1001,MATCH(ROWS($J$2:J350),$J$2:$J$1001,0),0)))</f>
        <v>0</v>
      </c>
      <c r="B350" s="3">
        <f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>0</v>
      </c>
      <c r="C350" s="3">
        <f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>0</v>
      </c>
      <c r="D350" s="3">
        <f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>0</v>
      </c>
      <c r="E350" s="3">
        <f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>0</v>
      </c>
      <c r="F350" s="3">
        <f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>0</v>
      </c>
      <c r="J350">
        <v>0</v>
      </c>
      <c r="K350">
        <v>0</v>
      </c>
      <c r="L350">
        <v>0</v>
      </c>
      <c r="M350">
        <f>IF(N350,TRUE,AND(Q350:U350))</f>
        <v>0</v>
      </c>
      <c r="N350">
        <f>COUNTBLANK(Metadata!B350:F350)=COLUMNS(Metadata!B350:F350)</f>
        <v>0</v>
      </c>
      <c r="O350">
        <v>0</v>
      </c>
      <c r="Q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>
        <f>AND(IF(Metadata!C350="",FALSE,TRUE),exact(Metadata!C350,"human-skin"))</f>
        <v>0</v>
      </c>
      <c r="S350">
        <f>OR(AND(IF(Metadata!D350="",FALSE,TRUE),OR(exact(Metadata!D350,"missing: not collected"),exact(Metadata!D350,"missing: not provided"))),AND(IF(Metadata!D350="",FALSE,TRUE),OR(exact(Metadata!D350,"UBERON:zone of skin"),exact(Metadata!D350,"UBERON:skin of hand"),exact(Metadata!D350,"UBERON:skin of forehead"))))</f>
        <v>0</v>
      </c>
      <c r="T350">
        <f>AND(IF(Metadata!E350="",FALSE,TRUE),exact(Metadata!E350,"human skin metagenome"))</f>
        <v>0</v>
      </c>
      <c r="U350">
        <f>AND(IF(Metadata!F350="",FALSE,TRUE),exact(Metadata!F350,"539655"))</f>
        <v>0</v>
      </c>
    </row>
    <row r="351" spans="1:21">
      <c r="A351" s="4">
        <f>IF(B351=" "," ",HYPERLINK(CONCATENATE("#metadata!",ADDRESS(INDEX($L$2:$L$1001,MATCH(ROWS($J$2:J351),$J$2:$J$1001,0),0),1)),INDEX($O$2:$O$1001,MATCH(ROWS($J$2:J351),$J$2:$J$1001,0),0)))</f>
        <v>0</v>
      </c>
      <c r="B351" s="3">
        <f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>0</v>
      </c>
      <c r="C351" s="3">
        <f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>0</v>
      </c>
      <c r="D351" s="3">
        <f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>0</v>
      </c>
      <c r="E351" s="3">
        <f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>0</v>
      </c>
      <c r="F351" s="3">
        <f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>0</v>
      </c>
      <c r="J351">
        <v>0</v>
      </c>
      <c r="K351">
        <v>0</v>
      </c>
      <c r="L351">
        <v>0</v>
      </c>
      <c r="M351">
        <f>IF(N351,TRUE,AND(Q351:U351))</f>
        <v>0</v>
      </c>
      <c r="N351">
        <f>COUNTBLANK(Metadata!B351:F351)=COLUMNS(Metadata!B351:F351)</f>
        <v>0</v>
      </c>
      <c r="O351">
        <v>0</v>
      </c>
      <c r="Q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>
        <f>AND(IF(Metadata!C351="",FALSE,TRUE),exact(Metadata!C351,"human-skin"))</f>
        <v>0</v>
      </c>
      <c r="S351">
        <f>OR(AND(IF(Metadata!D351="",FALSE,TRUE),OR(exact(Metadata!D351,"missing: not collected"),exact(Metadata!D351,"missing: not provided"))),AND(IF(Metadata!D351="",FALSE,TRUE),OR(exact(Metadata!D351,"UBERON:zone of skin"),exact(Metadata!D351,"UBERON:skin of hand"),exact(Metadata!D351,"UBERON:skin of forehead"))))</f>
        <v>0</v>
      </c>
      <c r="T351">
        <f>AND(IF(Metadata!E351="",FALSE,TRUE),exact(Metadata!E351,"human skin metagenome"))</f>
        <v>0</v>
      </c>
      <c r="U351">
        <f>AND(IF(Metadata!F351="",FALSE,TRUE),exact(Metadata!F351,"539655"))</f>
        <v>0</v>
      </c>
    </row>
    <row r="352" spans="1:21">
      <c r="A352" s="4">
        <f>IF(B352=" "," ",HYPERLINK(CONCATENATE("#metadata!",ADDRESS(INDEX($L$2:$L$1001,MATCH(ROWS($J$2:J352),$J$2:$J$1001,0),0),1)),INDEX($O$2:$O$1001,MATCH(ROWS($J$2:J352),$J$2:$J$1001,0),0)))</f>
        <v>0</v>
      </c>
      <c r="B352" s="3">
        <f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>0</v>
      </c>
      <c r="C352" s="3">
        <f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>0</v>
      </c>
      <c r="D352" s="3">
        <f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>0</v>
      </c>
      <c r="E352" s="3">
        <f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>0</v>
      </c>
      <c r="F352" s="3">
        <f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>0</v>
      </c>
      <c r="J352">
        <v>0</v>
      </c>
      <c r="K352">
        <v>0</v>
      </c>
      <c r="L352">
        <v>0</v>
      </c>
      <c r="M352">
        <f>IF(N352,TRUE,AND(Q352:U352))</f>
        <v>0</v>
      </c>
      <c r="N352">
        <f>COUNTBLANK(Metadata!B352:F352)=COLUMNS(Metadata!B352:F352)</f>
        <v>0</v>
      </c>
      <c r="O352">
        <v>0</v>
      </c>
      <c r="Q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>
        <f>AND(IF(Metadata!C352="",FALSE,TRUE),exact(Metadata!C352,"human-skin"))</f>
        <v>0</v>
      </c>
      <c r="S352">
        <f>OR(AND(IF(Metadata!D352="",FALSE,TRUE),OR(exact(Metadata!D352,"missing: not collected"),exact(Metadata!D352,"missing: not provided"))),AND(IF(Metadata!D352="",FALSE,TRUE),OR(exact(Metadata!D352,"UBERON:zone of skin"),exact(Metadata!D352,"UBERON:skin of hand"),exact(Metadata!D352,"UBERON:skin of forehead"))))</f>
        <v>0</v>
      </c>
      <c r="T352">
        <f>AND(IF(Metadata!E352="",FALSE,TRUE),exact(Metadata!E352,"human skin metagenome"))</f>
        <v>0</v>
      </c>
      <c r="U352">
        <f>AND(IF(Metadata!F352="",FALSE,TRUE),exact(Metadata!F352,"539655"))</f>
        <v>0</v>
      </c>
    </row>
    <row r="353" spans="1:21">
      <c r="A353" s="4">
        <f>IF(B353=" "," ",HYPERLINK(CONCATENATE("#metadata!",ADDRESS(INDEX($L$2:$L$1001,MATCH(ROWS($J$2:J353),$J$2:$J$1001,0),0),1)),INDEX($O$2:$O$1001,MATCH(ROWS($J$2:J353),$J$2:$J$1001,0),0)))</f>
        <v>0</v>
      </c>
      <c r="B353" s="3">
        <f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>0</v>
      </c>
      <c r="C353" s="3">
        <f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>0</v>
      </c>
      <c r="D353" s="3">
        <f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>0</v>
      </c>
      <c r="E353" s="3">
        <f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>0</v>
      </c>
      <c r="F353" s="3">
        <f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>0</v>
      </c>
      <c r="J353">
        <v>0</v>
      </c>
      <c r="K353">
        <v>0</v>
      </c>
      <c r="L353">
        <v>0</v>
      </c>
      <c r="M353">
        <f>IF(N353,TRUE,AND(Q353:U353))</f>
        <v>0</v>
      </c>
      <c r="N353">
        <f>COUNTBLANK(Metadata!B353:F353)=COLUMNS(Metadata!B353:F353)</f>
        <v>0</v>
      </c>
      <c r="O353">
        <v>0</v>
      </c>
      <c r="Q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>
        <f>AND(IF(Metadata!C353="",FALSE,TRUE),exact(Metadata!C353,"human-skin"))</f>
        <v>0</v>
      </c>
      <c r="S353">
        <f>OR(AND(IF(Metadata!D353="",FALSE,TRUE),OR(exact(Metadata!D353,"missing: not collected"),exact(Metadata!D353,"missing: not provided"))),AND(IF(Metadata!D353="",FALSE,TRUE),OR(exact(Metadata!D353,"UBERON:zone of skin"),exact(Metadata!D353,"UBERON:skin of hand"),exact(Metadata!D353,"UBERON:skin of forehead"))))</f>
        <v>0</v>
      </c>
      <c r="T353">
        <f>AND(IF(Metadata!E353="",FALSE,TRUE),exact(Metadata!E353,"human skin metagenome"))</f>
        <v>0</v>
      </c>
      <c r="U353">
        <f>AND(IF(Metadata!F353="",FALSE,TRUE),exact(Metadata!F353,"539655"))</f>
        <v>0</v>
      </c>
    </row>
    <row r="354" spans="1:21">
      <c r="A354" s="4">
        <f>IF(B354=" "," ",HYPERLINK(CONCATENATE("#metadata!",ADDRESS(INDEX($L$2:$L$1001,MATCH(ROWS($J$2:J354),$J$2:$J$1001,0),0),1)),INDEX($O$2:$O$1001,MATCH(ROWS($J$2:J354),$J$2:$J$1001,0),0)))</f>
        <v>0</v>
      </c>
      <c r="B354" s="3">
        <f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>0</v>
      </c>
      <c r="C354" s="3">
        <f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>0</v>
      </c>
      <c r="D354" s="3">
        <f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>0</v>
      </c>
      <c r="E354" s="3">
        <f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>0</v>
      </c>
      <c r="F354" s="3">
        <f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>0</v>
      </c>
      <c r="J354">
        <v>0</v>
      </c>
      <c r="K354">
        <v>0</v>
      </c>
      <c r="L354">
        <v>0</v>
      </c>
      <c r="M354">
        <f>IF(N354,TRUE,AND(Q354:U354))</f>
        <v>0</v>
      </c>
      <c r="N354">
        <f>COUNTBLANK(Metadata!B354:F354)=COLUMNS(Metadata!B354:F354)</f>
        <v>0</v>
      </c>
      <c r="O354">
        <v>0</v>
      </c>
      <c r="Q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>
        <f>AND(IF(Metadata!C354="",FALSE,TRUE),exact(Metadata!C354,"human-skin"))</f>
        <v>0</v>
      </c>
      <c r="S354">
        <f>OR(AND(IF(Metadata!D354="",FALSE,TRUE),OR(exact(Metadata!D354,"missing: not collected"),exact(Metadata!D354,"missing: not provided"))),AND(IF(Metadata!D354="",FALSE,TRUE),OR(exact(Metadata!D354,"UBERON:zone of skin"),exact(Metadata!D354,"UBERON:skin of hand"),exact(Metadata!D354,"UBERON:skin of forehead"))))</f>
        <v>0</v>
      </c>
      <c r="T354">
        <f>AND(IF(Metadata!E354="",FALSE,TRUE),exact(Metadata!E354,"human skin metagenome"))</f>
        <v>0</v>
      </c>
      <c r="U354">
        <f>AND(IF(Metadata!F354="",FALSE,TRUE),exact(Metadata!F354,"539655"))</f>
        <v>0</v>
      </c>
    </row>
    <row r="355" spans="1:21">
      <c r="A355" s="4">
        <f>IF(B355=" "," ",HYPERLINK(CONCATENATE("#metadata!",ADDRESS(INDEX($L$2:$L$1001,MATCH(ROWS($J$2:J355),$J$2:$J$1001,0),0),1)),INDEX($O$2:$O$1001,MATCH(ROWS($J$2:J355),$J$2:$J$1001,0),0)))</f>
        <v>0</v>
      </c>
      <c r="B355" s="3">
        <f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>0</v>
      </c>
      <c r="C355" s="3">
        <f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>0</v>
      </c>
      <c r="D355" s="3">
        <f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>0</v>
      </c>
      <c r="E355" s="3">
        <f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>0</v>
      </c>
      <c r="F355" s="3">
        <f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>0</v>
      </c>
      <c r="J355">
        <v>0</v>
      </c>
      <c r="K355">
        <v>0</v>
      </c>
      <c r="L355">
        <v>0</v>
      </c>
      <c r="M355">
        <f>IF(N355,TRUE,AND(Q355:U355))</f>
        <v>0</v>
      </c>
      <c r="N355">
        <f>COUNTBLANK(Metadata!B355:F355)=COLUMNS(Metadata!B355:F355)</f>
        <v>0</v>
      </c>
      <c r="O355">
        <v>0</v>
      </c>
      <c r="Q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>
        <f>AND(IF(Metadata!C355="",FALSE,TRUE),exact(Metadata!C355,"human-skin"))</f>
        <v>0</v>
      </c>
      <c r="S355">
        <f>OR(AND(IF(Metadata!D355="",FALSE,TRUE),OR(exact(Metadata!D355,"missing: not collected"),exact(Metadata!D355,"missing: not provided"))),AND(IF(Metadata!D355="",FALSE,TRUE),OR(exact(Metadata!D355,"UBERON:zone of skin"),exact(Metadata!D355,"UBERON:skin of hand"),exact(Metadata!D355,"UBERON:skin of forehead"))))</f>
        <v>0</v>
      </c>
      <c r="T355">
        <f>AND(IF(Metadata!E355="",FALSE,TRUE),exact(Metadata!E355,"human skin metagenome"))</f>
        <v>0</v>
      </c>
      <c r="U355">
        <f>AND(IF(Metadata!F355="",FALSE,TRUE),exact(Metadata!F355,"539655"))</f>
        <v>0</v>
      </c>
    </row>
    <row r="356" spans="1:21">
      <c r="A356" s="4">
        <f>IF(B356=" "," ",HYPERLINK(CONCATENATE("#metadata!",ADDRESS(INDEX($L$2:$L$1001,MATCH(ROWS($J$2:J356),$J$2:$J$1001,0),0),1)),INDEX($O$2:$O$1001,MATCH(ROWS($J$2:J356),$J$2:$J$1001,0),0)))</f>
        <v>0</v>
      </c>
      <c r="B356" s="3">
        <f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>0</v>
      </c>
      <c r="C356" s="3">
        <f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>0</v>
      </c>
      <c r="D356" s="3">
        <f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>0</v>
      </c>
      <c r="E356" s="3">
        <f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>0</v>
      </c>
      <c r="F356" s="3">
        <f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>0</v>
      </c>
      <c r="J356">
        <v>0</v>
      </c>
      <c r="K356">
        <v>0</v>
      </c>
      <c r="L356">
        <v>0</v>
      </c>
      <c r="M356">
        <f>IF(N356,TRUE,AND(Q356:U356))</f>
        <v>0</v>
      </c>
      <c r="N356">
        <f>COUNTBLANK(Metadata!B356:F356)=COLUMNS(Metadata!B356:F356)</f>
        <v>0</v>
      </c>
      <c r="O356">
        <v>0</v>
      </c>
      <c r="Q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>
        <f>AND(IF(Metadata!C356="",FALSE,TRUE),exact(Metadata!C356,"human-skin"))</f>
        <v>0</v>
      </c>
      <c r="S356">
        <f>OR(AND(IF(Metadata!D356="",FALSE,TRUE),OR(exact(Metadata!D356,"missing: not collected"),exact(Metadata!D356,"missing: not provided"))),AND(IF(Metadata!D356="",FALSE,TRUE),OR(exact(Metadata!D356,"UBERON:zone of skin"),exact(Metadata!D356,"UBERON:skin of hand"),exact(Metadata!D356,"UBERON:skin of forehead"))))</f>
        <v>0</v>
      </c>
      <c r="T356">
        <f>AND(IF(Metadata!E356="",FALSE,TRUE),exact(Metadata!E356,"human skin metagenome"))</f>
        <v>0</v>
      </c>
      <c r="U356">
        <f>AND(IF(Metadata!F356="",FALSE,TRUE),exact(Metadata!F356,"539655"))</f>
        <v>0</v>
      </c>
    </row>
    <row r="357" spans="1:21">
      <c r="A357" s="4">
        <f>IF(B357=" "," ",HYPERLINK(CONCATENATE("#metadata!",ADDRESS(INDEX($L$2:$L$1001,MATCH(ROWS($J$2:J357),$J$2:$J$1001,0),0),1)),INDEX($O$2:$O$1001,MATCH(ROWS($J$2:J357),$J$2:$J$1001,0),0)))</f>
        <v>0</v>
      </c>
      <c r="B357" s="3">
        <f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>0</v>
      </c>
      <c r="C357" s="3">
        <f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>0</v>
      </c>
      <c r="D357" s="3">
        <f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>0</v>
      </c>
      <c r="E357" s="3">
        <f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>0</v>
      </c>
      <c r="F357" s="3">
        <f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>0</v>
      </c>
      <c r="J357">
        <v>0</v>
      </c>
      <c r="K357">
        <v>0</v>
      </c>
      <c r="L357">
        <v>0</v>
      </c>
      <c r="M357">
        <f>IF(N357,TRUE,AND(Q357:U357))</f>
        <v>0</v>
      </c>
      <c r="N357">
        <f>COUNTBLANK(Metadata!B357:F357)=COLUMNS(Metadata!B357:F357)</f>
        <v>0</v>
      </c>
      <c r="O357">
        <v>0</v>
      </c>
      <c r="Q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>
        <f>AND(IF(Metadata!C357="",FALSE,TRUE),exact(Metadata!C357,"human-skin"))</f>
        <v>0</v>
      </c>
      <c r="S357">
        <f>OR(AND(IF(Metadata!D357="",FALSE,TRUE),OR(exact(Metadata!D357,"missing: not collected"),exact(Metadata!D357,"missing: not provided"))),AND(IF(Metadata!D357="",FALSE,TRUE),OR(exact(Metadata!D357,"UBERON:zone of skin"),exact(Metadata!D357,"UBERON:skin of hand"),exact(Metadata!D357,"UBERON:skin of forehead"))))</f>
        <v>0</v>
      </c>
      <c r="T357">
        <f>AND(IF(Metadata!E357="",FALSE,TRUE),exact(Metadata!E357,"human skin metagenome"))</f>
        <v>0</v>
      </c>
      <c r="U357">
        <f>AND(IF(Metadata!F357="",FALSE,TRUE),exact(Metadata!F357,"539655"))</f>
        <v>0</v>
      </c>
    </row>
    <row r="358" spans="1:21">
      <c r="A358" s="4">
        <f>IF(B358=" "," ",HYPERLINK(CONCATENATE("#metadata!",ADDRESS(INDEX($L$2:$L$1001,MATCH(ROWS($J$2:J358),$J$2:$J$1001,0),0),1)),INDEX($O$2:$O$1001,MATCH(ROWS($J$2:J358),$J$2:$J$1001,0),0)))</f>
        <v>0</v>
      </c>
      <c r="B358" s="3">
        <f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>0</v>
      </c>
      <c r="C358" s="3">
        <f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>0</v>
      </c>
      <c r="D358" s="3">
        <f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>0</v>
      </c>
      <c r="E358" s="3">
        <f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>0</v>
      </c>
      <c r="F358" s="3">
        <f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>0</v>
      </c>
      <c r="J358">
        <v>0</v>
      </c>
      <c r="K358">
        <v>0</v>
      </c>
      <c r="L358">
        <v>0</v>
      </c>
      <c r="M358">
        <f>IF(N358,TRUE,AND(Q358:U358))</f>
        <v>0</v>
      </c>
      <c r="N358">
        <f>COUNTBLANK(Metadata!B358:F358)=COLUMNS(Metadata!B358:F358)</f>
        <v>0</v>
      </c>
      <c r="O358">
        <v>0</v>
      </c>
      <c r="Q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>
        <f>AND(IF(Metadata!C358="",FALSE,TRUE),exact(Metadata!C358,"human-skin"))</f>
        <v>0</v>
      </c>
      <c r="S358">
        <f>OR(AND(IF(Metadata!D358="",FALSE,TRUE),OR(exact(Metadata!D358,"missing: not collected"),exact(Metadata!D358,"missing: not provided"))),AND(IF(Metadata!D358="",FALSE,TRUE),OR(exact(Metadata!D358,"UBERON:zone of skin"),exact(Metadata!D358,"UBERON:skin of hand"),exact(Metadata!D358,"UBERON:skin of forehead"))))</f>
        <v>0</v>
      </c>
      <c r="T358">
        <f>AND(IF(Metadata!E358="",FALSE,TRUE),exact(Metadata!E358,"human skin metagenome"))</f>
        <v>0</v>
      </c>
      <c r="U358">
        <f>AND(IF(Metadata!F358="",FALSE,TRUE),exact(Metadata!F358,"539655"))</f>
        <v>0</v>
      </c>
    </row>
    <row r="359" spans="1:21">
      <c r="A359" s="4">
        <f>IF(B359=" "," ",HYPERLINK(CONCATENATE("#metadata!",ADDRESS(INDEX($L$2:$L$1001,MATCH(ROWS($J$2:J359),$J$2:$J$1001,0),0),1)),INDEX($O$2:$O$1001,MATCH(ROWS($J$2:J359),$J$2:$J$1001,0),0)))</f>
        <v>0</v>
      </c>
      <c r="B359" s="3">
        <f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>0</v>
      </c>
      <c r="C359" s="3">
        <f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>0</v>
      </c>
      <c r="D359" s="3">
        <f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>0</v>
      </c>
      <c r="E359" s="3">
        <f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>0</v>
      </c>
      <c r="F359" s="3">
        <f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>0</v>
      </c>
      <c r="J359">
        <v>0</v>
      </c>
      <c r="K359">
        <v>0</v>
      </c>
      <c r="L359">
        <v>0</v>
      </c>
      <c r="M359">
        <f>IF(N359,TRUE,AND(Q359:U359))</f>
        <v>0</v>
      </c>
      <c r="N359">
        <f>COUNTBLANK(Metadata!B359:F359)=COLUMNS(Metadata!B359:F359)</f>
        <v>0</v>
      </c>
      <c r="O359">
        <v>0</v>
      </c>
      <c r="Q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>
        <f>AND(IF(Metadata!C359="",FALSE,TRUE),exact(Metadata!C359,"human-skin"))</f>
        <v>0</v>
      </c>
      <c r="S359">
        <f>OR(AND(IF(Metadata!D359="",FALSE,TRUE),OR(exact(Metadata!D359,"missing: not collected"),exact(Metadata!D359,"missing: not provided"))),AND(IF(Metadata!D359="",FALSE,TRUE),OR(exact(Metadata!D359,"UBERON:zone of skin"),exact(Metadata!D359,"UBERON:skin of hand"),exact(Metadata!D359,"UBERON:skin of forehead"))))</f>
        <v>0</v>
      </c>
      <c r="T359">
        <f>AND(IF(Metadata!E359="",FALSE,TRUE),exact(Metadata!E359,"human skin metagenome"))</f>
        <v>0</v>
      </c>
      <c r="U359">
        <f>AND(IF(Metadata!F359="",FALSE,TRUE),exact(Metadata!F359,"539655"))</f>
        <v>0</v>
      </c>
    </row>
    <row r="360" spans="1:21">
      <c r="A360" s="4">
        <f>IF(B360=" "," ",HYPERLINK(CONCATENATE("#metadata!",ADDRESS(INDEX($L$2:$L$1001,MATCH(ROWS($J$2:J360),$J$2:$J$1001,0),0),1)),INDEX($O$2:$O$1001,MATCH(ROWS($J$2:J360),$J$2:$J$1001,0),0)))</f>
        <v>0</v>
      </c>
      <c r="B360" s="3">
        <f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>0</v>
      </c>
      <c r="C360" s="3">
        <f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>0</v>
      </c>
      <c r="D360" s="3">
        <f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>0</v>
      </c>
      <c r="E360" s="3">
        <f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>0</v>
      </c>
      <c r="F360" s="3">
        <f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>0</v>
      </c>
      <c r="J360">
        <v>0</v>
      </c>
      <c r="K360">
        <v>0</v>
      </c>
      <c r="L360">
        <v>0</v>
      </c>
      <c r="M360">
        <f>IF(N360,TRUE,AND(Q360:U360))</f>
        <v>0</v>
      </c>
      <c r="N360">
        <f>COUNTBLANK(Metadata!B360:F360)=COLUMNS(Metadata!B360:F360)</f>
        <v>0</v>
      </c>
      <c r="O360">
        <v>0</v>
      </c>
      <c r="Q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>
        <f>AND(IF(Metadata!C360="",FALSE,TRUE),exact(Metadata!C360,"human-skin"))</f>
        <v>0</v>
      </c>
      <c r="S360">
        <f>OR(AND(IF(Metadata!D360="",FALSE,TRUE),OR(exact(Metadata!D360,"missing: not collected"),exact(Metadata!D360,"missing: not provided"))),AND(IF(Metadata!D360="",FALSE,TRUE),OR(exact(Metadata!D360,"UBERON:zone of skin"),exact(Metadata!D360,"UBERON:skin of hand"),exact(Metadata!D360,"UBERON:skin of forehead"))))</f>
        <v>0</v>
      </c>
      <c r="T360">
        <f>AND(IF(Metadata!E360="",FALSE,TRUE),exact(Metadata!E360,"human skin metagenome"))</f>
        <v>0</v>
      </c>
      <c r="U360">
        <f>AND(IF(Metadata!F360="",FALSE,TRUE),exact(Metadata!F360,"539655"))</f>
        <v>0</v>
      </c>
    </row>
    <row r="361" spans="1:21">
      <c r="A361" s="4">
        <f>IF(B361=" "," ",HYPERLINK(CONCATENATE("#metadata!",ADDRESS(INDEX($L$2:$L$1001,MATCH(ROWS($J$2:J361),$J$2:$J$1001,0),0),1)),INDEX($O$2:$O$1001,MATCH(ROWS($J$2:J361),$J$2:$J$1001,0),0)))</f>
        <v>0</v>
      </c>
      <c r="B361" s="3">
        <f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>0</v>
      </c>
      <c r="C361" s="3">
        <f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>0</v>
      </c>
      <c r="D361" s="3">
        <f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>0</v>
      </c>
      <c r="E361" s="3">
        <f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>0</v>
      </c>
      <c r="F361" s="3">
        <f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>0</v>
      </c>
      <c r="J361">
        <v>0</v>
      </c>
      <c r="K361">
        <v>0</v>
      </c>
      <c r="L361">
        <v>0</v>
      </c>
      <c r="M361">
        <f>IF(N361,TRUE,AND(Q361:U361))</f>
        <v>0</v>
      </c>
      <c r="N361">
        <f>COUNTBLANK(Metadata!B361:F361)=COLUMNS(Metadata!B361:F361)</f>
        <v>0</v>
      </c>
      <c r="O361">
        <v>0</v>
      </c>
      <c r="Q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>
        <f>AND(IF(Metadata!C361="",FALSE,TRUE),exact(Metadata!C361,"human-skin"))</f>
        <v>0</v>
      </c>
      <c r="S361">
        <f>OR(AND(IF(Metadata!D361="",FALSE,TRUE),OR(exact(Metadata!D361,"missing: not collected"),exact(Metadata!D361,"missing: not provided"))),AND(IF(Metadata!D361="",FALSE,TRUE),OR(exact(Metadata!D361,"UBERON:zone of skin"),exact(Metadata!D361,"UBERON:skin of hand"),exact(Metadata!D361,"UBERON:skin of forehead"))))</f>
        <v>0</v>
      </c>
      <c r="T361">
        <f>AND(IF(Metadata!E361="",FALSE,TRUE),exact(Metadata!E361,"human skin metagenome"))</f>
        <v>0</v>
      </c>
      <c r="U361">
        <f>AND(IF(Metadata!F361="",FALSE,TRUE),exact(Metadata!F361,"539655"))</f>
        <v>0</v>
      </c>
    </row>
    <row r="362" spans="1:21">
      <c r="A362" s="4">
        <f>IF(B362=" "," ",HYPERLINK(CONCATENATE("#metadata!",ADDRESS(INDEX($L$2:$L$1001,MATCH(ROWS($J$2:J362),$J$2:$J$1001,0),0),1)),INDEX($O$2:$O$1001,MATCH(ROWS($J$2:J362),$J$2:$J$1001,0),0)))</f>
        <v>0</v>
      </c>
      <c r="B362" s="3">
        <f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>0</v>
      </c>
      <c r="C362" s="3">
        <f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>0</v>
      </c>
      <c r="D362" s="3">
        <f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>0</v>
      </c>
      <c r="E362" s="3">
        <f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>0</v>
      </c>
      <c r="F362" s="3">
        <f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>0</v>
      </c>
      <c r="J362">
        <v>0</v>
      </c>
      <c r="K362">
        <v>0</v>
      </c>
      <c r="L362">
        <v>0</v>
      </c>
      <c r="M362">
        <f>IF(N362,TRUE,AND(Q362:U362))</f>
        <v>0</v>
      </c>
      <c r="N362">
        <f>COUNTBLANK(Metadata!B362:F362)=COLUMNS(Metadata!B362:F362)</f>
        <v>0</v>
      </c>
      <c r="O362">
        <v>0</v>
      </c>
      <c r="Q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>
        <f>AND(IF(Metadata!C362="",FALSE,TRUE),exact(Metadata!C362,"human-skin"))</f>
        <v>0</v>
      </c>
      <c r="S362">
        <f>OR(AND(IF(Metadata!D362="",FALSE,TRUE),OR(exact(Metadata!D362,"missing: not collected"),exact(Metadata!D362,"missing: not provided"))),AND(IF(Metadata!D362="",FALSE,TRUE),OR(exact(Metadata!D362,"UBERON:zone of skin"),exact(Metadata!D362,"UBERON:skin of hand"),exact(Metadata!D362,"UBERON:skin of forehead"))))</f>
        <v>0</v>
      </c>
      <c r="T362">
        <f>AND(IF(Metadata!E362="",FALSE,TRUE),exact(Metadata!E362,"human skin metagenome"))</f>
        <v>0</v>
      </c>
      <c r="U362">
        <f>AND(IF(Metadata!F362="",FALSE,TRUE),exact(Metadata!F362,"539655"))</f>
        <v>0</v>
      </c>
    </row>
    <row r="363" spans="1:21">
      <c r="A363" s="4">
        <f>IF(B363=" "," ",HYPERLINK(CONCATENATE("#metadata!",ADDRESS(INDEX($L$2:$L$1001,MATCH(ROWS($J$2:J363),$J$2:$J$1001,0),0),1)),INDEX($O$2:$O$1001,MATCH(ROWS($J$2:J363),$J$2:$J$1001,0),0)))</f>
        <v>0</v>
      </c>
      <c r="B363" s="3">
        <f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>0</v>
      </c>
      <c r="C363" s="3">
        <f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>0</v>
      </c>
      <c r="D363" s="3">
        <f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>0</v>
      </c>
      <c r="E363" s="3">
        <f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>0</v>
      </c>
      <c r="F363" s="3">
        <f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>0</v>
      </c>
      <c r="J363">
        <v>0</v>
      </c>
      <c r="K363">
        <v>0</v>
      </c>
      <c r="L363">
        <v>0</v>
      </c>
      <c r="M363">
        <f>IF(N363,TRUE,AND(Q363:U363))</f>
        <v>0</v>
      </c>
      <c r="N363">
        <f>COUNTBLANK(Metadata!B363:F363)=COLUMNS(Metadata!B363:F363)</f>
        <v>0</v>
      </c>
      <c r="O363">
        <v>0</v>
      </c>
      <c r="Q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>
        <f>AND(IF(Metadata!C363="",FALSE,TRUE),exact(Metadata!C363,"human-skin"))</f>
        <v>0</v>
      </c>
      <c r="S363">
        <f>OR(AND(IF(Metadata!D363="",FALSE,TRUE),OR(exact(Metadata!D363,"missing: not collected"),exact(Metadata!D363,"missing: not provided"))),AND(IF(Metadata!D363="",FALSE,TRUE),OR(exact(Metadata!D363,"UBERON:zone of skin"),exact(Metadata!D363,"UBERON:skin of hand"),exact(Metadata!D363,"UBERON:skin of forehead"))))</f>
        <v>0</v>
      </c>
      <c r="T363">
        <f>AND(IF(Metadata!E363="",FALSE,TRUE),exact(Metadata!E363,"human skin metagenome"))</f>
        <v>0</v>
      </c>
      <c r="U363">
        <f>AND(IF(Metadata!F363="",FALSE,TRUE),exact(Metadata!F363,"539655"))</f>
        <v>0</v>
      </c>
    </row>
    <row r="364" spans="1:21">
      <c r="A364" s="4">
        <f>IF(B364=" "," ",HYPERLINK(CONCATENATE("#metadata!",ADDRESS(INDEX($L$2:$L$1001,MATCH(ROWS($J$2:J364),$J$2:$J$1001,0),0),1)),INDEX($O$2:$O$1001,MATCH(ROWS($J$2:J364),$J$2:$J$1001,0),0)))</f>
        <v>0</v>
      </c>
      <c r="B364" s="3">
        <f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>0</v>
      </c>
      <c r="C364" s="3">
        <f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>0</v>
      </c>
      <c r="D364" s="3">
        <f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>0</v>
      </c>
      <c r="E364" s="3">
        <f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>0</v>
      </c>
      <c r="F364" s="3">
        <f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>0</v>
      </c>
      <c r="J364">
        <v>0</v>
      </c>
      <c r="K364">
        <v>0</v>
      </c>
      <c r="L364">
        <v>0</v>
      </c>
      <c r="M364">
        <f>IF(N364,TRUE,AND(Q364:U364))</f>
        <v>0</v>
      </c>
      <c r="N364">
        <f>COUNTBLANK(Metadata!B364:F364)=COLUMNS(Metadata!B364:F364)</f>
        <v>0</v>
      </c>
      <c r="O364">
        <v>0</v>
      </c>
      <c r="Q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>
        <f>AND(IF(Metadata!C364="",FALSE,TRUE),exact(Metadata!C364,"human-skin"))</f>
        <v>0</v>
      </c>
      <c r="S364">
        <f>OR(AND(IF(Metadata!D364="",FALSE,TRUE),OR(exact(Metadata!D364,"missing: not collected"),exact(Metadata!D364,"missing: not provided"))),AND(IF(Metadata!D364="",FALSE,TRUE),OR(exact(Metadata!D364,"UBERON:zone of skin"),exact(Metadata!D364,"UBERON:skin of hand"),exact(Metadata!D364,"UBERON:skin of forehead"))))</f>
        <v>0</v>
      </c>
      <c r="T364">
        <f>AND(IF(Metadata!E364="",FALSE,TRUE),exact(Metadata!E364,"human skin metagenome"))</f>
        <v>0</v>
      </c>
      <c r="U364">
        <f>AND(IF(Metadata!F364="",FALSE,TRUE),exact(Metadata!F364,"539655"))</f>
        <v>0</v>
      </c>
    </row>
    <row r="365" spans="1:21">
      <c r="A365" s="4">
        <f>IF(B365=" "," ",HYPERLINK(CONCATENATE("#metadata!",ADDRESS(INDEX($L$2:$L$1001,MATCH(ROWS($J$2:J365),$J$2:$J$1001,0),0),1)),INDEX($O$2:$O$1001,MATCH(ROWS($J$2:J365),$J$2:$J$1001,0),0)))</f>
        <v>0</v>
      </c>
      <c r="B365" s="3">
        <f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>0</v>
      </c>
      <c r="C365" s="3">
        <f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>0</v>
      </c>
      <c r="D365" s="3">
        <f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>0</v>
      </c>
      <c r="E365" s="3">
        <f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>0</v>
      </c>
      <c r="F365" s="3">
        <f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>0</v>
      </c>
      <c r="J365">
        <v>0</v>
      </c>
      <c r="K365">
        <v>0</v>
      </c>
      <c r="L365">
        <v>0</v>
      </c>
      <c r="M365">
        <f>IF(N365,TRUE,AND(Q365:U365))</f>
        <v>0</v>
      </c>
      <c r="N365">
        <f>COUNTBLANK(Metadata!B365:F365)=COLUMNS(Metadata!B365:F365)</f>
        <v>0</v>
      </c>
      <c r="O365">
        <v>0</v>
      </c>
      <c r="Q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>
        <f>AND(IF(Metadata!C365="",FALSE,TRUE),exact(Metadata!C365,"human-skin"))</f>
        <v>0</v>
      </c>
      <c r="S365">
        <f>OR(AND(IF(Metadata!D365="",FALSE,TRUE),OR(exact(Metadata!D365,"missing: not collected"),exact(Metadata!D365,"missing: not provided"))),AND(IF(Metadata!D365="",FALSE,TRUE),OR(exact(Metadata!D365,"UBERON:zone of skin"),exact(Metadata!D365,"UBERON:skin of hand"),exact(Metadata!D365,"UBERON:skin of forehead"))))</f>
        <v>0</v>
      </c>
      <c r="T365">
        <f>AND(IF(Metadata!E365="",FALSE,TRUE),exact(Metadata!E365,"human skin metagenome"))</f>
        <v>0</v>
      </c>
      <c r="U365">
        <f>AND(IF(Metadata!F365="",FALSE,TRUE),exact(Metadata!F365,"539655"))</f>
        <v>0</v>
      </c>
    </row>
    <row r="366" spans="1:21">
      <c r="A366" s="4">
        <f>IF(B366=" "," ",HYPERLINK(CONCATENATE("#metadata!",ADDRESS(INDEX($L$2:$L$1001,MATCH(ROWS($J$2:J366),$J$2:$J$1001,0),0),1)),INDEX($O$2:$O$1001,MATCH(ROWS($J$2:J366),$J$2:$J$1001,0),0)))</f>
        <v>0</v>
      </c>
      <c r="B366" s="3">
        <f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>0</v>
      </c>
      <c r="C366" s="3">
        <f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>0</v>
      </c>
      <c r="D366" s="3">
        <f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>0</v>
      </c>
      <c r="E366" s="3">
        <f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>0</v>
      </c>
      <c r="F366" s="3">
        <f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>0</v>
      </c>
      <c r="J366">
        <v>0</v>
      </c>
      <c r="K366">
        <v>0</v>
      </c>
      <c r="L366">
        <v>0</v>
      </c>
      <c r="M366">
        <f>IF(N366,TRUE,AND(Q366:U366))</f>
        <v>0</v>
      </c>
      <c r="N366">
        <f>COUNTBLANK(Metadata!B366:F366)=COLUMNS(Metadata!B366:F366)</f>
        <v>0</v>
      </c>
      <c r="O366">
        <v>0</v>
      </c>
      <c r="Q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>
        <f>AND(IF(Metadata!C366="",FALSE,TRUE),exact(Metadata!C366,"human-skin"))</f>
        <v>0</v>
      </c>
      <c r="S366">
        <f>OR(AND(IF(Metadata!D366="",FALSE,TRUE),OR(exact(Metadata!D366,"missing: not collected"),exact(Metadata!D366,"missing: not provided"))),AND(IF(Metadata!D366="",FALSE,TRUE),OR(exact(Metadata!D366,"UBERON:zone of skin"),exact(Metadata!D366,"UBERON:skin of hand"),exact(Metadata!D366,"UBERON:skin of forehead"))))</f>
        <v>0</v>
      </c>
      <c r="T366">
        <f>AND(IF(Metadata!E366="",FALSE,TRUE),exact(Metadata!E366,"human skin metagenome"))</f>
        <v>0</v>
      </c>
      <c r="U366">
        <f>AND(IF(Metadata!F366="",FALSE,TRUE),exact(Metadata!F366,"539655"))</f>
        <v>0</v>
      </c>
    </row>
    <row r="367" spans="1:21">
      <c r="A367" s="4">
        <f>IF(B367=" "," ",HYPERLINK(CONCATENATE("#metadata!",ADDRESS(INDEX($L$2:$L$1001,MATCH(ROWS($J$2:J367),$J$2:$J$1001,0),0),1)),INDEX($O$2:$O$1001,MATCH(ROWS($J$2:J367),$J$2:$J$1001,0),0)))</f>
        <v>0</v>
      </c>
      <c r="B367" s="3">
        <f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>0</v>
      </c>
      <c r="C367" s="3">
        <f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>0</v>
      </c>
      <c r="D367" s="3">
        <f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>0</v>
      </c>
      <c r="E367" s="3">
        <f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>0</v>
      </c>
      <c r="F367" s="3">
        <f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>0</v>
      </c>
      <c r="J367">
        <v>0</v>
      </c>
      <c r="K367">
        <v>0</v>
      </c>
      <c r="L367">
        <v>0</v>
      </c>
      <c r="M367">
        <f>IF(N367,TRUE,AND(Q367:U367))</f>
        <v>0</v>
      </c>
      <c r="N367">
        <f>COUNTBLANK(Metadata!B367:F367)=COLUMNS(Metadata!B367:F367)</f>
        <v>0</v>
      </c>
      <c r="O367">
        <v>0</v>
      </c>
      <c r="Q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>
        <f>AND(IF(Metadata!C367="",FALSE,TRUE),exact(Metadata!C367,"human-skin"))</f>
        <v>0</v>
      </c>
      <c r="S367">
        <f>OR(AND(IF(Metadata!D367="",FALSE,TRUE),OR(exact(Metadata!D367,"missing: not collected"),exact(Metadata!D367,"missing: not provided"))),AND(IF(Metadata!D367="",FALSE,TRUE),OR(exact(Metadata!D367,"UBERON:zone of skin"),exact(Metadata!D367,"UBERON:skin of hand"),exact(Metadata!D367,"UBERON:skin of forehead"))))</f>
        <v>0</v>
      </c>
      <c r="T367">
        <f>AND(IF(Metadata!E367="",FALSE,TRUE),exact(Metadata!E367,"human skin metagenome"))</f>
        <v>0</v>
      </c>
      <c r="U367">
        <f>AND(IF(Metadata!F367="",FALSE,TRUE),exact(Metadata!F367,"539655"))</f>
        <v>0</v>
      </c>
    </row>
    <row r="368" spans="1:21">
      <c r="A368" s="4">
        <f>IF(B368=" "," ",HYPERLINK(CONCATENATE("#metadata!",ADDRESS(INDEX($L$2:$L$1001,MATCH(ROWS($J$2:J368),$J$2:$J$1001,0),0),1)),INDEX($O$2:$O$1001,MATCH(ROWS($J$2:J368),$J$2:$J$1001,0),0)))</f>
        <v>0</v>
      </c>
      <c r="B368" s="3">
        <f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>0</v>
      </c>
      <c r="C368" s="3">
        <f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>0</v>
      </c>
      <c r="D368" s="3">
        <f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>0</v>
      </c>
      <c r="E368" s="3">
        <f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>0</v>
      </c>
      <c r="F368" s="3">
        <f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>0</v>
      </c>
      <c r="J368">
        <v>0</v>
      </c>
      <c r="K368">
        <v>0</v>
      </c>
      <c r="L368">
        <v>0</v>
      </c>
      <c r="M368">
        <f>IF(N368,TRUE,AND(Q368:U368))</f>
        <v>0</v>
      </c>
      <c r="N368">
        <f>COUNTBLANK(Metadata!B368:F368)=COLUMNS(Metadata!B368:F368)</f>
        <v>0</v>
      </c>
      <c r="O368">
        <v>0</v>
      </c>
      <c r="Q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>
        <f>AND(IF(Metadata!C368="",FALSE,TRUE),exact(Metadata!C368,"human-skin"))</f>
        <v>0</v>
      </c>
      <c r="S368">
        <f>OR(AND(IF(Metadata!D368="",FALSE,TRUE),OR(exact(Metadata!D368,"missing: not collected"),exact(Metadata!D368,"missing: not provided"))),AND(IF(Metadata!D368="",FALSE,TRUE),OR(exact(Metadata!D368,"UBERON:zone of skin"),exact(Metadata!D368,"UBERON:skin of hand"),exact(Metadata!D368,"UBERON:skin of forehead"))))</f>
        <v>0</v>
      </c>
      <c r="T368">
        <f>AND(IF(Metadata!E368="",FALSE,TRUE),exact(Metadata!E368,"human skin metagenome"))</f>
        <v>0</v>
      </c>
      <c r="U368">
        <f>AND(IF(Metadata!F368="",FALSE,TRUE),exact(Metadata!F368,"539655"))</f>
        <v>0</v>
      </c>
    </row>
    <row r="369" spans="1:21">
      <c r="A369" s="4">
        <f>IF(B369=" "," ",HYPERLINK(CONCATENATE("#metadata!",ADDRESS(INDEX($L$2:$L$1001,MATCH(ROWS($J$2:J369),$J$2:$J$1001,0),0),1)),INDEX($O$2:$O$1001,MATCH(ROWS($J$2:J369),$J$2:$J$1001,0),0)))</f>
        <v>0</v>
      </c>
      <c r="B369" s="3">
        <f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>0</v>
      </c>
      <c r="C369" s="3">
        <f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>0</v>
      </c>
      <c r="D369" s="3">
        <f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>0</v>
      </c>
      <c r="E369" s="3">
        <f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>0</v>
      </c>
      <c r="F369" s="3">
        <f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>0</v>
      </c>
      <c r="J369">
        <v>0</v>
      </c>
      <c r="K369">
        <v>0</v>
      </c>
      <c r="L369">
        <v>0</v>
      </c>
      <c r="M369">
        <f>IF(N369,TRUE,AND(Q369:U369))</f>
        <v>0</v>
      </c>
      <c r="N369">
        <f>COUNTBLANK(Metadata!B369:F369)=COLUMNS(Metadata!B369:F369)</f>
        <v>0</v>
      </c>
      <c r="O369">
        <v>0</v>
      </c>
      <c r="Q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>
        <f>AND(IF(Metadata!C369="",FALSE,TRUE),exact(Metadata!C369,"human-skin"))</f>
        <v>0</v>
      </c>
      <c r="S369">
        <f>OR(AND(IF(Metadata!D369="",FALSE,TRUE),OR(exact(Metadata!D369,"missing: not collected"),exact(Metadata!D369,"missing: not provided"))),AND(IF(Metadata!D369="",FALSE,TRUE),OR(exact(Metadata!D369,"UBERON:zone of skin"),exact(Metadata!D369,"UBERON:skin of hand"),exact(Metadata!D369,"UBERON:skin of forehead"))))</f>
        <v>0</v>
      </c>
      <c r="T369">
        <f>AND(IF(Metadata!E369="",FALSE,TRUE),exact(Metadata!E369,"human skin metagenome"))</f>
        <v>0</v>
      </c>
      <c r="U369">
        <f>AND(IF(Metadata!F369="",FALSE,TRUE),exact(Metadata!F369,"539655"))</f>
        <v>0</v>
      </c>
    </row>
    <row r="370" spans="1:21">
      <c r="A370" s="4">
        <f>IF(B370=" "," ",HYPERLINK(CONCATENATE("#metadata!",ADDRESS(INDEX($L$2:$L$1001,MATCH(ROWS($J$2:J370),$J$2:$J$1001,0),0),1)),INDEX($O$2:$O$1001,MATCH(ROWS($J$2:J370),$J$2:$J$1001,0),0)))</f>
        <v>0</v>
      </c>
      <c r="B370" s="3">
        <f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>0</v>
      </c>
      <c r="C370" s="3">
        <f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>0</v>
      </c>
      <c r="D370" s="3">
        <f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>0</v>
      </c>
      <c r="E370" s="3">
        <f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>0</v>
      </c>
      <c r="F370" s="3">
        <f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>0</v>
      </c>
      <c r="J370">
        <v>0</v>
      </c>
      <c r="K370">
        <v>0</v>
      </c>
      <c r="L370">
        <v>0</v>
      </c>
      <c r="M370">
        <f>IF(N370,TRUE,AND(Q370:U370))</f>
        <v>0</v>
      </c>
      <c r="N370">
        <f>COUNTBLANK(Metadata!B370:F370)=COLUMNS(Metadata!B370:F370)</f>
        <v>0</v>
      </c>
      <c r="O370">
        <v>0</v>
      </c>
      <c r="Q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>
        <f>AND(IF(Metadata!C370="",FALSE,TRUE),exact(Metadata!C370,"human-skin"))</f>
        <v>0</v>
      </c>
      <c r="S370">
        <f>OR(AND(IF(Metadata!D370="",FALSE,TRUE),OR(exact(Metadata!D370,"missing: not collected"),exact(Metadata!D370,"missing: not provided"))),AND(IF(Metadata!D370="",FALSE,TRUE),OR(exact(Metadata!D370,"UBERON:zone of skin"),exact(Metadata!D370,"UBERON:skin of hand"),exact(Metadata!D370,"UBERON:skin of forehead"))))</f>
        <v>0</v>
      </c>
      <c r="T370">
        <f>AND(IF(Metadata!E370="",FALSE,TRUE),exact(Metadata!E370,"human skin metagenome"))</f>
        <v>0</v>
      </c>
      <c r="U370">
        <f>AND(IF(Metadata!F370="",FALSE,TRUE),exact(Metadata!F370,"539655"))</f>
        <v>0</v>
      </c>
    </row>
    <row r="371" spans="1:21">
      <c r="A371" s="4">
        <f>IF(B371=" "," ",HYPERLINK(CONCATENATE("#metadata!",ADDRESS(INDEX($L$2:$L$1001,MATCH(ROWS($J$2:J371),$J$2:$J$1001,0),0),1)),INDEX($O$2:$O$1001,MATCH(ROWS($J$2:J371),$J$2:$J$1001,0),0)))</f>
        <v>0</v>
      </c>
      <c r="B371" s="3">
        <f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>0</v>
      </c>
      <c r="C371" s="3">
        <f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>0</v>
      </c>
      <c r="D371" s="3">
        <f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>0</v>
      </c>
      <c r="E371" s="3">
        <f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>0</v>
      </c>
      <c r="F371" s="3">
        <f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>0</v>
      </c>
      <c r="J371">
        <v>0</v>
      </c>
      <c r="K371">
        <v>0</v>
      </c>
      <c r="L371">
        <v>0</v>
      </c>
      <c r="M371">
        <f>IF(N371,TRUE,AND(Q371:U371))</f>
        <v>0</v>
      </c>
      <c r="N371">
        <f>COUNTBLANK(Metadata!B371:F371)=COLUMNS(Metadata!B371:F371)</f>
        <v>0</v>
      </c>
      <c r="O371">
        <v>0</v>
      </c>
      <c r="Q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>
        <f>AND(IF(Metadata!C371="",FALSE,TRUE),exact(Metadata!C371,"human-skin"))</f>
        <v>0</v>
      </c>
      <c r="S371">
        <f>OR(AND(IF(Metadata!D371="",FALSE,TRUE),OR(exact(Metadata!D371,"missing: not collected"),exact(Metadata!D371,"missing: not provided"))),AND(IF(Metadata!D371="",FALSE,TRUE),OR(exact(Metadata!D371,"UBERON:zone of skin"),exact(Metadata!D371,"UBERON:skin of hand"),exact(Metadata!D371,"UBERON:skin of forehead"))))</f>
        <v>0</v>
      </c>
      <c r="T371">
        <f>AND(IF(Metadata!E371="",FALSE,TRUE),exact(Metadata!E371,"human skin metagenome"))</f>
        <v>0</v>
      </c>
      <c r="U371">
        <f>AND(IF(Metadata!F371="",FALSE,TRUE),exact(Metadata!F371,"539655"))</f>
        <v>0</v>
      </c>
    </row>
    <row r="372" spans="1:21">
      <c r="A372" s="4">
        <f>IF(B372=" "," ",HYPERLINK(CONCATENATE("#metadata!",ADDRESS(INDEX($L$2:$L$1001,MATCH(ROWS($J$2:J372),$J$2:$J$1001,0),0),1)),INDEX($O$2:$O$1001,MATCH(ROWS($J$2:J372),$J$2:$J$1001,0),0)))</f>
        <v>0</v>
      </c>
      <c r="B372" s="3">
        <f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>0</v>
      </c>
      <c r="C372" s="3">
        <f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>0</v>
      </c>
      <c r="D372" s="3">
        <f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>0</v>
      </c>
      <c r="E372" s="3">
        <f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>0</v>
      </c>
      <c r="F372" s="3">
        <f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>0</v>
      </c>
      <c r="J372">
        <v>0</v>
      </c>
      <c r="K372">
        <v>0</v>
      </c>
      <c r="L372">
        <v>0</v>
      </c>
      <c r="M372">
        <f>IF(N372,TRUE,AND(Q372:U372))</f>
        <v>0</v>
      </c>
      <c r="N372">
        <f>COUNTBLANK(Metadata!B372:F372)=COLUMNS(Metadata!B372:F372)</f>
        <v>0</v>
      </c>
      <c r="O372">
        <v>0</v>
      </c>
      <c r="Q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>
        <f>AND(IF(Metadata!C372="",FALSE,TRUE),exact(Metadata!C372,"human-skin"))</f>
        <v>0</v>
      </c>
      <c r="S372">
        <f>OR(AND(IF(Metadata!D372="",FALSE,TRUE),OR(exact(Metadata!D372,"missing: not collected"),exact(Metadata!D372,"missing: not provided"))),AND(IF(Metadata!D372="",FALSE,TRUE),OR(exact(Metadata!D372,"UBERON:zone of skin"),exact(Metadata!D372,"UBERON:skin of hand"),exact(Metadata!D372,"UBERON:skin of forehead"))))</f>
        <v>0</v>
      </c>
      <c r="T372">
        <f>AND(IF(Metadata!E372="",FALSE,TRUE),exact(Metadata!E372,"human skin metagenome"))</f>
        <v>0</v>
      </c>
      <c r="U372">
        <f>AND(IF(Metadata!F372="",FALSE,TRUE),exact(Metadata!F372,"539655"))</f>
        <v>0</v>
      </c>
    </row>
    <row r="373" spans="1:21">
      <c r="A373" s="4">
        <f>IF(B373=" "," ",HYPERLINK(CONCATENATE("#metadata!",ADDRESS(INDEX($L$2:$L$1001,MATCH(ROWS($J$2:J373),$J$2:$J$1001,0),0),1)),INDEX($O$2:$O$1001,MATCH(ROWS($J$2:J373),$J$2:$J$1001,0),0)))</f>
        <v>0</v>
      </c>
      <c r="B373" s="3">
        <f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>0</v>
      </c>
      <c r="C373" s="3">
        <f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>0</v>
      </c>
      <c r="D373" s="3">
        <f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>0</v>
      </c>
      <c r="E373" s="3">
        <f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>0</v>
      </c>
      <c r="F373" s="3">
        <f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>0</v>
      </c>
      <c r="J373">
        <v>0</v>
      </c>
      <c r="K373">
        <v>0</v>
      </c>
      <c r="L373">
        <v>0</v>
      </c>
      <c r="M373">
        <f>IF(N373,TRUE,AND(Q373:U373))</f>
        <v>0</v>
      </c>
      <c r="N373">
        <f>COUNTBLANK(Metadata!B373:F373)=COLUMNS(Metadata!B373:F373)</f>
        <v>0</v>
      </c>
      <c r="O373">
        <v>0</v>
      </c>
      <c r="Q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>
        <f>AND(IF(Metadata!C373="",FALSE,TRUE),exact(Metadata!C373,"human-skin"))</f>
        <v>0</v>
      </c>
      <c r="S373">
        <f>OR(AND(IF(Metadata!D373="",FALSE,TRUE),OR(exact(Metadata!D373,"missing: not collected"),exact(Metadata!D373,"missing: not provided"))),AND(IF(Metadata!D373="",FALSE,TRUE),OR(exact(Metadata!D373,"UBERON:zone of skin"),exact(Metadata!D373,"UBERON:skin of hand"),exact(Metadata!D373,"UBERON:skin of forehead"))))</f>
        <v>0</v>
      </c>
      <c r="T373">
        <f>AND(IF(Metadata!E373="",FALSE,TRUE),exact(Metadata!E373,"human skin metagenome"))</f>
        <v>0</v>
      </c>
      <c r="U373">
        <f>AND(IF(Metadata!F373="",FALSE,TRUE),exact(Metadata!F373,"539655"))</f>
        <v>0</v>
      </c>
    </row>
    <row r="374" spans="1:21">
      <c r="A374" s="4">
        <f>IF(B374=" "," ",HYPERLINK(CONCATENATE("#metadata!",ADDRESS(INDEX($L$2:$L$1001,MATCH(ROWS($J$2:J374),$J$2:$J$1001,0),0),1)),INDEX($O$2:$O$1001,MATCH(ROWS($J$2:J374),$J$2:$J$1001,0),0)))</f>
        <v>0</v>
      </c>
      <c r="B374" s="3">
        <f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>0</v>
      </c>
      <c r="C374" s="3">
        <f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>0</v>
      </c>
      <c r="D374" s="3">
        <f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>0</v>
      </c>
      <c r="E374" s="3">
        <f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>0</v>
      </c>
      <c r="F374" s="3">
        <f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>0</v>
      </c>
      <c r="J374">
        <v>0</v>
      </c>
      <c r="K374">
        <v>0</v>
      </c>
      <c r="L374">
        <v>0</v>
      </c>
      <c r="M374">
        <f>IF(N374,TRUE,AND(Q374:U374))</f>
        <v>0</v>
      </c>
      <c r="N374">
        <f>COUNTBLANK(Metadata!B374:F374)=COLUMNS(Metadata!B374:F374)</f>
        <v>0</v>
      </c>
      <c r="O374">
        <v>0</v>
      </c>
      <c r="Q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>
        <f>AND(IF(Metadata!C374="",FALSE,TRUE),exact(Metadata!C374,"human-skin"))</f>
        <v>0</v>
      </c>
      <c r="S374">
        <f>OR(AND(IF(Metadata!D374="",FALSE,TRUE),OR(exact(Metadata!D374,"missing: not collected"),exact(Metadata!D374,"missing: not provided"))),AND(IF(Metadata!D374="",FALSE,TRUE),OR(exact(Metadata!D374,"UBERON:zone of skin"),exact(Metadata!D374,"UBERON:skin of hand"),exact(Metadata!D374,"UBERON:skin of forehead"))))</f>
        <v>0</v>
      </c>
      <c r="T374">
        <f>AND(IF(Metadata!E374="",FALSE,TRUE),exact(Metadata!E374,"human skin metagenome"))</f>
        <v>0</v>
      </c>
      <c r="U374">
        <f>AND(IF(Metadata!F374="",FALSE,TRUE),exact(Metadata!F374,"539655"))</f>
        <v>0</v>
      </c>
    </row>
    <row r="375" spans="1:21">
      <c r="A375" s="4">
        <f>IF(B375=" "," ",HYPERLINK(CONCATENATE("#metadata!",ADDRESS(INDEX($L$2:$L$1001,MATCH(ROWS($J$2:J375),$J$2:$J$1001,0),0),1)),INDEX($O$2:$O$1001,MATCH(ROWS($J$2:J375),$J$2:$J$1001,0),0)))</f>
        <v>0</v>
      </c>
      <c r="B375" s="3">
        <f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>0</v>
      </c>
      <c r="C375" s="3">
        <f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>0</v>
      </c>
      <c r="D375" s="3">
        <f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>0</v>
      </c>
      <c r="E375" s="3">
        <f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>0</v>
      </c>
      <c r="F375" s="3">
        <f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>0</v>
      </c>
      <c r="J375">
        <v>0</v>
      </c>
      <c r="K375">
        <v>0</v>
      </c>
      <c r="L375">
        <v>0</v>
      </c>
      <c r="M375">
        <f>IF(N375,TRUE,AND(Q375:U375))</f>
        <v>0</v>
      </c>
      <c r="N375">
        <f>COUNTBLANK(Metadata!B375:F375)=COLUMNS(Metadata!B375:F375)</f>
        <v>0</v>
      </c>
      <c r="O375">
        <v>0</v>
      </c>
      <c r="Q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>
        <f>AND(IF(Metadata!C375="",FALSE,TRUE),exact(Metadata!C375,"human-skin"))</f>
        <v>0</v>
      </c>
      <c r="S375">
        <f>OR(AND(IF(Metadata!D375="",FALSE,TRUE),OR(exact(Metadata!D375,"missing: not collected"),exact(Metadata!D375,"missing: not provided"))),AND(IF(Metadata!D375="",FALSE,TRUE),OR(exact(Metadata!D375,"UBERON:zone of skin"),exact(Metadata!D375,"UBERON:skin of hand"),exact(Metadata!D375,"UBERON:skin of forehead"))))</f>
        <v>0</v>
      </c>
      <c r="T375">
        <f>AND(IF(Metadata!E375="",FALSE,TRUE),exact(Metadata!E375,"human skin metagenome"))</f>
        <v>0</v>
      </c>
      <c r="U375">
        <f>AND(IF(Metadata!F375="",FALSE,TRUE),exact(Metadata!F375,"539655"))</f>
        <v>0</v>
      </c>
    </row>
    <row r="376" spans="1:21">
      <c r="A376" s="4">
        <f>IF(B376=" "," ",HYPERLINK(CONCATENATE("#metadata!",ADDRESS(INDEX($L$2:$L$1001,MATCH(ROWS($J$2:J376),$J$2:$J$1001,0),0),1)),INDEX($O$2:$O$1001,MATCH(ROWS($J$2:J376),$J$2:$J$1001,0),0)))</f>
        <v>0</v>
      </c>
      <c r="B376" s="3">
        <f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>0</v>
      </c>
      <c r="C376" s="3">
        <f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>0</v>
      </c>
      <c r="D376" s="3">
        <f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>0</v>
      </c>
      <c r="E376" s="3">
        <f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>0</v>
      </c>
      <c r="F376" s="3">
        <f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>0</v>
      </c>
      <c r="J376">
        <v>0</v>
      </c>
      <c r="K376">
        <v>0</v>
      </c>
      <c r="L376">
        <v>0</v>
      </c>
      <c r="M376">
        <f>IF(N376,TRUE,AND(Q376:U376))</f>
        <v>0</v>
      </c>
      <c r="N376">
        <f>COUNTBLANK(Metadata!B376:F376)=COLUMNS(Metadata!B376:F376)</f>
        <v>0</v>
      </c>
      <c r="O376">
        <v>0</v>
      </c>
      <c r="Q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>
        <f>AND(IF(Metadata!C376="",FALSE,TRUE),exact(Metadata!C376,"human-skin"))</f>
        <v>0</v>
      </c>
      <c r="S376">
        <f>OR(AND(IF(Metadata!D376="",FALSE,TRUE),OR(exact(Metadata!D376,"missing: not collected"),exact(Metadata!D376,"missing: not provided"))),AND(IF(Metadata!D376="",FALSE,TRUE),OR(exact(Metadata!D376,"UBERON:zone of skin"),exact(Metadata!D376,"UBERON:skin of hand"),exact(Metadata!D376,"UBERON:skin of forehead"))))</f>
        <v>0</v>
      </c>
      <c r="T376">
        <f>AND(IF(Metadata!E376="",FALSE,TRUE),exact(Metadata!E376,"human skin metagenome"))</f>
        <v>0</v>
      </c>
      <c r="U376">
        <f>AND(IF(Metadata!F376="",FALSE,TRUE),exact(Metadata!F376,"539655"))</f>
        <v>0</v>
      </c>
    </row>
    <row r="377" spans="1:21">
      <c r="A377" s="4">
        <f>IF(B377=" "," ",HYPERLINK(CONCATENATE("#metadata!",ADDRESS(INDEX($L$2:$L$1001,MATCH(ROWS($J$2:J377),$J$2:$J$1001,0),0),1)),INDEX($O$2:$O$1001,MATCH(ROWS($J$2:J377),$J$2:$J$1001,0),0)))</f>
        <v>0</v>
      </c>
      <c r="B377" s="3">
        <f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>0</v>
      </c>
      <c r="C377" s="3">
        <f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>0</v>
      </c>
      <c r="D377" s="3">
        <f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>0</v>
      </c>
      <c r="E377" s="3">
        <f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>0</v>
      </c>
      <c r="F377" s="3">
        <f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>0</v>
      </c>
      <c r="J377">
        <v>0</v>
      </c>
      <c r="K377">
        <v>0</v>
      </c>
      <c r="L377">
        <v>0</v>
      </c>
      <c r="M377">
        <f>IF(N377,TRUE,AND(Q377:U377))</f>
        <v>0</v>
      </c>
      <c r="N377">
        <f>COUNTBLANK(Metadata!B377:F377)=COLUMNS(Metadata!B377:F377)</f>
        <v>0</v>
      </c>
      <c r="O377">
        <v>0</v>
      </c>
      <c r="Q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>
        <f>AND(IF(Metadata!C377="",FALSE,TRUE),exact(Metadata!C377,"human-skin"))</f>
        <v>0</v>
      </c>
      <c r="S377">
        <f>OR(AND(IF(Metadata!D377="",FALSE,TRUE),OR(exact(Metadata!D377,"missing: not collected"),exact(Metadata!D377,"missing: not provided"))),AND(IF(Metadata!D377="",FALSE,TRUE),OR(exact(Metadata!D377,"UBERON:zone of skin"),exact(Metadata!D377,"UBERON:skin of hand"),exact(Metadata!D377,"UBERON:skin of forehead"))))</f>
        <v>0</v>
      </c>
      <c r="T377">
        <f>AND(IF(Metadata!E377="",FALSE,TRUE),exact(Metadata!E377,"human skin metagenome"))</f>
        <v>0</v>
      </c>
      <c r="U377">
        <f>AND(IF(Metadata!F377="",FALSE,TRUE),exact(Metadata!F377,"539655"))</f>
        <v>0</v>
      </c>
    </row>
    <row r="378" spans="1:21">
      <c r="A378" s="4">
        <f>IF(B378=" "," ",HYPERLINK(CONCATENATE("#metadata!",ADDRESS(INDEX($L$2:$L$1001,MATCH(ROWS($J$2:J378),$J$2:$J$1001,0),0),1)),INDEX($O$2:$O$1001,MATCH(ROWS($J$2:J378),$J$2:$J$1001,0),0)))</f>
        <v>0</v>
      </c>
      <c r="B378" s="3">
        <f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>0</v>
      </c>
      <c r="C378" s="3">
        <f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>0</v>
      </c>
      <c r="D378" s="3">
        <f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>0</v>
      </c>
      <c r="E378" s="3">
        <f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>0</v>
      </c>
      <c r="F378" s="3">
        <f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>0</v>
      </c>
      <c r="J378">
        <v>0</v>
      </c>
      <c r="K378">
        <v>0</v>
      </c>
      <c r="L378">
        <v>0</v>
      </c>
      <c r="M378">
        <f>IF(N378,TRUE,AND(Q378:U378))</f>
        <v>0</v>
      </c>
      <c r="N378">
        <f>COUNTBLANK(Metadata!B378:F378)=COLUMNS(Metadata!B378:F378)</f>
        <v>0</v>
      </c>
      <c r="O378">
        <v>0</v>
      </c>
      <c r="Q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>
        <f>AND(IF(Metadata!C378="",FALSE,TRUE),exact(Metadata!C378,"human-skin"))</f>
        <v>0</v>
      </c>
      <c r="S378">
        <f>OR(AND(IF(Metadata!D378="",FALSE,TRUE),OR(exact(Metadata!D378,"missing: not collected"),exact(Metadata!D378,"missing: not provided"))),AND(IF(Metadata!D378="",FALSE,TRUE),OR(exact(Metadata!D378,"UBERON:zone of skin"),exact(Metadata!D378,"UBERON:skin of hand"),exact(Metadata!D378,"UBERON:skin of forehead"))))</f>
        <v>0</v>
      </c>
      <c r="T378">
        <f>AND(IF(Metadata!E378="",FALSE,TRUE),exact(Metadata!E378,"human skin metagenome"))</f>
        <v>0</v>
      </c>
      <c r="U378">
        <f>AND(IF(Metadata!F378="",FALSE,TRUE),exact(Metadata!F378,"539655"))</f>
        <v>0</v>
      </c>
    </row>
    <row r="379" spans="1:21">
      <c r="A379" s="4">
        <f>IF(B379=" "," ",HYPERLINK(CONCATENATE("#metadata!",ADDRESS(INDEX($L$2:$L$1001,MATCH(ROWS($J$2:J379),$J$2:$J$1001,0),0),1)),INDEX($O$2:$O$1001,MATCH(ROWS($J$2:J379),$J$2:$J$1001,0),0)))</f>
        <v>0</v>
      </c>
      <c r="B379" s="3">
        <f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>0</v>
      </c>
      <c r="C379" s="3">
        <f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>0</v>
      </c>
      <c r="D379" s="3">
        <f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>0</v>
      </c>
      <c r="E379" s="3">
        <f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>0</v>
      </c>
      <c r="F379" s="3">
        <f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>0</v>
      </c>
      <c r="J379">
        <v>0</v>
      </c>
      <c r="K379">
        <v>0</v>
      </c>
      <c r="L379">
        <v>0</v>
      </c>
      <c r="M379">
        <f>IF(N379,TRUE,AND(Q379:U379))</f>
        <v>0</v>
      </c>
      <c r="N379">
        <f>COUNTBLANK(Metadata!B379:F379)=COLUMNS(Metadata!B379:F379)</f>
        <v>0</v>
      </c>
      <c r="O379">
        <v>0</v>
      </c>
      <c r="Q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>
        <f>AND(IF(Metadata!C379="",FALSE,TRUE),exact(Metadata!C379,"human-skin"))</f>
        <v>0</v>
      </c>
      <c r="S379">
        <f>OR(AND(IF(Metadata!D379="",FALSE,TRUE),OR(exact(Metadata!D379,"missing: not collected"),exact(Metadata!D379,"missing: not provided"))),AND(IF(Metadata!D379="",FALSE,TRUE),OR(exact(Metadata!D379,"UBERON:zone of skin"),exact(Metadata!D379,"UBERON:skin of hand"),exact(Metadata!D379,"UBERON:skin of forehead"))))</f>
        <v>0</v>
      </c>
      <c r="T379">
        <f>AND(IF(Metadata!E379="",FALSE,TRUE),exact(Metadata!E379,"human skin metagenome"))</f>
        <v>0</v>
      </c>
      <c r="U379">
        <f>AND(IF(Metadata!F379="",FALSE,TRUE),exact(Metadata!F379,"539655"))</f>
        <v>0</v>
      </c>
    </row>
    <row r="380" spans="1:21">
      <c r="A380" s="4">
        <f>IF(B380=" "," ",HYPERLINK(CONCATENATE("#metadata!",ADDRESS(INDEX($L$2:$L$1001,MATCH(ROWS($J$2:J380),$J$2:$J$1001,0),0),1)),INDEX($O$2:$O$1001,MATCH(ROWS($J$2:J380),$J$2:$J$1001,0),0)))</f>
        <v>0</v>
      </c>
      <c r="B380" s="3">
        <f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>0</v>
      </c>
      <c r="C380" s="3">
        <f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>0</v>
      </c>
      <c r="D380" s="3">
        <f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>0</v>
      </c>
      <c r="E380" s="3">
        <f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>0</v>
      </c>
      <c r="F380" s="3">
        <f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>0</v>
      </c>
      <c r="J380">
        <v>0</v>
      </c>
      <c r="K380">
        <v>0</v>
      </c>
      <c r="L380">
        <v>0</v>
      </c>
      <c r="M380">
        <f>IF(N380,TRUE,AND(Q380:U380))</f>
        <v>0</v>
      </c>
      <c r="N380">
        <f>COUNTBLANK(Metadata!B380:F380)=COLUMNS(Metadata!B380:F380)</f>
        <v>0</v>
      </c>
      <c r="O380">
        <v>0</v>
      </c>
      <c r="Q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>
        <f>AND(IF(Metadata!C380="",FALSE,TRUE),exact(Metadata!C380,"human-skin"))</f>
        <v>0</v>
      </c>
      <c r="S380">
        <f>OR(AND(IF(Metadata!D380="",FALSE,TRUE),OR(exact(Metadata!D380,"missing: not collected"),exact(Metadata!D380,"missing: not provided"))),AND(IF(Metadata!D380="",FALSE,TRUE),OR(exact(Metadata!D380,"UBERON:zone of skin"),exact(Metadata!D380,"UBERON:skin of hand"),exact(Metadata!D380,"UBERON:skin of forehead"))))</f>
        <v>0</v>
      </c>
      <c r="T380">
        <f>AND(IF(Metadata!E380="",FALSE,TRUE),exact(Metadata!E380,"human skin metagenome"))</f>
        <v>0</v>
      </c>
      <c r="U380">
        <f>AND(IF(Metadata!F380="",FALSE,TRUE),exact(Metadata!F380,"539655"))</f>
        <v>0</v>
      </c>
    </row>
    <row r="381" spans="1:21">
      <c r="A381" s="4">
        <f>IF(B381=" "," ",HYPERLINK(CONCATENATE("#metadata!",ADDRESS(INDEX($L$2:$L$1001,MATCH(ROWS($J$2:J381),$J$2:$J$1001,0),0),1)),INDEX($O$2:$O$1001,MATCH(ROWS($J$2:J381),$J$2:$J$1001,0),0)))</f>
        <v>0</v>
      </c>
      <c r="B381" s="3">
        <f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>0</v>
      </c>
      <c r="C381" s="3">
        <f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>0</v>
      </c>
      <c r="D381" s="3">
        <f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>0</v>
      </c>
      <c r="E381" s="3">
        <f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>0</v>
      </c>
      <c r="F381" s="3">
        <f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>0</v>
      </c>
      <c r="J381">
        <v>0</v>
      </c>
      <c r="K381">
        <v>0</v>
      </c>
      <c r="L381">
        <v>0</v>
      </c>
      <c r="M381">
        <f>IF(N381,TRUE,AND(Q381:U381))</f>
        <v>0</v>
      </c>
      <c r="N381">
        <f>COUNTBLANK(Metadata!B381:F381)=COLUMNS(Metadata!B381:F381)</f>
        <v>0</v>
      </c>
      <c r="O381">
        <v>0</v>
      </c>
      <c r="Q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>
        <f>AND(IF(Metadata!C381="",FALSE,TRUE),exact(Metadata!C381,"human-skin"))</f>
        <v>0</v>
      </c>
      <c r="S381">
        <f>OR(AND(IF(Metadata!D381="",FALSE,TRUE),OR(exact(Metadata!D381,"missing: not collected"),exact(Metadata!D381,"missing: not provided"))),AND(IF(Metadata!D381="",FALSE,TRUE),OR(exact(Metadata!D381,"UBERON:zone of skin"),exact(Metadata!D381,"UBERON:skin of hand"),exact(Metadata!D381,"UBERON:skin of forehead"))))</f>
        <v>0</v>
      </c>
      <c r="T381">
        <f>AND(IF(Metadata!E381="",FALSE,TRUE),exact(Metadata!E381,"human skin metagenome"))</f>
        <v>0</v>
      </c>
      <c r="U381">
        <f>AND(IF(Metadata!F381="",FALSE,TRUE),exact(Metadata!F381,"539655"))</f>
        <v>0</v>
      </c>
    </row>
    <row r="382" spans="1:21">
      <c r="A382" s="4">
        <f>IF(B382=" "," ",HYPERLINK(CONCATENATE("#metadata!",ADDRESS(INDEX($L$2:$L$1001,MATCH(ROWS($J$2:J382),$J$2:$J$1001,0),0),1)),INDEX($O$2:$O$1001,MATCH(ROWS($J$2:J382),$J$2:$J$1001,0),0)))</f>
        <v>0</v>
      </c>
      <c r="B382" s="3">
        <f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>0</v>
      </c>
      <c r="C382" s="3">
        <f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>0</v>
      </c>
      <c r="D382" s="3">
        <f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>0</v>
      </c>
      <c r="E382" s="3">
        <f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>0</v>
      </c>
      <c r="F382" s="3">
        <f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>0</v>
      </c>
      <c r="J382">
        <v>0</v>
      </c>
      <c r="K382">
        <v>0</v>
      </c>
      <c r="L382">
        <v>0</v>
      </c>
      <c r="M382">
        <f>IF(N382,TRUE,AND(Q382:U382))</f>
        <v>0</v>
      </c>
      <c r="N382">
        <f>COUNTBLANK(Metadata!B382:F382)=COLUMNS(Metadata!B382:F382)</f>
        <v>0</v>
      </c>
      <c r="O382">
        <v>0</v>
      </c>
      <c r="Q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>
        <f>AND(IF(Metadata!C382="",FALSE,TRUE),exact(Metadata!C382,"human-skin"))</f>
        <v>0</v>
      </c>
      <c r="S382">
        <f>OR(AND(IF(Metadata!D382="",FALSE,TRUE),OR(exact(Metadata!D382,"missing: not collected"),exact(Metadata!D382,"missing: not provided"))),AND(IF(Metadata!D382="",FALSE,TRUE),OR(exact(Metadata!D382,"UBERON:zone of skin"),exact(Metadata!D382,"UBERON:skin of hand"),exact(Metadata!D382,"UBERON:skin of forehead"))))</f>
        <v>0</v>
      </c>
      <c r="T382">
        <f>AND(IF(Metadata!E382="",FALSE,TRUE),exact(Metadata!E382,"human skin metagenome"))</f>
        <v>0</v>
      </c>
      <c r="U382">
        <f>AND(IF(Metadata!F382="",FALSE,TRUE),exact(Metadata!F382,"539655"))</f>
        <v>0</v>
      </c>
    </row>
    <row r="383" spans="1:21">
      <c r="A383" s="4">
        <f>IF(B383=" "," ",HYPERLINK(CONCATENATE("#metadata!",ADDRESS(INDEX($L$2:$L$1001,MATCH(ROWS($J$2:J383),$J$2:$J$1001,0),0),1)),INDEX($O$2:$O$1001,MATCH(ROWS($J$2:J383),$J$2:$J$1001,0),0)))</f>
        <v>0</v>
      </c>
      <c r="B383" s="3">
        <f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>0</v>
      </c>
      <c r="C383" s="3">
        <f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>0</v>
      </c>
      <c r="D383" s="3">
        <f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>0</v>
      </c>
      <c r="E383" s="3">
        <f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>0</v>
      </c>
      <c r="F383" s="3">
        <f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>0</v>
      </c>
      <c r="J383">
        <v>0</v>
      </c>
      <c r="K383">
        <v>0</v>
      </c>
      <c r="L383">
        <v>0</v>
      </c>
      <c r="M383">
        <f>IF(N383,TRUE,AND(Q383:U383))</f>
        <v>0</v>
      </c>
      <c r="N383">
        <f>COUNTBLANK(Metadata!B383:F383)=COLUMNS(Metadata!B383:F383)</f>
        <v>0</v>
      </c>
      <c r="O383">
        <v>0</v>
      </c>
      <c r="Q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>
        <f>AND(IF(Metadata!C383="",FALSE,TRUE),exact(Metadata!C383,"human-skin"))</f>
        <v>0</v>
      </c>
      <c r="S383">
        <f>OR(AND(IF(Metadata!D383="",FALSE,TRUE),OR(exact(Metadata!D383,"missing: not collected"),exact(Metadata!D383,"missing: not provided"))),AND(IF(Metadata!D383="",FALSE,TRUE),OR(exact(Metadata!D383,"UBERON:zone of skin"),exact(Metadata!D383,"UBERON:skin of hand"),exact(Metadata!D383,"UBERON:skin of forehead"))))</f>
        <v>0</v>
      </c>
      <c r="T383">
        <f>AND(IF(Metadata!E383="",FALSE,TRUE),exact(Metadata!E383,"human skin metagenome"))</f>
        <v>0</v>
      </c>
      <c r="U383">
        <f>AND(IF(Metadata!F383="",FALSE,TRUE),exact(Metadata!F383,"539655"))</f>
        <v>0</v>
      </c>
    </row>
    <row r="384" spans="1:21">
      <c r="A384" s="4">
        <f>IF(B384=" "," ",HYPERLINK(CONCATENATE("#metadata!",ADDRESS(INDEX($L$2:$L$1001,MATCH(ROWS($J$2:J384),$J$2:$J$1001,0),0),1)),INDEX($O$2:$O$1001,MATCH(ROWS($J$2:J384),$J$2:$J$1001,0),0)))</f>
        <v>0</v>
      </c>
      <c r="B384" s="3">
        <f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>0</v>
      </c>
      <c r="C384" s="3">
        <f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>0</v>
      </c>
      <c r="D384" s="3">
        <f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>0</v>
      </c>
      <c r="E384" s="3">
        <f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>0</v>
      </c>
      <c r="F384" s="3">
        <f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>0</v>
      </c>
      <c r="J384">
        <v>0</v>
      </c>
      <c r="K384">
        <v>0</v>
      </c>
      <c r="L384">
        <v>0</v>
      </c>
      <c r="M384">
        <f>IF(N384,TRUE,AND(Q384:U384))</f>
        <v>0</v>
      </c>
      <c r="N384">
        <f>COUNTBLANK(Metadata!B384:F384)=COLUMNS(Metadata!B384:F384)</f>
        <v>0</v>
      </c>
      <c r="O384">
        <v>0</v>
      </c>
      <c r="Q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>
        <f>AND(IF(Metadata!C384="",FALSE,TRUE),exact(Metadata!C384,"human-skin"))</f>
        <v>0</v>
      </c>
      <c r="S384">
        <f>OR(AND(IF(Metadata!D384="",FALSE,TRUE),OR(exact(Metadata!D384,"missing: not collected"),exact(Metadata!D384,"missing: not provided"))),AND(IF(Metadata!D384="",FALSE,TRUE),OR(exact(Metadata!D384,"UBERON:zone of skin"),exact(Metadata!D384,"UBERON:skin of hand"),exact(Metadata!D384,"UBERON:skin of forehead"))))</f>
        <v>0</v>
      </c>
      <c r="T384">
        <f>AND(IF(Metadata!E384="",FALSE,TRUE),exact(Metadata!E384,"human skin metagenome"))</f>
        <v>0</v>
      </c>
      <c r="U384">
        <f>AND(IF(Metadata!F384="",FALSE,TRUE),exact(Metadata!F384,"539655"))</f>
        <v>0</v>
      </c>
    </row>
    <row r="385" spans="1:21">
      <c r="A385" s="4">
        <f>IF(B385=" "," ",HYPERLINK(CONCATENATE("#metadata!",ADDRESS(INDEX($L$2:$L$1001,MATCH(ROWS($J$2:J385),$J$2:$J$1001,0),0),1)),INDEX($O$2:$O$1001,MATCH(ROWS($J$2:J385),$J$2:$J$1001,0),0)))</f>
        <v>0</v>
      </c>
      <c r="B385" s="3">
        <f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>0</v>
      </c>
      <c r="C385" s="3">
        <f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>0</v>
      </c>
      <c r="D385" s="3">
        <f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>0</v>
      </c>
      <c r="E385" s="3">
        <f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>0</v>
      </c>
      <c r="F385" s="3">
        <f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>0</v>
      </c>
      <c r="J385">
        <v>0</v>
      </c>
      <c r="K385">
        <v>0</v>
      </c>
      <c r="L385">
        <v>0</v>
      </c>
      <c r="M385">
        <f>IF(N385,TRUE,AND(Q385:U385))</f>
        <v>0</v>
      </c>
      <c r="N385">
        <f>COUNTBLANK(Metadata!B385:F385)=COLUMNS(Metadata!B385:F385)</f>
        <v>0</v>
      </c>
      <c r="O385">
        <v>0</v>
      </c>
      <c r="Q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>
        <f>AND(IF(Metadata!C385="",FALSE,TRUE),exact(Metadata!C385,"human-skin"))</f>
        <v>0</v>
      </c>
      <c r="S385">
        <f>OR(AND(IF(Metadata!D385="",FALSE,TRUE),OR(exact(Metadata!D385,"missing: not collected"),exact(Metadata!D385,"missing: not provided"))),AND(IF(Metadata!D385="",FALSE,TRUE),OR(exact(Metadata!D385,"UBERON:zone of skin"),exact(Metadata!D385,"UBERON:skin of hand"),exact(Metadata!D385,"UBERON:skin of forehead"))))</f>
        <v>0</v>
      </c>
      <c r="T385">
        <f>AND(IF(Metadata!E385="",FALSE,TRUE),exact(Metadata!E385,"human skin metagenome"))</f>
        <v>0</v>
      </c>
      <c r="U385">
        <f>AND(IF(Metadata!F385="",FALSE,TRUE),exact(Metadata!F385,"539655"))</f>
        <v>0</v>
      </c>
    </row>
    <row r="386" spans="1:21">
      <c r="A386" s="4">
        <f>IF(B386=" "," ",HYPERLINK(CONCATENATE("#metadata!",ADDRESS(INDEX($L$2:$L$1001,MATCH(ROWS($J$2:J386),$J$2:$J$1001,0),0),1)),INDEX($O$2:$O$1001,MATCH(ROWS($J$2:J386),$J$2:$J$1001,0),0)))</f>
        <v>0</v>
      </c>
      <c r="B386" s="3">
        <f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>0</v>
      </c>
      <c r="C386" s="3">
        <f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>0</v>
      </c>
      <c r="D386" s="3">
        <f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>0</v>
      </c>
      <c r="E386" s="3">
        <f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>0</v>
      </c>
      <c r="F386" s="3">
        <f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>0</v>
      </c>
      <c r="J386">
        <v>0</v>
      </c>
      <c r="K386">
        <v>0</v>
      </c>
      <c r="L386">
        <v>0</v>
      </c>
      <c r="M386">
        <f>IF(N386,TRUE,AND(Q386:U386))</f>
        <v>0</v>
      </c>
      <c r="N386">
        <f>COUNTBLANK(Metadata!B386:F386)=COLUMNS(Metadata!B386:F386)</f>
        <v>0</v>
      </c>
      <c r="O386">
        <v>0</v>
      </c>
      <c r="Q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>
        <f>AND(IF(Metadata!C386="",FALSE,TRUE),exact(Metadata!C386,"human-skin"))</f>
        <v>0</v>
      </c>
      <c r="S386">
        <f>OR(AND(IF(Metadata!D386="",FALSE,TRUE),OR(exact(Metadata!D386,"missing: not collected"),exact(Metadata!D386,"missing: not provided"))),AND(IF(Metadata!D386="",FALSE,TRUE),OR(exact(Metadata!D386,"UBERON:zone of skin"),exact(Metadata!D386,"UBERON:skin of hand"),exact(Metadata!D386,"UBERON:skin of forehead"))))</f>
        <v>0</v>
      </c>
      <c r="T386">
        <f>AND(IF(Metadata!E386="",FALSE,TRUE),exact(Metadata!E386,"human skin metagenome"))</f>
        <v>0</v>
      </c>
      <c r="U386">
        <f>AND(IF(Metadata!F386="",FALSE,TRUE),exact(Metadata!F386,"539655"))</f>
        <v>0</v>
      </c>
    </row>
    <row r="387" spans="1:21">
      <c r="A387" s="4">
        <f>IF(B387=" "," ",HYPERLINK(CONCATENATE("#metadata!",ADDRESS(INDEX($L$2:$L$1001,MATCH(ROWS($J$2:J387),$J$2:$J$1001,0),0),1)),INDEX($O$2:$O$1001,MATCH(ROWS($J$2:J387),$J$2:$J$1001,0),0)))</f>
        <v>0</v>
      </c>
      <c r="B387" s="3">
        <f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>0</v>
      </c>
      <c r="C387" s="3">
        <f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>0</v>
      </c>
      <c r="D387" s="3">
        <f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>0</v>
      </c>
      <c r="E387" s="3">
        <f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>0</v>
      </c>
      <c r="F387" s="3">
        <f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>0</v>
      </c>
      <c r="J387">
        <v>0</v>
      </c>
      <c r="K387">
        <v>0</v>
      </c>
      <c r="L387">
        <v>0</v>
      </c>
      <c r="M387">
        <f>IF(N387,TRUE,AND(Q387:U387))</f>
        <v>0</v>
      </c>
      <c r="N387">
        <f>COUNTBLANK(Metadata!B387:F387)=COLUMNS(Metadata!B387:F387)</f>
        <v>0</v>
      </c>
      <c r="O387">
        <v>0</v>
      </c>
      <c r="Q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>
        <f>AND(IF(Metadata!C387="",FALSE,TRUE),exact(Metadata!C387,"human-skin"))</f>
        <v>0</v>
      </c>
      <c r="S387">
        <f>OR(AND(IF(Metadata!D387="",FALSE,TRUE),OR(exact(Metadata!D387,"missing: not collected"),exact(Metadata!D387,"missing: not provided"))),AND(IF(Metadata!D387="",FALSE,TRUE),OR(exact(Metadata!D387,"UBERON:zone of skin"),exact(Metadata!D387,"UBERON:skin of hand"),exact(Metadata!D387,"UBERON:skin of forehead"))))</f>
        <v>0</v>
      </c>
      <c r="T387">
        <f>AND(IF(Metadata!E387="",FALSE,TRUE),exact(Metadata!E387,"human skin metagenome"))</f>
        <v>0</v>
      </c>
      <c r="U387">
        <f>AND(IF(Metadata!F387="",FALSE,TRUE),exact(Metadata!F387,"539655"))</f>
        <v>0</v>
      </c>
    </row>
    <row r="388" spans="1:21">
      <c r="A388" s="4">
        <f>IF(B388=" "," ",HYPERLINK(CONCATENATE("#metadata!",ADDRESS(INDEX($L$2:$L$1001,MATCH(ROWS($J$2:J388),$J$2:$J$1001,0),0),1)),INDEX($O$2:$O$1001,MATCH(ROWS($J$2:J388),$J$2:$J$1001,0),0)))</f>
        <v>0</v>
      </c>
      <c r="B388" s="3">
        <f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>0</v>
      </c>
      <c r="C388" s="3">
        <f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>0</v>
      </c>
      <c r="D388" s="3">
        <f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>0</v>
      </c>
      <c r="E388" s="3">
        <f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>0</v>
      </c>
      <c r="F388" s="3">
        <f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>0</v>
      </c>
      <c r="J388">
        <v>0</v>
      </c>
      <c r="K388">
        <v>0</v>
      </c>
      <c r="L388">
        <v>0</v>
      </c>
      <c r="M388">
        <f>IF(N388,TRUE,AND(Q388:U388))</f>
        <v>0</v>
      </c>
      <c r="N388">
        <f>COUNTBLANK(Metadata!B388:F388)=COLUMNS(Metadata!B388:F388)</f>
        <v>0</v>
      </c>
      <c r="O388">
        <v>0</v>
      </c>
      <c r="Q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>
        <f>AND(IF(Metadata!C388="",FALSE,TRUE),exact(Metadata!C388,"human-skin"))</f>
        <v>0</v>
      </c>
      <c r="S388">
        <f>OR(AND(IF(Metadata!D388="",FALSE,TRUE),OR(exact(Metadata!D388,"missing: not collected"),exact(Metadata!D388,"missing: not provided"))),AND(IF(Metadata!D388="",FALSE,TRUE),OR(exact(Metadata!D388,"UBERON:zone of skin"),exact(Metadata!D388,"UBERON:skin of hand"),exact(Metadata!D388,"UBERON:skin of forehead"))))</f>
        <v>0</v>
      </c>
      <c r="T388">
        <f>AND(IF(Metadata!E388="",FALSE,TRUE),exact(Metadata!E388,"human skin metagenome"))</f>
        <v>0</v>
      </c>
      <c r="U388">
        <f>AND(IF(Metadata!F388="",FALSE,TRUE),exact(Metadata!F388,"539655"))</f>
        <v>0</v>
      </c>
    </row>
    <row r="389" spans="1:21">
      <c r="A389" s="4">
        <f>IF(B389=" "," ",HYPERLINK(CONCATENATE("#metadata!",ADDRESS(INDEX($L$2:$L$1001,MATCH(ROWS($J$2:J389),$J$2:$J$1001,0),0),1)),INDEX($O$2:$O$1001,MATCH(ROWS($J$2:J389),$J$2:$J$1001,0),0)))</f>
        <v>0</v>
      </c>
      <c r="B389" s="3">
        <f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>0</v>
      </c>
      <c r="C389" s="3">
        <f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>0</v>
      </c>
      <c r="D389" s="3">
        <f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>0</v>
      </c>
      <c r="E389" s="3">
        <f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>0</v>
      </c>
      <c r="F389" s="3">
        <f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>0</v>
      </c>
      <c r="J389">
        <v>0</v>
      </c>
      <c r="K389">
        <v>0</v>
      </c>
      <c r="L389">
        <v>0</v>
      </c>
      <c r="M389">
        <f>IF(N389,TRUE,AND(Q389:U389))</f>
        <v>0</v>
      </c>
      <c r="N389">
        <f>COUNTBLANK(Metadata!B389:F389)=COLUMNS(Metadata!B389:F389)</f>
        <v>0</v>
      </c>
      <c r="O389">
        <v>0</v>
      </c>
      <c r="Q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>
        <f>AND(IF(Metadata!C389="",FALSE,TRUE),exact(Metadata!C389,"human-skin"))</f>
        <v>0</v>
      </c>
      <c r="S389">
        <f>OR(AND(IF(Metadata!D389="",FALSE,TRUE),OR(exact(Metadata!D389,"missing: not collected"),exact(Metadata!D389,"missing: not provided"))),AND(IF(Metadata!D389="",FALSE,TRUE),OR(exact(Metadata!D389,"UBERON:zone of skin"),exact(Metadata!D389,"UBERON:skin of hand"),exact(Metadata!D389,"UBERON:skin of forehead"))))</f>
        <v>0</v>
      </c>
      <c r="T389">
        <f>AND(IF(Metadata!E389="",FALSE,TRUE),exact(Metadata!E389,"human skin metagenome"))</f>
        <v>0</v>
      </c>
      <c r="U389">
        <f>AND(IF(Metadata!F389="",FALSE,TRUE),exact(Metadata!F389,"539655"))</f>
        <v>0</v>
      </c>
    </row>
    <row r="390" spans="1:21">
      <c r="A390" s="4">
        <f>IF(B390=" "," ",HYPERLINK(CONCATENATE("#metadata!",ADDRESS(INDEX($L$2:$L$1001,MATCH(ROWS($J$2:J390),$J$2:$J$1001,0),0),1)),INDEX($O$2:$O$1001,MATCH(ROWS($J$2:J390),$J$2:$J$1001,0),0)))</f>
        <v>0</v>
      </c>
      <c r="B390" s="3">
        <f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>0</v>
      </c>
      <c r="C390" s="3">
        <f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>0</v>
      </c>
      <c r="D390" s="3">
        <f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>0</v>
      </c>
      <c r="E390" s="3">
        <f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>0</v>
      </c>
      <c r="F390" s="3">
        <f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>0</v>
      </c>
      <c r="J390">
        <v>0</v>
      </c>
      <c r="K390">
        <v>0</v>
      </c>
      <c r="L390">
        <v>0</v>
      </c>
      <c r="M390">
        <f>IF(N390,TRUE,AND(Q390:U390))</f>
        <v>0</v>
      </c>
      <c r="N390">
        <f>COUNTBLANK(Metadata!B390:F390)=COLUMNS(Metadata!B390:F390)</f>
        <v>0</v>
      </c>
      <c r="O390">
        <v>0</v>
      </c>
      <c r="Q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>
        <f>AND(IF(Metadata!C390="",FALSE,TRUE),exact(Metadata!C390,"human-skin"))</f>
        <v>0</v>
      </c>
      <c r="S390">
        <f>OR(AND(IF(Metadata!D390="",FALSE,TRUE),OR(exact(Metadata!D390,"missing: not collected"),exact(Metadata!D390,"missing: not provided"))),AND(IF(Metadata!D390="",FALSE,TRUE),OR(exact(Metadata!D390,"UBERON:zone of skin"),exact(Metadata!D390,"UBERON:skin of hand"),exact(Metadata!D390,"UBERON:skin of forehead"))))</f>
        <v>0</v>
      </c>
      <c r="T390">
        <f>AND(IF(Metadata!E390="",FALSE,TRUE),exact(Metadata!E390,"human skin metagenome"))</f>
        <v>0</v>
      </c>
      <c r="U390">
        <f>AND(IF(Metadata!F390="",FALSE,TRUE),exact(Metadata!F390,"539655"))</f>
        <v>0</v>
      </c>
    </row>
    <row r="391" spans="1:21">
      <c r="A391" s="4">
        <f>IF(B391=" "," ",HYPERLINK(CONCATENATE("#metadata!",ADDRESS(INDEX($L$2:$L$1001,MATCH(ROWS($J$2:J391),$J$2:$J$1001,0),0),1)),INDEX($O$2:$O$1001,MATCH(ROWS($J$2:J391),$J$2:$J$1001,0),0)))</f>
        <v>0</v>
      </c>
      <c r="B391" s="3">
        <f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>0</v>
      </c>
      <c r="C391" s="3">
        <f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>0</v>
      </c>
      <c r="D391" s="3">
        <f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>0</v>
      </c>
      <c r="E391" s="3">
        <f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>0</v>
      </c>
      <c r="F391" s="3">
        <f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>0</v>
      </c>
      <c r="J391">
        <v>0</v>
      </c>
      <c r="K391">
        <v>0</v>
      </c>
      <c r="L391">
        <v>0</v>
      </c>
      <c r="M391">
        <f>IF(N391,TRUE,AND(Q391:U391))</f>
        <v>0</v>
      </c>
      <c r="N391">
        <f>COUNTBLANK(Metadata!B391:F391)=COLUMNS(Metadata!B391:F391)</f>
        <v>0</v>
      </c>
      <c r="O391">
        <v>0</v>
      </c>
      <c r="Q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>
        <f>AND(IF(Metadata!C391="",FALSE,TRUE),exact(Metadata!C391,"human-skin"))</f>
        <v>0</v>
      </c>
      <c r="S391">
        <f>OR(AND(IF(Metadata!D391="",FALSE,TRUE),OR(exact(Metadata!D391,"missing: not collected"),exact(Metadata!D391,"missing: not provided"))),AND(IF(Metadata!D391="",FALSE,TRUE),OR(exact(Metadata!D391,"UBERON:zone of skin"),exact(Metadata!D391,"UBERON:skin of hand"),exact(Metadata!D391,"UBERON:skin of forehead"))))</f>
        <v>0</v>
      </c>
      <c r="T391">
        <f>AND(IF(Metadata!E391="",FALSE,TRUE),exact(Metadata!E391,"human skin metagenome"))</f>
        <v>0</v>
      </c>
      <c r="U391">
        <f>AND(IF(Metadata!F391="",FALSE,TRUE),exact(Metadata!F391,"539655"))</f>
        <v>0</v>
      </c>
    </row>
    <row r="392" spans="1:21">
      <c r="A392" s="4">
        <f>IF(B392=" "," ",HYPERLINK(CONCATENATE("#metadata!",ADDRESS(INDEX($L$2:$L$1001,MATCH(ROWS($J$2:J392),$J$2:$J$1001,0),0),1)),INDEX($O$2:$O$1001,MATCH(ROWS($J$2:J392),$J$2:$J$1001,0),0)))</f>
        <v>0</v>
      </c>
      <c r="B392" s="3">
        <f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>0</v>
      </c>
      <c r="C392" s="3">
        <f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>0</v>
      </c>
      <c r="D392" s="3">
        <f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>0</v>
      </c>
      <c r="E392" s="3">
        <f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>0</v>
      </c>
      <c r="F392" s="3">
        <f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>0</v>
      </c>
      <c r="J392">
        <v>0</v>
      </c>
      <c r="K392">
        <v>0</v>
      </c>
      <c r="L392">
        <v>0</v>
      </c>
      <c r="M392">
        <f>IF(N392,TRUE,AND(Q392:U392))</f>
        <v>0</v>
      </c>
      <c r="N392">
        <f>COUNTBLANK(Metadata!B392:F392)=COLUMNS(Metadata!B392:F392)</f>
        <v>0</v>
      </c>
      <c r="O392">
        <v>0</v>
      </c>
      <c r="Q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>
        <f>AND(IF(Metadata!C392="",FALSE,TRUE),exact(Metadata!C392,"human-skin"))</f>
        <v>0</v>
      </c>
      <c r="S392">
        <f>OR(AND(IF(Metadata!D392="",FALSE,TRUE),OR(exact(Metadata!D392,"missing: not collected"),exact(Metadata!D392,"missing: not provided"))),AND(IF(Metadata!D392="",FALSE,TRUE),OR(exact(Metadata!D392,"UBERON:zone of skin"),exact(Metadata!D392,"UBERON:skin of hand"),exact(Metadata!D392,"UBERON:skin of forehead"))))</f>
        <v>0</v>
      </c>
      <c r="T392">
        <f>AND(IF(Metadata!E392="",FALSE,TRUE),exact(Metadata!E392,"human skin metagenome"))</f>
        <v>0</v>
      </c>
      <c r="U392">
        <f>AND(IF(Metadata!F392="",FALSE,TRUE),exact(Metadata!F392,"539655"))</f>
        <v>0</v>
      </c>
    </row>
    <row r="393" spans="1:21">
      <c r="A393" s="4">
        <f>IF(B393=" "," ",HYPERLINK(CONCATENATE("#metadata!",ADDRESS(INDEX($L$2:$L$1001,MATCH(ROWS($J$2:J393),$J$2:$J$1001,0),0),1)),INDEX($O$2:$O$1001,MATCH(ROWS($J$2:J393),$J$2:$J$1001,0),0)))</f>
        <v>0</v>
      </c>
      <c r="B393" s="3">
        <f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>0</v>
      </c>
      <c r="C393" s="3">
        <f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>0</v>
      </c>
      <c r="D393" s="3">
        <f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>0</v>
      </c>
      <c r="E393" s="3">
        <f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>0</v>
      </c>
      <c r="F393" s="3">
        <f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>0</v>
      </c>
      <c r="J393">
        <v>0</v>
      </c>
      <c r="K393">
        <v>0</v>
      </c>
      <c r="L393">
        <v>0</v>
      </c>
      <c r="M393">
        <f>IF(N393,TRUE,AND(Q393:U393))</f>
        <v>0</v>
      </c>
      <c r="N393">
        <f>COUNTBLANK(Metadata!B393:F393)=COLUMNS(Metadata!B393:F393)</f>
        <v>0</v>
      </c>
      <c r="O393">
        <v>0</v>
      </c>
      <c r="Q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>
        <f>AND(IF(Metadata!C393="",FALSE,TRUE),exact(Metadata!C393,"human-skin"))</f>
        <v>0</v>
      </c>
      <c r="S393">
        <f>OR(AND(IF(Metadata!D393="",FALSE,TRUE),OR(exact(Metadata!D393,"missing: not collected"),exact(Metadata!D393,"missing: not provided"))),AND(IF(Metadata!D393="",FALSE,TRUE),OR(exact(Metadata!D393,"UBERON:zone of skin"),exact(Metadata!D393,"UBERON:skin of hand"),exact(Metadata!D393,"UBERON:skin of forehead"))))</f>
        <v>0</v>
      </c>
      <c r="T393">
        <f>AND(IF(Metadata!E393="",FALSE,TRUE),exact(Metadata!E393,"human skin metagenome"))</f>
        <v>0</v>
      </c>
      <c r="U393">
        <f>AND(IF(Metadata!F393="",FALSE,TRUE),exact(Metadata!F393,"539655"))</f>
        <v>0</v>
      </c>
    </row>
    <row r="394" spans="1:21">
      <c r="A394" s="4">
        <f>IF(B394=" "," ",HYPERLINK(CONCATENATE("#metadata!",ADDRESS(INDEX($L$2:$L$1001,MATCH(ROWS($J$2:J394),$J$2:$J$1001,0),0),1)),INDEX($O$2:$O$1001,MATCH(ROWS($J$2:J394),$J$2:$J$1001,0),0)))</f>
        <v>0</v>
      </c>
      <c r="B394" s="3">
        <f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>0</v>
      </c>
      <c r="C394" s="3">
        <f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>0</v>
      </c>
      <c r="D394" s="3">
        <f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>0</v>
      </c>
      <c r="E394" s="3">
        <f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>0</v>
      </c>
      <c r="F394" s="3">
        <f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>0</v>
      </c>
      <c r="J394">
        <v>0</v>
      </c>
      <c r="K394">
        <v>0</v>
      </c>
      <c r="L394">
        <v>0</v>
      </c>
      <c r="M394">
        <f>IF(N394,TRUE,AND(Q394:U394))</f>
        <v>0</v>
      </c>
      <c r="N394">
        <f>COUNTBLANK(Metadata!B394:F394)=COLUMNS(Metadata!B394:F394)</f>
        <v>0</v>
      </c>
      <c r="O394">
        <v>0</v>
      </c>
      <c r="Q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>
        <f>AND(IF(Metadata!C394="",FALSE,TRUE),exact(Metadata!C394,"human-skin"))</f>
        <v>0</v>
      </c>
      <c r="S394">
        <f>OR(AND(IF(Metadata!D394="",FALSE,TRUE),OR(exact(Metadata!D394,"missing: not collected"),exact(Metadata!D394,"missing: not provided"))),AND(IF(Metadata!D394="",FALSE,TRUE),OR(exact(Metadata!D394,"UBERON:zone of skin"),exact(Metadata!D394,"UBERON:skin of hand"),exact(Metadata!D394,"UBERON:skin of forehead"))))</f>
        <v>0</v>
      </c>
      <c r="T394">
        <f>AND(IF(Metadata!E394="",FALSE,TRUE),exact(Metadata!E394,"human skin metagenome"))</f>
        <v>0</v>
      </c>
      <c r="U394">
        <f>AND(IF(Metadata!F394="",FALSE,TRUE),exact(Metadata!F394,"539655"))</f>
        <v>0</v>
      </c>
    </row>
    <row r="395" spans="1:21">
      <c r="A395" s="4">
        <f>IF(B395=" "," ",HYPERLINK(CONCATENATE("#metadata!",ADDRESS(INDEX($L$2:$L$1001,MATCH(ROWS($J$2:J395),$J$2:$J$1001,0),0),1)),INDEX($O$2:$O$1001,MATCH(ROWS($J$2:J395),$J$2:$J$1001,0),0)))</f>
        <v>0</v>
      </c>
      <c r="B395" s="3">
        <f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>0</v>
      </c>
      <c r="C395" s="3">
        <f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>0</v>
      </c>
      <c r="D395" s="3">
        <f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>0</v>
      </c>
      <c r="E395" s="3">
        <f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>0</v>
      </c>
      <c r="F395" s="3">
        <f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>0</v>
      </c>
      <c r="J395">
        <v>0</v>
      </c>
      <c r="K395">
        <v>0</v>
      </c>
      <c r="L395">
        <v>0</v>
      </c>
      <c r="M395">
        <f>IF(N395,TRUE,AND(Q395:U395))</f>
        <v>0</v>
      </c>
      <c r="N395">
        <f>COUNTBLANK(Metadata!B395:F395)=COLUMNS(Metadata!B395:F395)</f>
        <v>0</v>
      </c>
      <c r="O395">
        <v>0</v>
      </c>
      <c r="Q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>
        <f>AND(IF(Metadata!C395="",FALSE,TRUE),exact(Metadata!C395,"human-skin"))</f>
        <v>0</v>
      </c>
      <c r="S395">
        <f>OR(AND(IF(Metadata!D395="",FALSE,TRUE),OR(exact(Metadata!D395,"missing: not collected"),exact(Metadata!D395,"missing: not provided"))),AND(IF(Metadata!D395="",FALSE,TRUE),OR(exact(Metadata!D395,"UBERON:zone of skin"),exact(Metadata!D395,"UBERON:skin of hand"),exact(Metadata!D395,"UBERON:skin of forehead"))))</f>
        <v>0</v>
      </c>
      <c r="T395">
        <f>AND(IF(Metadata!E395="",FALSE,TRUE),exact(Metadata!E395,"human skin metagenome"))</f>
        <v>0</v>
      </c>
      <c r="U395">
        <f>AND(IF(Metadata!F395="",FALSE,TRUE),exact(Metadata!F395,"539655"))</f>
        <v>0</v>
      </c>
    </row>
    <row r="396" spans="1:21">
      <c r="A396" s="4">
        <f>IF(B396=" "," ",HYPERLINK(CONCATENATE("#metadata!",ADDRESS(INDEX($L$2:$L$1001,MATCH(ROWS($J$2:J396),$J$2:$J$1001,0),0),1)),INDEX($O$2:$O$1001,MATCH(ROWS($J$2:J396),$J$2:$J$1001,0),0)))</f>
        <v>0</v>
      </c>
      <c r="B396" s="3">
        <f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>0</v>
      </c>
      <c r="C396" s="3">
        <f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>0</v>
      </c>
      <c r="D396" s="3">
        <f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>0</v>
      </c>
      <c r="E396" s="3">
        <f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>0</v>
      </c>
      <c r="F396" s="3">
        <f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>0</v>
      </c>
      <c r="J396">
        <v>0</v>
      </c>
      <c r="K396">
        <v>0</v>
      </c>
      <c r="L396">
        <v>0</v>
      </c>
      <c r="M396">
        <f>IF(N396,TRUE,AND(Q396:U396))</f>
        <v>0</v>
      </c>
      <c r="N396">
        <f>COUNTBLANK(Metadata!B396:F396)=COLUMNS(Metadata!B396:F396)</f>
        <v>0</v>
      </c>
      <c r="O396">
        <v>0</v>
      </c>
      <c r="Q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>
        <f>AND(IF(Metadata!C396="",FALSE,TRUE),exact(Metadata!C396,"human-skin"))</f>
        <v>0</v>
      </c>
      <c r="S396">
        <f>OR(AND(IF(Metadata!D396="",FALSE,TRUE),OR(exact(Metadata!D396,"missing: not collected"),exact(Metadata!D396,"missing: not provided"))),AND(IF(Metadata!D396="",FALSE,TRUE),OR(exact(Metadata!D396,"UBERON:zone of skin"),exact(Metadata!D396,"UBERON:skin of hand"),exact(Metadata!D396,"UBERON:skin of forehead"))))</f>
        <v>0</v>
      </c>
      <c r="T396">
        <f>AND(IF(Metadata!E396="",FALSE,TRUE),exact(Metadata!E396,"human skin metagenome"))</f>
        <v>0</v>
      </c>
      <c r="U396">
        <f>AND(IF(Metadata!F396="",FALSE,TRUE),exact(Metadata!F396,"539655"))</f>
        <v>0</v>
      </c>
    </row>
    <row r="397" spans="1:21">
      <c r="A397" s="4">
        <f>IF(B397=" "," ",HYPERLINK(CONCATENATE("#metadata!",ADDRESS(INDEX($L$2:$L$1001,MATCH(ROWS($J$2:J397),$J$2:$J$1001,0),0),1)),INDEX($O$2:$O$1001,MATCH(ROWS($J$2:J397),$J$2:$J$1001,0),0)))</f>
        <v>0</v>
      </c>
      <c r="B397" s="3">
        <f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>0</v>
      </c>
      <c r="C397" s="3">
        <f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>0</v>
      </c>
      <c r="D397" s="3">
        <f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>0</v>
      </c>
      <c r="E397" s="3">
        <f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>0</v>
      </c>
      <c r="F397" s="3">
        <f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>0</v>
      </c>
      <c r="J397">
        <v>0</v>
      </c>
      <c r="K397">
        <v>0</v>
      </c>
      <c r="L397">
        <v>0</v>
      </c>
      <c r="M397">
        <f>IF(N397,TRUE,AND(Q397:U397))</f>
        <v>0</v>
      </c>
      <c r="N397">
        <f>COUNTBLANK(Metadata!B397:F397)=COLUMNS(Metadata!B397:F397)</f>
        <v>0</v>
      </c>
      <c r="O397">
        <v>0</v>
      </c>
      <c r="Q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>
        <f>AND(IF(Metadata!C397="",FALSE,TRUE),exact(Metadata!C397,"human-skin"))</f>
        <v>0</v>
      </c>
      <c r="S397">
        <f>OR(AND(IF(Metadata!D397="",FALSE,TRUE),OR(exact(Metadata!D397,"missing: not collected"),exact(Metadata!D397,"missing: not provided"))),AND(IF(Metadata!D397="",FALSE,TRUE),OR(exact(Metadata!D397,"UBERON:zone of skin"),exact(Metadata!D397,"UBERON:skin of hand"),exact(Metadata!D397,"UBERON:skin of forehead"))))</f>
        <v>0</v>
      </c>
      <c r="T397">
        <f>AND(IF(Metadata!E397="",FALSE,TRUE),exact(Metadata!E397,"human skin metagenome"))</f>
        <v>0</v>
      </c>
      <c r="U397">
        <f>AND(IF(Metadata!F397="",FALSE,TRUE),exact(Metadata!F397,"539655"))</f>
        <v>0</v>
      </c>
    </row>
    <row r="398" spans="1:21">
      <c r="A398" s="4">
        <f>IF(B398=" "," ",HYPERLINK(CONCATENATE("#metadata!",ADDRESS(INDEX($L$2:$L$1001,MATCH(ROWS($J$2:J398),$J$2:$J$1001,0),0),1)),INDEX($O$2:$O$1001,MATCH(ROWS($J$2:J398),$J$2:$J$1001,0),0)))</f>
        <v>0</v>
      </c>
      <c r="B398" s="3">
        <f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>0</v>
      </c>
      <c r="C398" s="3">
        <f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>0</v>
      </c>
      <c r="D398" s="3">
        <f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>0</v>
      </c>
      <c r="E398" s="3">
        <f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>0</v>
      </c>
      <c r="F398" s="3">
        <f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>0</v>
      </c>
      <c r="J398">
        <v>0</v>
      </c>
      <c r="K398">
        <v>0</v>
      </c>
      <c r="L398">
        <v>0</v>
      </c>
      <c r="M398">
        <f>IF(N398,TRUE,AND(Q398:U398))</f>
        <v>0</v>
      </c>
      <c r="N398">
        <f>COUNTBLANK(Metadata!B398:F398)=COLUMNS(Metadata!B398:F398)</f>
        <v>0</v>
      </c>
      <c r="O398">
        <v>0</v>
      </c>
      <c r="Q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>
        <f>AND(IF(Metadata!C398="",FALSE,TRUE),exact(Metadata!C398,"human-skin"))</f>
        <v>0</v>
      </c>
      <c r="S398">
        <f>OR(AND(IF(Metadata!D398="",FALSE,TRUE),OR(exact(Metadata!D398,"missing: not collected"),exact(Metadata!D398,"missing: not provided"))),AND(IF(Metadata!D398="",FALSE,TRUE),OR(exact(Metadata!D398,"UBERON:zone of skin"),exact(Metadata!D398,"UBERON:skin of hand"),exact(Metadata!D398,"UBERON:skin of forehead"))))</f>
        <v>0</v>
      </c>
      <c r="T398">
        <f>AND(IF(Metadata!E398="",FALSE,TRUE),exact(Metadata!E398,"human skin metagenome"))</f>
        <v>0</v>
      </c>
      <c r="U398">
        <f>AND(IF(Metadata!F398="",FALSE,TRUE),exact(Metadata!F398,"539655"))</f>
        <v>0</v>
      </c>
    </row>
    <row r="399" spans="1:21">
      <c r="A399" s="4">
        <f>IF(B399=" "," ",HYPERLINK(CONCATENATE("#metadata!",ADDRESS(INDEX($L$2:$L$1001,MATCH(ROWS($J$2:J399),$J$2:$J$1001,0),0),1)),INDEX($O$2:$O$1001,MATCH(ROWS($J$2:J399),$J$2:$J$1001,0),0)))</f>
        <v>0</v>
      </c>
      <c r="B399" s="3">
        <f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>0</v>
      </c>
      <c r="C399" s="3">
        <f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>0</v>
      </c>
      <c r="D399" s="3">
        <f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>0</v>
      </c>
      <c r="E399" s="3">
        <f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>0</v>
      </c>
      <c r="F399" s="3">
        <f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>0</v>
      </c>
      <c r="J399">
        <v>0</v>
      </c>
      <c r="K399">
        <v>0</v>
      </c>
      <c r="L399">
        <v>0</v>
      </c>
      <c r="M399">
        <f>IF(N399,TRUE,AND(Q399:U399))</f>
        <v>0</v>
      </c>
      <c r="N399">
        <f>COUNTBLANK(Metadata!B399:F399)=COLUMNS(Metadata!B399:F399)</f>
        <v>0</v>
      </c>
      <c r="O399">
        <v>0</v>
      </c>
      <c r="Q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>
        <f>AND(IF(Metadata!C399="",FALSE,TRUE),exact(Metadata!C399,"human-skin"))</f>
        <v>0</v>
      </c>
      <c r="S399">
        <f>OR(AND(IF(Metadata!D399="",FALSE,TRUE),OR(exact(Metadata!D399,"missing: not collected"),exact(Metadata!D399,"missing: not provided"))),AND(IF(Metadata!D399="",FALSE,TRUE),OR(exact(Metadata!D399,"UBERON:zone of skin"),exact(Metadata!D399,"UBERON:skin of hand"),exact(Metadata!D399,"UBERON:skin of forehead"))))</f>
        <v>0</v>
      </c>
      <c r="T399">
        <f>AND(IF(Metadata!E399="",FALSE,TRUE),exact(Metadata!E399,"human skin metagenome"))</f>
        <v>0</v>
      </c>
      <c r="U399">
        <f>AND(IF(Metadata!F399="",FALSE,TRUE),exact(Metadata!F399,"539655"))</f>
        <v>0</v>
      </c>
    </row>
    <row r="400" spans="1:21">
      <c r="A400" s="4">
        <f>IF(B400=" "," ",HYPERLINK(CONCATENATE("#metadata!",ADDRESS(INDEX($L$2:$L$1001,MATCH(ROWS($J$2:J400),$J$2:$J$1001,0),0),1)),INDEX($O$2:$O$1001,MATCH(ROWS($J$2:J400),$J$2:$J$1001,0),0)))</f>
        <v>0</v>
      </c>
      <c r="B400" s="3">
        <f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>0</v>
      </c>
      <c r="C400" s="3">
        <f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>0</v>
      </c>
      <c r="D400" s="3">
        <f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>0</v>
      </c>
      <c r="E400" s="3">
        <f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>0</v>
      </c>
      <c r="F400" s="3">
        <f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>0</v>
      </c>
      <c r="J400">
        <v>0</v>
      </c>
      <c r="K400">
        <v>0</v>
      </c>
      <c r="L400">
        <v>0</v>
      </c>
      <c r="M400">
        <f>IF(N400,TRUE,AND(Q400:U400))</f>
        <v>0</v>
      </c>
      <c r="N400">
        <f>COUNTBLANK(Metadata!B400:F400)=COLUMNS(Metadata!B400:F400)</f>
        <v>0</v>
      </c>
      <c r="O400">
        <v>0</v>
      </c>
      <c r="Q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>
        <f>AND(IF(Metadata!C400="",FALSE,TRUE),exact(Metadata!C400,"human-skin"))</f>
        <v>0</v>
      </c>
      <c r="S400">
        <f>OR(AND(IF(Metadata!D400="",FALSE,TRUE),OR(exact(Metadata!D400,"missing: not collected"),exact(Metadata!D400,"missing: not provided"))),AND(IF(Metadata!D400="",FALSE,TRUE),OR(exact(Metadata!D400,"UBERON:zone of skin"),exact(Metadata!D400,"UBERON:skin of hand"),exact(Metadata!D400,"UBERON:skin of forehead"))))</f>
        <v>0</v>
      </c>
      <c r="T400">
        <f>AND(IF(Metadata!E400="",FALSE,TRUE),exact(Metadata!E400,"human skin metagenome"))</f>
        <v>0</v>
      </c>
      <c r="U400">
        <f>AND(IF(Metadata!F400="",FALSE,TRUE),exact(Metadata!F400,"539655"))</f>
        <v>0</v>
      </c>
    </row>
    <row r="401" spans="1:21">
      <c r="A401" s="4">
        <f>IF(B401=" "," ",HYPERLINK(CONCATENATE("#metadata!",ADDRESS(INDEX($L$2:$L$1001,MATCH(ROWS($J$2:J401),$J$2:$J$1001,0),0),1)),INDEX($O$2:$O$1001,MATCH(ROWS($J$2:J401),$J$2:$J$1001,0),0)))</f>
        <v>0</v>
      </c>
      <c r="B401" s="3">
        <f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>0</v>
      </c>
      <c r="C401" s="3">
        <f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>0</v>
      </c>
      <c r="D401" s="3">
        <f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>0</v>
      </c>
      <c r="E401" s="3">
        <f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>0</v>
      </c>
      <c r="F401" s="3">
        <f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>0</v>
      </c>
      <c r="J401">
        <v>0</v>
      </c>
      <c r="K401">
        <v>0</v>
      </c>
      <c r="L401">
        <v>0</v>
      </c>
      <c r="M401">
        <f>IF(N401,TRUE,AND(Q401:U401))</f>
        <v>0</v>
      </c>
      <c r="N401">
        <f>COUNTBLANK(Metadata!B401:F401)=COLUMNS(Metadata!B401:F401)</f>
        <v>0</v>
      </c>
      <c r="O401">
        <v>0</v>
      </c>
      <c r="Q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>
        <f>AND(IF(Metadata!C401="",FALSE,TRUE),exact(Metadata!C401,"human-skin"))</f>
        <v>0</v>
      </c>
      <c r="S401">
        <f>OR(AND(IF(Metadata!D401="",FALSE,TRUE),OR(exact(Metadata!D401,"missing: not collected"),exact(Metadata!D401,"missing: not provided"))),AND(IF(Metadata!D401="",FALSE,TRUE),OR(exact(Metadata!D401,"UBERON:zone of skin"),exact(Metadata!D401,"UBERON:skin of hand"),exact(Metadata!D401,"UBERON:skin of forehead"))))</f>
        <v>0</v>
      </c>
      <c r="T401">
        <f>AND(IF(Metadata!E401="",FALSE,TRUE),exact(Metadata!E401,"human skin metagenome"))</f>
        <v>0</v>
      </c>
      <c r="U401">
        <f>AND(IF(Metadata!F401="",FALSE,TRUE),exact(Metadata!F401,"539655"))</f>
        <v>0</v>
      </c>
    </row>
    <row r="402" spans="1:21">
      <c r="A402" s="4">
        <f>IF(B402=" "," ",HYPERLINK(CONCATENATE("#metadata!",ADDRESS(INDEX($L$2:$L$1001,MATCH(ROWS($J$2:J402),$J$2:$J$1001,0),0),1)),INDEX($O$2:$O$1001,MATCH(ROWS($J$2:J402),$J$2:$J$1001,0),0)))</f>
        <v>0</v>
      </c>
      <c r="B402" s="3">
        <f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>0</v>
      </c>
      <c r="C402" s="3">
        <f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>0</v>
      </c>
      <c r="D402" s="3">
        <f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>0</v>
      </c>
      <c r="E402" s="3">
        <f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>0</v>
      </c>
      <c r="F402" s="3">
        <f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>0</v>
      </c>
      <c r="J402">
        <v>0</v>
      </c>
      <c r="K402">
        <v>0</v>
      </c>
      <c r="L402">
        <v>0</v>
      </c>
      <c r="M402">
        <f>IF(N402,TRUE,AND(Q402:U402))</f>
        <v>0</v>
      </c>
      <c r="N402">
        <f>COUNTBLANK(Metadata!B402:F402)=COLUMNS(Metadata!B402:F402)</f>
        <v>0</v>
      </c>
      <c r="O402">
        <v>0</v>
      </c>
      <c r="Q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>
        <f>AND(IF(Metadata!C402="",FALSE,TRUE),exact(Metadata!C402,"human-skin"))</f>
        <v>0</v>
      </c>
      <c r="S402">
        <f>OR(AND(IF(Metadata!D402="",FALSE,TRUE),OR(exact(Metadata!D402,"missing: not collected"),exact(Metadata!D402,"missing: not provided"))),AND(IF(Metadata!D402="",FALSE,TRUE),OR(exact(Metadata!D402,"UBERON:zone of skin"),exact(Metadata!D402,"UBERON:skin of hand"),exact(Metadata!D402,"UBERON:skin of forehead"))))</f>
        <v>0</v>
      </c>
      <c r="T402">
        <f>AND(IF(Metadata!E402="",FALSE,TRUE),exact(Metadata!E402,"human skin metagenome"))</f>
        <v>0</v>
      </c>
      <c r="U402">
        <f>AND(IF(Metadata!F402="",FALSE,TRUE),exact(Metadata!F402,"539655"))</f>
        <v>0</v>
      </c>
    </row>
    <row r="403" spans="1:21">
      <c r="A403" s="4">
        <f>IF(B403=" "," ",HYPERLINK(CONCATENATE("#metadata!",ADDRESS(INDEX($L$2:$L$1001,MATCH(ROWS($J$2:J403),$J$2:$J$1001,0),0),1)),INDEX($O$2:$O$1001,MATCH(ROWS($J$2:J403),$J$2:$J$1001,0),0)))</f>
        <v>0</v>
      </c>
      <c r="B403" s="3">
        <f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>0</v>
      </c>
      <c r="C403" s="3">
        <f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>0</v>
      </c>
      <c r="D403" s="3">
        <f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>0</v>
      </c>
      <c r="E403" s="3">
        <f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>0</v>
      </c>
      <c r="F403" s="3">
        <f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>0</v>
      </c>
      <c r="J403">
        <v>0</v>
      </c>
      <c r="K403">
        <v>0</v>
      </c>
      <c r="L403">
        <v>0</v>
      </c>
      <c r="M403">
        <f>IF(N403,TRUE,AND(Q403:U403))</f>
        <v>0</v>
      </c>
      <c r="N403">
        <f>COUNTBLANK(Metadata!B403:F403)=COLUMNS(Metadata!B403:F403)</f>
        <v>0</v>
      </c>
      <c r="O403">
        <v>0</v>
      </c>
      <c r="Q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>
        <f>AND(IF(Metadata!C403="",FALSE,TRUE),exact(Metadata!C403,"human-skin"))</f>
        <v>0</v>
      </c>
      <c r="S403">
        <f>OR(AND(IF(Metadata!D403="",FALSE,TRUE),OR(exact(Metadata!D403,"missing: not collected"),exact(Metadata!D403,"missing: not provided"))),AND(IF(Metadata!D403="",FALSE,TRUE),OR(exact(Metadata!D403,"UBERON:zone of skin"),exact(Metadata!D403,"UBERON:skin of hand"),exact(Metadata!D403,"UBERON:skin of forehead"))))</f>
        <v>0</v>
      </c>
      <c r="T403">
        <f>AND(IF(Metadata!E403="",FALSE,TRUE),exact(Metadata!E403,"human skin metagenome"))</f>
        <v>0</v>
      </c>
      <c r="U403">
        <f>AND(IF(Metadata!F403="",FALSE,TRUE),exact(Metadata!F403,"539655"))</f>
        <v>0</v>
      </c>
    </row>
    <row r="404" spans="1:21">
      <c r="A404" s="4">
        <f>IF(B404=" "," ",HYPERLINK(CONCATENATE("#metadata!",ADDRESS(INDEX($L$2:$L$1001,MATCH(ROWS($J$2:J404),$J$2:$J$1001,0),0),1)),INDEX($O$2:$O$1001,MATCH(ROWS($J$2:J404),$J$2:$J$1001,0),0)))</f>
        <v>0</v>
      </c>
      <c r="B404" s="3">
        <f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>0</v>
      </c>
      <c r="C404" s="3">
        <f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>0</v>
      </c>
      <c r="D404" s="3">
        <f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>0</v>
      </c>
      <c r="E404" s="3">
        <f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>0</v>
      </c>
      <c r="F404" s="3">
        <f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>0</v>
      </c>
      <c r="J404">
        <v>0</v>
      </c>
      <c r="K404">
        <v>0</v>
      </c>
      <c r="L404">
        <v>0</v>
      </c>
      <c r="M404">
        <f>IF(N404,TRUE,AND(Q404:U404))</f>
        <v>0</v>
      </c>
      <c r="N404">
        <f>COUNTBLANK(Metadata!B404:F404)=COLUMNS(Metadata!B404:F404)</f>
        <v>0</v>
      </c>
      <c r="O404">
        <v>0</v>
      </c>
      <c r="Q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>
        <f>AND(IF(Metadata!C404="",FALSE,TRUE),exact(Metadata!C404,"human-skin"))</f>
        <v>0</v>
      </c>
      <c r="S404">
        <f>OR(AND(IF(Metadata!D404="",FALSE,TRUE),OR(exact(Metadata!D404,"missing: not collected"),exact(Metadata!D404,"missing: not provided"))),AND(IF(Metadata!D404="",FALSE,TRUE),OR(exact(Metadata!D404,"UBERON:zone of skin"),exact(Metadata!D404,"UBERON:skin of hand"),exact(Metadata!D404,"UBERON:skin of forehead"))))</f>
        <v>0</v>
      </c>
      <c r="T404">
        <f>AND(IF(Metadata!E404="",FALSE,TRUE),exact(Metadata!E404,"human skin metagenome"))</f>
        <v>0</v>
      </c>
      <c r="U404">
        <f>AND(IF(Metadata!F404="",FALSE,TRUE),exact(Metadata!F404,"539655"))</f>
        <v>0</v>
      </c>
    </row>
    <row r="405" spans="1:21">
      <c r="A405" s="4">
        <f>IF(B405=" "," ",HYPERLINK(CONCATENATE("#metadata!",ADDRESS(INDEX($L$2:$L$1001,MATCH(ROWS($J$2:J405),$J$2:$J$1001,0),0),1)),INDEX($O$2:$O$1001,MATCH(ROWS($J$2:J405),$J$2:$J$1001,0),0)))</f>
        <v>0</v>
      </c>
      <c r="B405" s="3">
        <f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>0</v>
      </c>
      <c r="C405" s="3">
        <f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>0</v>
      </c>
      <c r="D405" s="3">
        <f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>0</v>
      </c>
      <c r="E405" s="3">
        <f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>0</v>
      </c>
      <c r="F405" s="3">
        <f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>0</v>
      </c>
      <c r="J405">
        <v>0</v>
      </c>
      <c r="K405">
        <v>0</v>
      </c>
      <c r="L405">
        <v>0</v>
      </c>
      <c r="M405">
        <f>IF(N405,TRUE,AND(Q405:U405))</f>
        <v>0</v>
      </c>
      <c r="N405">
        <f>COUNTBLANK(Metadata!B405:F405)=COLUMNS(Metadata!B405:F405)</f>
        <v>0</v>
      </c>
      <c r="O405">
        <v>0</v>
      </c>
      <c r="Q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>
        <f>AND(IF(Metadata!C405="",FALSE,TRUE),exact(Metadata!C405,"human-skin"))</f>
        <v>0</v>
      </c>
      <c r="S405">
        <f>OR(AND(IF(Metadata!D405="",FALSE,TRUE),OR(exact(Metadata!D405,"missing: not collected"),exact(Metadata!D405,"missing: not provided"))),AND(IF(Metadata!D405="",FALSE,TRUE),OR(exact(Metadata!D405,"UBERON:zone of skin"),exact(Metadata!D405,"UBERON:skin of hand"),exact(Metadata!D405,"UBERON:skin of forehead"))))</f>
        <v>0</v>
      </c>
      <c r="T405">
        <f>AND(IF(Metadata!E405="",FALSE,TRUE),exact(Metadata!E405,"human skin metagenome"))</f>
        <v>0</v>
      </c>
      <c r="U405">
        <f>AND(IF(Metadata!F405="",FALSE,TRUE),exact(Metadata!F405,"539655"))</f>
        <v>0</v>
      </c>
    </row>
    <row r="406" spans="1:21">
      <c r="A406" s="4">
        <f>IF(B406=" "," ",HYPERLINK(CONCATENATE("#metadata!",ADDRESS(INDEX($L$2:$L$1001,MATCH(ROWS($J$2:J406),$J$2:$J$1001,0),0),1)),INDEX($O$2:$O$1001,MATCH(ROWS($J$2:J406),$J$2:$J$1001,0),0)))</f>
        <v>0</v>
      </c>
      <c r="B406" s="3">
        <f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>0</v>
      </c>
      <c r="C406" s="3">
        <f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>0</v>
      </c>
      <c r="D406" s="3">
        <f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>0</v>
      </c>
      <c r="E406" s="3">
        <f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>0</v>
      </c>
      <c r="F406" s="3">
        <f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>0</v>
      </c>
      <c r="J406">
        <v>0</v>
      </c>
      <c r="K406">
        <v>0</v>
      </c>
      <c r="L406">
        <v>0</v>
      </c>
      <c r="M406">
        <f>IF(N406,TRUE,AND(Q406:U406))</f>
        <v>0</v>
      </c>
      <c r="N406">
        <f>COUNTBLANK(Metadata!B406:F406)=COLUMNS(Metadata!B406:F406)</f>
        <v>0</v>
      </c>
      <c r="O406">
        <v>0</v>
      </c>
      <c r="Q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>
        <f>AND(IF(Metadata!C406="",FALSE,TRUE),exact(Metadata!C406,"human-skin"))</f>
        <v>0</v>
      </c>
      <c r="S406">
        <f>OR(AND(IF(Metadata!D406="",FALSE,TRUE),OR(exact(Metadata!D406,"missing: not collected"),exact(Metadata!D406,"missing: not provided"))),AND(IF(Metadata!D406="",FALSE,TRUE),OR(exact(Metadata!D406,"UBERON:zone of skin"),exact(Metadata!D406,"UBERON:skin of hand"),exact(Metadata!D406,"UBERON:skin of forehead"))))</f>
        <v>0</v>
      </c>
      <c r="T406">
        <f>AND(IF(Metadata!E406="",FALSE,TRUE),exact(Metadata!E406,"human skin metagenome"))</f>
        <v>0</v>
      </c>
      <c r="U406">
        <f>AND(IF(Metadata!F406="",FALSE,TRUE),exact(Metadata!F406,"539655"))</f>
        <v>0</v>
      </c>
    </row>
    <row r="407" spans="1:21">
      <c r="A407" s="4">
        <f>IF(B407=" "," ",HYPERLINK(CONCATENATE("#metadata!",ADDRESS(INDEX($L$2:$L$1001,MATCH(ROWS($J$2:J407),$J$2:$J$1001,0),0),1)),INDEX($O$2:$O$1001,MATCH(ROWS($J$2:J407),$J$2:$J$1001,0),0)))</f>
        <v>0</v>
      </c>
      <c r="B407" s="3">
        <f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>0</v>
      </c>
      <c r="C407" s="3">
        <f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>0</v>
      </c>
      <c r="D407" s="3">
        <f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>0</v>
      </c>
      <c r="E407" s="3">
        <f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>0</v>
      </c>
      <c r="F407" s="3">
        <f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>0</v>
      </c>
      <c r="J407">
        <v>0</v>
      </c>
      <c r="K407">
        <v>0</v>
      </c>
      <c r="L407">
        <v>0</v>
      </c>
      <c r="M407">
        <f>IF(N407,TRUE,AND(Q407:U407))</f>
        <v>0</v>
      </c>
      <c r="N407">
        <f>COUNTBLANK(Metadata!B407:F407)=COLUMNS(Metadata!B407:F407)</f>
        <v>0</v>
      </c>
      <c r="O407">
        <v>0</v>
      </c>
      <c r="Q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>
        <f>AND(IF(Metadata!C407="",FALSE,TRUE),exact(Metadata!C407,"human-skin"))</f>
        <v>0</v>
      </c>
      <c r="S407">
        <f>OR(AND(IF(Metadata!D407="",FALSE,TRUE),OR(exact(Metadata!D407,"missing: not collected"),exact(Metadata!D407,"missing: not provided"))),AND(IF(Metadata!D407="",FALSE,TRUE),OR(exact(Metadata!D407,"UBERON:zone of skin"),exact(Metadata!D407,"UBERON:skin of hand"),exact(Metadata!D407,"UBERON:skin of forehead"))))</f>
        <v>0</v>
      </c>
      <c r="T407">
        <f>AND(IF(Metadata!E407="",FALSE,TRUE),exact(Metadata!E407,"human skin metagenome"))</f>
        <v>0</v>
      </c>
      <c r="U407">
        <f>AND(IF(Metadata!F407="",FALSE,TRUE),exact(Metadata!F407,"539655"))</f>
        <v>0</v>
      </c>
    </row>
    <row r="408" spans="1:21">
      <c r="A408" s="4">
        <f>IF(B408=" "," ",HYPERLINK(CONCATENATE("#metadata!",ADDRESS(INDEX($L$2:$L$1001,MATCH(ROWS($J$2:J408),$J$2:$J$1001,0),0),1)),INDEX($O$2:$O$1001,MATCH(ROWS($J$2:J408),$J$2:$J$1001,0),0)))</f>
        <v>0</v>
      </c>
      <c r="B408" s="3">
        <f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>0</v>
      </c>
      <c r="C408" s="3">
        <f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>0</v>
      </c>
      <c r="D408" s="3">
        <f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>0</v>
      </c>
      <c r="E408" s="3">
        <f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>0</v>
      </c>
      <c r="F408" s="3">
        <f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>0</v>
      </c>
      <c r="J408">
        <v>0</v>
      </c>
      <c r="K408">
        <v>0</v>
      </c>
      <c r="L408">
        <v>0</v>
      </c>
      <c r="M408">
        <f>IF(N408,TRUE,AND(Q408:U408))</f>
        <v>0</v>
      </c>
      <c r="N408">
        <f>COUNTBLANK(Metadata!B408:F408)=COLUMNS(Metadata!B408:F408)</f>
        <v>0</v>
      </c>
      <c r="O408">
        <v>0</v>
      </c>
      <c r="Q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>
        <f>AND(IF(Metadata!C408="",FALSE,TRUE),exact(Metadata!C408,"human-skin"))</f>
        <v>0</v>
      </c>
      <c r="S408">
        <f>OR(AND(IF(Metadata!D408="",FALSE,TRUE),OR(exact(Metadata!D408,"missing: not collected"),exact(Metadata!D408,"missing: not provided"))),AND(IF(Metadata!D408="",FALSE,TRUE),OR(exact(Metadata!D408,"UBERON:zone of skin"),exact(Metadata!D408,"UBERON:skin of hand"),exact(Metadata!D408,"UBERON:skin of forehead"))))</f>
        <v>0</v>
      </c>
      <c r="T408">
        <f>AND(IF(Metadata!E408="",FALSE,TRUE),exact(Metadata!E408,"human skin metagenome"))</f>
        <v>0</v>
      </c>
      <c r="U408">
        <f>AND(IF(Metadata!F408="",FALSE,TRUE),exact(Metadata!F408,"539655"))</f>
        <v>0</v>
      </c>
    </row>
    <row r="409" spans="1:21">
      <c r="A409" s="4">
        <f>IF(B409=" "," ",HYPERLINK(CONCATENATE("#metadata!",ADDRESS(INDEX($L$2:$L$1001,MATCH(ROWS($J$2:J409),$J$2:$J$1001,0),0),1)),INDEX($O$2:$O$1001,MATCH(ROWS($J$2:J409),$J$2:$J$1001,0),0)))</f>
        <v>0</v>
      </c>
      <c r="B409" s="3">
        <f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>0</v>
      </c>
      <c r="C409" s="3">
        <f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>0</v>
      </c>
      <c r="D409" s="3">
        <f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>0</v>
      </c>
      <c r="E409" s="3">
        <f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>0</v>
      </c>
      <c r="F409" s="3">
        <f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>0</v>
      </c>
      <c r="J409">
        <v>0</v>
      </c>
      <c r="K409">
        <v>0</v>
      </c>
      <c r="L409">
        <v>0</v>
      </c>
      <c r="M409">
        <f>IF(N409,TRUE,AND(Q409:U409))</f>
        <v>0</v>
      </c>
      <c r="N409">
        <f>COUNTBLANK(Metadata!B409:F409)=COLUMNS(Metadata!B409:F409)</f>
        <v>0</v>
      </c>
      <c r="O409">
        <v>0</v>
      </c>
      <c r="Q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>
        <f>AND(IF(Metadata!C409="",FALSE,TRUE),exact(Metadata!C409,"human-skin"))</f>
        <v>0</v>
      </c>
      <c r="S409">
        <f>OR(AND(IF(Metadata!D409="",FALSE,TRUE),OR(exact(Metadata!D409,"missing: not collected"),exact(Metadata!D409,"missing: not provided"))),AND(IF(Metadata!D409="",FALSE,TRUE),OR(exact(Metadata!D409,"UBERON:zone of skin"),exact(Metadata!D409,"UBERON:skin of hand"),exact(Metadata!D409,"UBERON:skin of forehead"))))</f>
        <v>0</v>
      </c>
      <c r="T409">
        <f>AND(IF(Metadata!E409="",FALSE,TRUE),exact(Metadata!E409,"human skin metagenome"))</f>
        <v>0</v>
      </c>
      <c r="U409">
        <f>AND(IF(Metadata!F409="",FALSE,TRUE),exact(Metadata!F409,"539655"))</f>
        <v>0</v>
      </c>
    </row>
    <row r="410" spans="1:21">
      <c r="A410" s="4">
        <f>IF(B410=" "," ",HYPERLINK(CONCATENATE("#metadata!",ADDRESS(INDEX($L$2:$L$1001,MATCH(ROWS($J$2:J410),$J$2:$J$1001,0),0),1)),INDEX($O$2:$O$1001,MATCH(ROWS($J$2:J410),$J$2:$J$1001,0),0)))</f>
        <v>0</v>
      </c>
      <c r="B410" s="3">
        <f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>0</v>
      </c>
      <c r="C410" s="3">
        <f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>0</v>
      </c>
      <c r="D410" s="3">
        <f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>0</v>
      </c>
      <c r="E410" s="3">
        <f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>0</v>
      </c>
      <c r="F410" s="3">
        <f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>0</v>
      </c>
      <c r="J410">
        <v>0</v>
      </c>
      <c r="K410">
        <v>0</v>
      </c>
      <c r="L410">
        <v>0</v>
      </c>
      <c r="M410">
        <f>IF(N410,TRUE,AND(Q410:U410))</f>
        <v>0</v>
      </c>
      <c r="N410">
        <f>COUNTBLANK(Metadata!B410:F410)=COLUMNS(Metadata!B410:F410)</f>
        <v>0</v>
      </c>
      <c r="O410">
        <v>0</v>
      </c>
      <c r="Q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>
        <f>AND(IF(Metadata!C410="",FALSE,TRUE),exact(Metadata!C410,"human-skin"))</f>
        <v>0</v>
      </c>
      <c r="S410">
        <f>OR(AND(IF(Metadata!D410="",FALSE,TRUE),OR(exact(Metadata!D410,"missing: not collected"),exact(Metadata!D410,"missing: not provided"))),AND(IF(Metadata!D410="",FALSE,TRUE),OR(exact(Metadata!D410,"UBERON:zone of skin"),exact(Metadata!D410,"UBERON:skin of hand"),exact(Metadata!D410,"UBERON:skin of forehead"))))</f>
        <v>0</v>
      </c>
      <c r="T410">
        <f>AND(IF(Metadata!E410="",FALSE,TRUE),exact(Metadata!E410,"human skin metagenome"))</f>
        <v>0</v>
      </c>
      <c r="U410">
        <f>AND(IF(Metadata!F410="",FALSE,TRUE),exact(Metadata!F410,"539655"))</f>
        <v>0</v>
      </c>
    </row>
    <row r="411" spans="1:21">
      <c r="A411" s="4">
        <f>IF(B411=" "," ",HYPERLINK(CONCATENATE("#metadata!",ADDRESS(INDEX($L$2:$L$1001,MATCH(ROWS($J$2:J411),$J$2:$J$1001,0),0),1)),INDEX($O$2:$O$1001,MATCH(ROWS($J$2:J411),$J$2:$J$1001,0),0)))</f>
        <v>0</v>
      </c>
      <c r="B411" s="3">
        <f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>0</v>
      </c>
      <c r="C411" s="3">
        <f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>0</v>
      </c>
      <c r="D411" s="3">
        <f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>0</v>
      </c>
      <c r="E411" s="3">
        <f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>0</v>
      </c>
      <c r="F411" s="3">
        <f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>0</v>
      </c>
      <c r="J411">
        <v>0</v>
      </c>
      <c r="K411">
        <v>0</v>
      </c>
      <c r="L411">
        <v>0</v>
      </c>
      <c r="M411">
        <f>IF(N411,TRUE,AND(Q411:U411))</f>
        <v>0</v>
      </c>
      <c r="N411">
        <f>COUNTBLANK(Metadata!B411:F411)=COLUMNS(Metadata!B411:F411)</f>
        <v>0</v>
      </c>
      <c r="O411">
        <v>0</v>
      </c>
      <c r="Q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>
        <f>AND(IF(Metadata!C411="",FALSE,TRUE),exact(Metadata!C411,"human-skin"))</f>
        <v>0</v>
      </c>
      <c r="S411">
        <f>OR(AND(IF(Metadata!D411="",FALSE,TRUE),OR(exact(Metadata!D411,"missing: not collected"),exact(Metadata!D411,"missing: not provided"))),AND(IF(Metadata!D411="",FALSE,TRUE),OR(exact(Metadata!D411,"UBERON:zone of skin"),exact(Metadata!D411,"UBERON:skin of hand"),exact(Metadata!D411,"UBERON:skin of forehead"))))</f>
        <v>0</v>
      </c>
      <c r="T411">
        <f>AND(IF(Metadata!E411="",FALSE,TRUE),exact(Metadata!E411,"human skin metagenome"))</f>
        <v>0</v>
      </c>
      <c r="U411">
        <f>AND(IF(Metadata!F411="",FALSE,TRUE),exact(Metadata!F411,"539655"))</f>
        <v>0</v>
      </c>
    </row>
    <row r="412" spans="1:21">
      <c r="A412" s="4">
        <f>IF(B412=" "," ",HYPERLINK(CONCATENATE("#metadata!",ADDRESS(INDEX($L$2:$L$1001,MATCH(ROWS($J$2:J412),$J$2:$J$1001,0),0),1)),INDEX($O$2:$O$1001,MATCH(ROWS($J$2:J412),$J$2:$J$1001,0),0)))</f>
        <v>0</v>
      </c>
      <c r="B412" s="3">
        <f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>0</v>
      </c>
      <c r="C412" s="3">
        <f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>0</v>
      </c>
      <c r="D412" s="3">
        <f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>0</v>
      </c>
      <c r="E412" s="3">
        <f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>0</v>
      </c>
      <c r="F412" s="3">
        <f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>0</v>
      </c>
      <c r="J412">
        <v>0</v>
      </c>
      <c r="K412">
        <v>0</v>
      </c>
      <c r="L412">
        <v>0</v>
      </c>
      <c r="M412">
        <f>IF(N412,TRUE,AND(Q412:U412))</f>
        <v>0</v>
      </c>
      <c r="N412">
        <f>COUNTBLANK(Metadata!B412:F412)=COLUMNS(Metadata!B412:F412)</f>
        <v>0</v>
      </c>
      <c r="O412">
        <v>0</v>
      </c>
      <c r="Q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>
        <f>AND(IF(Metadata!C412="",FALSE,TRUE),exact(Metadata!C412,"human-skin"))</f>
        <v>0</v>
      </c>
      <c r="S412">
        <f>OR(AND(IF(Metadata!D412="",FALSE,TRUE),OR(exact(Metadata!D412,"missing: not collected"),exact(Metadata!D412,"missing: not provided"))),AND(IF(Metadata!D412="",FALSE,TRUE),OR(exact(Metadata!D412,"UBERON:zone of skin"),exact(Metadata!D412,"UBERON:skin of hand"),exact(Metadata!D412,"UBERON:skin of forehead"))))</f>
        <v>0</v>
      </c>
      <c r="T412">
        <f>AND(IF(Metadata!E412="",FALSE,TRUE),exact(Metadata!E412,"human skin metagenome"))</f>
        <v>0</v>
      </c>
      <c r="U412">
        <f>AND(IF(Metadata!F412="",FALSE,TRUE),exact(Metadata!F412,"539655"))</f>
        <v>0</v>
      </c>
    </row>
    <row r="413" spans="1:21">
      <c r="A413" s="4">
        <f>IF(B413=" "," ",HYPERLINK(CONCATENATE("#metadata!",ADDRESS(INDEX($L$2:$L$1001,MATCH(ROWS($J$2:J413),$J$2:$J$1001,0),0),1)),INDEX($O$2:$O$1001,MATCH(ROWS($J$2:J413),$J$2:$J$1001,0),0)))</f>
        <v>0</v>
      </c>
      <c r="B413" s="3">
        <f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>0</v>
      </c>
      <c r="C413" s="3">
        <f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>0</v>
      </c>
      <c r="D413" s="3">
        <f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>0</v>
      </c>
      <c r="E413" s="3">
        <f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>0</v>
      </c>
      <c r="F413" s="3">
        <f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>0</v>
      </c>
      <c r="J413">
        <v>0</v>
      </c>
      <c r="K413">
        <v>0</v>
      </c>
      <c r="L413">
        <v>0</v>
      </c>
      <c r="M413">
        <f>IF(N413,TRUE,AND(Q413:U413))</f>
        <v>0</v>
      </c>
      <c r="N413">
        <f>COUNTBLANK(Metadata!B413:F413)=COLUMNS(Metadata!B413:F413)</f>
        <v>0</v>
      </c>
      <c r="O413">
        <v>0</v>
      </c>
      <c r="Q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>
        <f>AND(IF(Metadata!C413="",FALSE,TRUE),exact(Metadata!C413,"human-skin"))</f>
        <v>0</v>
      </c>
      <c r="S413">
        <f>OR(AND(IF(Metadata!D413="",FALSE,TRUE),OR(exact(Metadata!D413,"missing: not collected"),exact(Metadata!D413,"missing: not provided"))),AND(IF(Metadata!D413="",FALSE,TRUE),OR(exact(Metadata!D413,"UBERON:zone of skin"),exact(Metadata!D413,"UBERON:skin of hand"),exact(Metadata!D413,"UBERON:skin of forehead"))))</f>
        <v>0</v>
      </c>
      <c r="T413">
        <f>AND(IF(Metadata!E413="",FALSE,TRUE),exact(Metadata!E413,"human skin metagenome"))</f>
        <v>0</v>
      </c>
      <c r="U413">
        <f>AND(IF(Metadata!F413="",FALSE,TRUE),exact(Metadata!F413,"539655"))</f>
        <v>0</v>
      </c>
    </row>
    <row r="414" spans="1:21">
      <c r="A414" s="4">
        <f>IF(B414=" "," ",HYPERLINK(CONCATENATE("#metadata!",ADDRESS(INDEX($L$2:$L$1001,MATCH(ROWS($J$2:J414),$J$2:$J$1001,0),0),1)),INDEX($O$2:$O$1001,MATCH(ROWS($J$2:J414),$J$2:$J$1001,0),0)))</f>
        <v>0</v>
      </c>
      <c r="B414" s="3">
        <f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>0</v>
      </c>
      <c r="C414" s="3">
        <f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>0</v>
      </c>
      <c r="D414" s="3">
        <f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>0</v>
      </c>
      <c r="E414" s="3">
        <f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>0</v>
      </c>
      <c r="F414" s="3">
        <f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>0</v>
      </c>
      <c r="J414">
        <v>0</v>
      </c>
      <c r="K414">
        <v>0</v>
      </c>
      <c r="L414">
        <v>0</v>
      </c>
      <c r="M414">
        <f>IF(N414,TRUE,AND(Q414:U414))</f>
        <v>0</v>
      </c>
      <c r="N414">
        <f>COUNTBLANK(Metadata!B414:F414)=COLUMNS(Metadata!B414:F414)</f>
        <v>0</v>
      </c>
      <c r="O414">
        <v>0</v>
      </c>
      <c r="Q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>
        <f>AND(IF(Metadata!C414="",FALSE,TRUE),exact(Metadata!C414,"human-skin"))</f>
        <v>0</v>
      </c>
      <c r="S414">
        <f>OR(AND(IF(Metadata!D414="",FALSE,TRUE),OR(exact(Metadata!D414,"missing: not collected"),exact(Metadata!D414,"missing: not provided"))),AND(IF(Metadata!D414="",FALSE,TRUE),OR(exact(Metadata!D414,"UBERON:zone of skin"),exact(Metadata!D414,"UBERON:skin of hand"),exact(Metadata!D414,"UBERON:skin of forehead"))))</f>
        <v>0</v>
      </c>
      <c r="T414">
        <f>AND(IF(Metadata!E414="",FALSE,TRUE),exact(Metadata!E414,"human skin metagenome"))</f>
        <v>0</v>
      </c>
      <c r="U414">
        <f>AND(IF(Metadata!F414="",FALSE,TRUE),exact(Metadata!F414,"539655"))</f>
        <v>0</v>
      </c>
    </row>
    <row r="415" spans="1:21">
      <c r="A415" s="4">
        <f>IF(B415=" "," ",HYPERLINK(CONCATENATE("#metadata!",ADDRESS(INDEX($L$2:$L$1001,MATCH(ROWS($J$2:J415),$J$2:$J$1001,0),0),1)),INDEX($O$2:$O$1001,MATCH(ROWS($J$2:J415),$J$2:$J$1001,0),0)))</f>
        <v>0</v>
      </c>
      <c r="B415" s="3">
        <f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>0</v>
      </c>
      <c r="C415" s="3">
        <f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>0</v>
      </c>
      <c r="D415" s="3">
        <f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>0</v>
      </c>
      <c r="E415" s="3">
        <f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>0</v>
      </c>
      <c r="F415" s="3">
        <f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>0</v>
      </c>
      <c r="J415">
        <v>0</v>
      </c>
      <c r="K415">
        <v>0</v>
      </c>
      <c r="L415">
        <v>0</v>
      </c>
      <c r="M415">
        <f>IF(N415,TRUE,AND(Q415:U415))</f>
        <v>0</v>
      </c>
      <c r="N415">
        <f>COUNTBLANK(Metadata!B415:F415)=COLUMNS(Metadata!B415:F415)</f>
        <v>0</v>
      </c>
      <c r="O415">
        <v>0</v>
      </c>
      <c r="Q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>
        <f>AND(IF(Metadata!C415="",FALSE,TRUE),exact(Metadata!C415,"human-skin"))</f>
        <v>0</v>
      </c>
      <c r="S415">
        <f>OR(AND(IF(Metadata!D415="",FALSE,TRUE),OR(exact(Metadata!D415,"missing: not collected"),exact(Metadata!D415,"missing: not provided"))),AND(IF(Metadata!D415="",FALSE,TRUE),OR(exact(Metadata!D415,"UBERON:zone of skin"),exact(Metadata!D415,"UBERON:skin of hand"),exact(Metadata!D415,"UBERON:skin of forehead"))))</f>
        <v>0</v>
      </c>
      <c r="T415">
        <f>AND(IF(Metadata!E415="",FALSE,TRUE),exact(Metadata!E415,"human skin metagenome"))</f>
        <v>0</v>
      </c>
      <c r="U415">
        <f>AND(IF(Metadata!F415="",FALSE,TRUE),exact(Metadata!F415,"539655"))</f>
        <v>0</v>
      </c>
    </row>
    <row r="416" spans="1:21">
      <c r="A416" s="4">
        <f>IF(B416=" "," ",HYPERLINK(CONCATENATE("#metadata!",ADDRESS(INDEX($L$2:$L$1001,MATCH(ROWS($J$2:J416),$J$2:$J$1001,0),0),1)),INDEX($O$2:$O$1001,MATCH(ROWS($J$2:J416),$J$2:$J$1001,0),0)))</f>
        <v>0</v>
      </c>
      <c r="B416" s="3">
        <f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>0</v>
      </c>
      <c r="C416" s="3">
        <f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>0</v>
      </c>
      <c r="D416" s="3">
        <f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>0</v>
      </c>
      <c r="E416" s="3">
        <f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>0</v>
      </c>
      <c r="F416" s="3">
        <f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>0</v>
      </c>
      <c r="J416">
        <v>0</v>
      </c>
      <c r="K416">
        <v>0</v>
      </c>
      <c r="L416">
        <v>0</v>
      </c>
      <c r="M416">
        <f>IF(N416,TRUE,AND(Q416:U416))</f>
        <v>0</v>
      </c>
      <c r="N416">
        <f>COUNTBLANK(Metadata!B416:F416)=COLUMNS(Metadata!B416:F416)</f>
        <v>0</v>
      </c>
      <c r="O416">
        <v>0</v>
      </c>
      <c r="Q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>
        <f>AND(IF(Metadata!C416="",FALSE,TRUE),exact(Metadata!C416,"human-skin"))</f>
        <v>0</v>
      </c>
      <c r="S416">
        <f>OR(AND(IF(Metadata!D416="",FALSE,TRUE),OR(exact(Metadata!D416,"missing: not collected"),exact(Metadata!D416,"missing: not provided"))),AND(IF(Metadata!D416="",FALSE,TRUE),OR(exact(Metadata!D416,"UBERON:zone of skin"),exact(Metadata!D416,"UBERON:skin of hand"),exact(Metadata!D416,"UBERON:skin of forehead"))))</f>
        <v>0</v>
      </c>
      <c r="T416">
        <f>AND(IF(Metadata!E416="",FALSE,TRUE),exact(Metadata!E416,"human skin metagenome"))</f>
        <v>0</v>
      </c>
      <c r="U416">
        <f>AND(IF(Metadata!F416="",FALSE,TRUE),exact(Metadata!F416,"539655"))</f>
        <v>0</v>
      </c>
    </row>
    <row r="417" spans="1:21">
      <c r="A417" s="4">
        <f>IF(B417=" "," ",HYPERLINK(CONCATENATE("#metadata!",ADDRESS(INDEX($L$2:$L$1001,MATCH(ROWS($J$2:J417),$J$2:$J$1001,0),0),1)),INDEX($O$2:$O$1001,MATCH(ROWS($J$2:J417),$J$2:$J$1001,0),0)))</f>
        <v>0</v>
      </c>
      <c r="B417" s="3">
        <f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>0</v>
      </c>
      <c r="C417" s="3">
        <f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>0</v>
      </c>
      <c r="D417" s="3">
        <f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>0</v>
      </c>
      <c r="E417" s="3">
        <f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>0</v>
      </c>
      <c r="F417" s="3">
        <f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>0</v>
      </c>
      <c r="J417">
        <v>0</v>
      </c>
      <c r="K417">
        <v>0</v>
      </c>
      <c r="L417">
        <v>0</v>
      </c>
      <c r="M417">
        <f>IF(N417,TRUE,AND(Q417:U417))</f>
        <v>0</v>
      </c>
      <c r="N417">
        <f>COUNTBLANK(Metadata!B417:F417)=COLUMNS(Metadata!B417:F417)</f>
        <v>0</v>
      </c>
      <c r="O417">
        <v>0</v>
      </c>
      <c r="Q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>
        <f>AND(IF(Metadata!C417="",FALSE,TRUE),exact(Metadata!C417,"human-skin"))</f>
        <v>0</v>
      </c>
      <c r="S417">
        <f>OR(AND(IF(Metadata!D417="",FALSE,TRUE),OR(exact(Metadata!D417,"missing: not collected"),exact(Metadata!D417,"missing: not provided"))),AND(IF(Metadata!D417="",FALSE,TRUE),OR(exact(Metadata!D417,"UBERON:zone of skin"),exact(Metadata!D417,"UBERON:skin of hand"),exact(Metadata!D417,"UBERON:skin of forehead"))))</f>
        <v>0</v>
      </c>
      <c r="T417">
        <f>AND(IF(Metadata!E417="",FALSE,TRUE),exact(Metadata!E417,"human skin metagenome"))</f>
        <v>0</v>
      </c>
      <c r="U417">
        <f>AND(IF(Metadata!F417="",FALSE,TRUE),exact(Metadata!F417,"539655"))</f>
        <v>0</v>
      </c>
    </row>
    <row r="418" spans="1:21">
      <c r="A418" s="4">
        <f>IF(B418=" "," ",HYPERLINK(CONCATENATE("#metadata!",ADDRESS(INDEX($L$2:$L$1001,MATCH(ROWS($J$2:J418),$J$2:$J$1001,0),0),1)),INDEX($O$2:$O$1001,MATCH(ROWS($J$2:J418),$J$2:$J$1001,0),0)))</f>
        <v>0</v>
      </c>
      <c r="B418" s="3">
        <f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>0</v>
      </c>
      <c r="C418" s="3">
        <f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>0</v>
      </c>
      <c r="D418" s="3">
        <f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>0</v>
      </c>
      <c r="E418" s="3">
        <f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>0</v>
      </c>
      <c r="F418" s="3">
        <f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>0</v>
      </c>
      <c r="J418">
        <v>0</v>
      </c>
      <c r="K418">
        <v>0</v>
      </c>
      <c r="L418">
        <v>0</v>
      </c>
      <c r="M418">
        <f>IF(N418,TRUE,AND(Q418:U418))</f>
        <v>0</v>
      </c>
      <c r="N418">
        <f>COUNTBLANK(Metadata!B418:F418)=COLUMNS(Metadata!B418:F418)</f>
        <v>0</v>
      </c>
      <c r="O418">
        <v>0</v>
      </c>
      <c r="Q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>
        <f>AND(IF(Metadata!C418="",FALSE,TRUE),exact(Metadata!C418,"human-skin"))</f>
        <v>0</v>
      </c>
      <c r="S418">
        <f>OR(AND(IF(Metadata!D418="",FALSE,TRUE),OR(exact(Metadata!D418,"missing: not collected"),exact(Metadata!D418,"missing: not provided"))),AND(IF(Metadata!D418="",FALSE,TRUE),OR(exact(Metadata!D418,"UBERON:zone of skin"),exact(Metadata!D418,"UBERON:skin of hand"),exact(Metadata!D418,"UBERON:skin of forehead"))))</f>
        <v>0</v>
      </c>
      <c r="T418">
        <f>AND(IF(Metadata!E418="",FALSE,TRUE),exact(Metadata!E418,"human skin metagenome"))</f>
        <v>0</v>
      </c>
      <c r="U418">
        <f>AND(IF(Metadata!F418="",FALSE,TRUE),exact(Metadata!F418,"539655"))</f>
        <v>0</v>
      </c>
    </row>
    <row r="419" spans="1:21">
      <c r="A419" s="4">
        <f>IF(B419=" "," ",HYPERLINK(CONCATENATE("#metadata!",ADDRESS(INDEX($L$2:$L$1001,MATCH(ROWS($J$2:J419),$J$2:$J$1001,0),0),1)),INDEX($O$2:$O$1001,MATCH(ROWS($J$2:J419),$J$2:$J$1001,0),0)))</f>
        <v>0</v>
      </c>
      <c r="B419" s="3">
        <f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>0</v>
      </c>
      <c r="C419" s="3">
        <f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>0</v>
      </c>
      <c r="D419" s="3">
        <f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>0</v>
      </c>
      <c r="E419" s="3">
        <f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>0</v>
      </c>
      <c r="F419" s="3">
        <f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>0</v>
      </c>
      <c r="J419">
        <v>0</v>
      </c>
      <c r="K419">
        <v>0</v>
      </c>
      <c r="L419">
        <v>0</v>
      </c>
      <c r="M419">
        <f>IF(N419,TRUE,AND(Q419:U419))</f>
        <v>0</v>
      </c>
      <c r="N419">
        <f>COUNTBLANK(Metadata!B419:F419)=COLUMNS(Metadata!B419:F419)</f>
        <v>0</v>
      </c>
      <c r="O419">
        <v>0</v>
      </c>
      <c r="Q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>
        <f>AND(IF(Metadata!C419="",FALSE,TRUE),exact(Metadata!C419,"human-skin"))</f>
        <v>0</v>
      </c>
      <c r="S419">
        <f>OR(AND(IF(Metadata!D419="",FALSE,TRUE),OR(exact(Metadata!D419,"missing: not collected"),exact(Metadata!D419,"missing: not provided"))),AND(IF(Metadata!D419="",FALSE,TRUE),OR(exact(Metadata!D419,"UBERON:zone of skin"),exact(Metadata!D419,"UBERON:skin of hand"),exact(Metadata!D419,"UBERON:skin of forehead"))))</f>
        <v>0</v>
      </c>
      <c r="T419">
        <f>AND(IF(Metadata!E419="",FALSE,TRUE),exact(Metadata!E419,"human skin metagenome"))</f>
        <v>0</v>
      </c>
      <c r="U419">
        <f>AND(IF(Metadata!F419="",FALSE,TRUE),exact(Metadata!F419,"539655"))</f>
        <v>0</v>
      </c>
    </row>
    <row r="420" spans="1:21">
      <c r="A420" s="4">
        <f>IF(B420=" "," ",HYPERLINK(CONCATENATE("#metadata!",ADDRESS(INDEX($L$2:$L$1001,MATCH(ROWS($J$2:J420),$J$2:$J$1001,0),0),1)),INDEX($O$2:$O$1001,MATCH(ROWS($J$2:J420),$J$2:$J$1001,0),0)))</f>
        <v>0</v>
      </c>
      <c r="B420" s="3">
        <f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>0</v>
      </c>
      <c r="C420" s="3">
        <f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>0</v>
      </c>
      <c r="D420" s="3">
        <f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>0</v>
      </c>
      <c r="E420" s="3">
        <f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>0</v>
      </c>
      <c r="F420" s="3">
        <f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>0</v>
      </c>
      <c r="J420">
        <v>0</v>
      </c>
      <c r="K420">
        <v>0</v>
      </c>
      <c r="L420">
        <v>0</v>
      </c>
      <c r="M420">
        <f>IF(N420,TRUE,AND(Q420:U420))</f>
        <v>0</v>
      </c>
      <c r="N420">
        <f>COUNTBLANK(Metadata!B420:F420)=COLUMNS(Metadata!B420:F420)</f>
        <v>0</v>
      </c>
      <c r="O420">
        <v>0</v>
      </c>
      <c r="Q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>
        <f>AND(IF(Metadata!C420="",FALSE,TRUE),exact(Metadata!C420,"human-skin"))</f>
        <v>0</v>
      </c>
      <c r="S420">
        <f>OR(AND(IF(Metadata!D420="",FALSE,TRUE),OR(exact(Metadata!D420,"missing: not collected"),exact(Metadata!D420,"missing: not provided"))),AND(IF(Metadata!D420="",FALSE,TRUE),OR(exact(Metadata!D420,"UBERON:zone of skin"),exact(Metadata!D420,"UBERON:skin of hand"),exact(Metadata!D420,"UBERON:skin of forehead"))))</f>
        <v>0</v>
      </c>
      <c r="T420">
        <f>AND(IF(Metadata!E420="",FALSE,TRUE),exact(Metadata!E420,"human skin metagenome"))</f>
        <v>0</v>
      </c>
      <c r="U420">
        <f>AND(IF(Metadata!F420="",FALSE,TRUE),exact(Metadata!F420,"539655"))</f>
        <v>0</v>
      </c>
    </row>
    <row r="421" spans="1:21">
      <c r="A421" s="4">
        <f>IF(B421=" "," ",HYPERLINK(CONCATENATE("#metadata!",ADDRESS(INDEX($L$2:$L$1001,MATCH(ROWS($J$2:J421),$J$2:$J$1001,0),0),1)),INDEX($O$2:$O$1001,MATCH(ROWS($J$2:J421),$J$2:$J$1001,0),0)))</f>
        <v>0</v>
      </c>
      <c r="B421" s="3">
        <f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>0</v>
      </c>
      <c r="C421" s="3">
        <f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>0</v>
      </c>
      <c r="D421" s="3">
        <f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>0</v>
      </c>
      <c r="E421" s="3">
        <f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>0</v>
      </c>
      <c r="F421" s="3">
        <f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>0</v>
      </c>
      <c r="J421">
        <v>0</v>
      </c>
      <c r="K421">
        <v>0</v>
      </c>
      <c r="L421">
        <v>0</v>
      </c>
      <c r="M421">
        <f>IF(N421,TRUE,AND(Q421:U421))</f>
        <v>0</v>
      </c>
      <c r="N421">
        <f>COUNTBLANK(Metadata!B421:F421)=COLUMNS(Metadata!B421:F421)</f>
        <v>0</v>
      </c>
      <c r="O421">
        <v>0</v>
      </c>
      <c r="Q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>
        <f>AND(IF(Metadata!C421="",FALSE,TRUE),exact(Metadata!C421,"human-skin"))</f>
        <v>0</v>
      </c>
      <c r="S421">
        <f>OR(AND(IF(Metadata!D421="",FALSE,TRUE),OR(exact(Metadata!D421,"missing: not collected"),exact(Metadata!D421,"missing: not provided"))),AND(IF(Metadata!D421="",FALSE,TRUE),OR(exact(Metadata!D421,"UBERON:zone of skin"),exact(Metadata!D421,"UBERON:skin of hand"),exact(Metadata!D421,"UBERON:skin of forehead"))))</f>
        <v>0</v>
      </c>
      <c r="T421">
        <f>AND(IF(Metadata!E421="",FALSE,TRUE),exact(Metadata!E421,"human skin metagenome"))</f>
        <v>0</v>
      </c>
      <c r="U421">
        <f>AND(IF(Metadata!F421="",FALSE,TRUE),exact(Metadata!F421,"539655"))</f>
        <v>0</v>
      </c>
    </row>
    <row r="422" spans="1:21">
      <c r="A422" s="4">
        <f>IF(B422=" "," ",HYPERLINK(CONCATENATE("#metadata!",ADDRESS(INDEX($L$2:$L$1001,MATCH(ROWS($J$2:J422),$J$2:$J$1001,0),0),1)),INDEX($O$2:$O$1001,MATCH(ROWS($J$2:J422),$J$2:$J$1001,0),0)))</f>
        <v>0</v>
      </c>
      <c r="B422" s="3">
        <f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>0</v>
      </c>
      <c r="C422" s="3">
        <f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>0</v>
      </c>
      <c r="D422" s="3">
        <f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>0</v>
      </c>
      <c r="E422" s="3">
        <f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>0</v>
      </c>
      <c r="F422" s="3">
        <f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>0</v>
      </c>
      <c r="J422">
        <v>0</v>
      </c>
      <c r="K422">
        <v>0</v>
      </c>
      <c r="L422">
        <v>0</v>
      </c>
      <c r="M422">
        <f>IF(N422,TRUE,AND(Q422:U422))</f>
        <v>0</v>
      </c>
      <c r="N422">
        <f>COUNTBLANK(Metadata!B422:F422)=COLUMNS(Metadata!B422:F422)</f>
        <v>0</v>
      </c>
      <c r="O422">
        <v>0</v>
      </c>
      <c r="Q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>
        <f>AND(IF(Metadata!C422="",FALSE,TRUE),exact(Metadata!C422,"human-skin"))</f>
        <v>0</v>
      </c>
      <c r="S422">
        <f>OR(AND(IF(Metadata!D422="",FALSE,TRUE),OR(exact(Metadata!D422,"missing: not collected"),exact(Metadata!D422,"missing: not provided"))),AND(IF(Metadata!D422="",FALSE,TRUE),OR(exact(Metadata!D422,"UBERON:zone of skin"),exact(Metadata!D422,"UBERON:skin of hand"),exact(Metadata!D422,"UBERON:skin of forehead"))))</f>
        <v>0</v>
      </c>
      <c r="T422">
        <f>AND(IF(Metadata!E422="",FALSE,TRUE),exact(Metadata!E422,"human skin metagenome"))</f>
        <v>0</v>
      </c>
      <c r="U422">
        <f>AND(IF(Metadata!F422="",FALSE,TRUE),exact(Metadata!F422,"539655"))</f>
        <v>0</v>
      </c>
    </row>
    <row r="423" spans="1:21">
      <c r="A423" s="4">
        <f>IF(B423=" "," ",HYPERLINK(CONCATENATE("#metadata!",ADDRESS(INDEX($L$2:$L$1001,MATCH(ROWS($J$2:J423),$J$2:$J$1001,0),0),1)),INDEX($O$2:$O$1001,MATCH(ROWS($J$2:J423),$J$2:$J$1001,0),0)))</f>
        <v>0</v>
      </c>
      <c r="B423" s="3">
        <f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>0</v>
      </c>
      <c r="C423" s="3">
        <f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>0</v>
      </c>
      <c r="D423" s="3">
        <f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>0</v>
      </c>
      <c r="E423" s="3">
        <f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>0</v>
      </c>
      <c r="F423" s="3">
        <f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>0</v>
      </c>
      <c r="J423">
        <v>0</v>
      </c>
      <c r="K423">
        <v>0</v>
      </c>
      <c r="L423">
        <v>0</v>
      </c>
      <c r="M423">
        <f>IF(N423,TRUE,AND(Q423:U423))</f>
        <v>0</v>
      </c>
      <c r="N423">
        <f>COUNTBLANK(Metadata!B423:F423)=COLUMNS(Metadata!B423:F423)</f>
        <v>0</v>
      </c>
      <c r="O423">
        <v>0</v>
      </c>
      <c r="Q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>
        <f>AND(IF(Metadata!C423="",FALSE,TRUE),exact(Metadata!C423,"human-skin"))</f>
        <v>0</v>
      </c>
      <c r="S423">
        <f>OR(AND(IF(Metadata!D423="",FALSE,TRUE),OR(exact(Metadata!D423,"missing: not collected"),exact(Metadata!D423,"missing: not provided"))),AND(IF(Metadata!D423="",FALSE,TRUE),OR(exact(Metadata!D423,"UBERON:zone of skin"),exact(Metadata!D423,"UBERON:skin of hand"),exact(Metadata!D423,"UBERON:skin of forehead"))))</f>
        <v>0</v>
      </c>
      <c r="T423">
        <f>AND(IF(Metadata!E423="",FALSE,TRUE),exact(Metadata!E423,"human skin metagenome"))</f>
        <v>0</v>
      </c>
      <c r="U423">
        <f>AND(IF(Metadata!F423="",FALSE,TRUE),exact(Metadata!F423,"539655"))</f>
        <v>0</v>
      </c>
    </row>
    <row r="424" spans="1:21">
      <c r="A424" s="4">
        <f>IF(B424=" "," ",HYPERLINK(CONCATENATE("#metadata!",ADDRESS(INDEX($L$2:$L$1001,MATCH(ROWS($J$2:J424),$J$2:$J$1001,0),0),1)),INDEX($O$2:$O$1001,MATCH(ROWS($J$2:J424),$J$2:$J$1001,0),0)))</f>
        <v>0</v>
      </c>
      <c r="B424" s="3">
        <f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>0</v>
      </c>
      <c r="C424" s="3">
        <f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>0</v>
      </c>
      <c r="D424" s="3">
        <f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>0</v>
      </c>
      <c r="E424" s="3">
        <f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>0</v>
      </c>
      <c r="F424" s="3">
        <f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>0</v>
      </c>
      <c r="J424">
        <v>0</v>
      </c>
      <c r="K424">
        <v>0</v>
      </c>
      <c r="L424">
        <v>0</v>
      </c>
      <c r="M424">
        <f>IF(N424,TRUE,AND(Q424:U424))</f>
        <v>0</v>
      </c>
      <c r="N424">
        <f>COUNTBLANK(Metadata!B424:F424)=COLUMNS(Metadata!B424:F424)</f>
        <v>0</v>
      </c>
      <c r="O424">
        <v>0</v>
      </c>
      <c r="Q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>
        <f>AND(IF(Metadata!C424="",FALSE,TRUE),exact(Metadata!C424,"human-skin"))</f>
        <v>0</v>
      </c>
      <c r="S424">
        <f>OR(AND(IF(Metadata!D424="",FALSE,TRUE),OR(exact(Metadata!D424,"missing: not collected"),exact(Metadata!D424,"missing: not provided"))),AND(IF(Metadata!D424="",FALSE,TRUE),OR(exact(Metadata!D424,"UBERON:zone of skin"),exact(Metadata!D424,"UBERON:skin of hand"),exact(Metadata!D424,"UBERON:skin of forehead"))))</f>
        <v>0</v>
      </c>
      <c r="T424">
        <f>AND(IF(Metadata!E424="",FALSE,TRUE),exact(Metadata!E424,"human skin metagenome"))</f>
        <v>0</v>
      </c>
      <c r="U424">
        <f>AND(IF(Metadata!F424="",FALSE,TRUE),exact(Metadata!F424,"539655"))</f>
        <v>0</v>
      </c>
    </row>
    <row r="425" spans="1:21">
      <c r="A425" s="4">
        <f>IF(B425=" "," ",HYPERLINK(CONCATENATE("#metadata!",ADDRESS(INDEX($L$2:$L$1001,MATCH(ROWS($J$2:J425),$J$2:$J$1001,0),0),1)),INDEX($O$2:$O$1001,MATCH(ROWS($J$2:J425),$J$2:$J$1001,0),0)))</f>
        <v>0</v>
      </c>
      <c r="B425" s="3">
        <f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>0</v>
      </c>
      <c r="C425" s="3">
        <f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>0</v>
      </c>
      <c r="D425" s="3">
        <f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>0</v>
      </c>
      <c r="E425" s="3">
        <f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>0</v>
      </c>
      <c r="F425" s="3">
        <f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>0</v>
      </c>
      <c r="J425">
        <v>0</v>
      </c>
      <c r="K425">
        <v>0</v>
      </c>
      <c r="L425">
        <v>0</v>
      </c>
      <c r="M425">
        <f>IF(N425,TRUE,AND(Q425:U425))</f>
        <v>0</v>
      </c>
      <c r="N425">
        <f>COUNTBLANK(Metadata!B425:F425)=COLUMNS(Metadata!B425:F425)</f>
        <v>0</v>
      </c>
      <c r="O425">
        <v>0</v>
      </c>
      <c r="Q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>
        <f>AND(IF(Metadata!C425="",FALSE,TRUE),exact(Metadata!C425,"human-skin"))</f>
        <v>0</v>
      </c>
      <c r="S425">
        <f>OR(AND(IF(Metadata!D425="",FALSE,TRUE),OR(exact(Metadata!D425,"missing: not collected"),exact(Metadata!D425,"missing: not provided"))),AND(IF(Metadata!D425="",FALSE,TRUE),OR(exact(Metadata!D425,"UBERON:zone of skin"),exact(Metadata!D425,"UBERON:skin of hand"),exact(Metadata!D425,"UBERON:skin of forehead"))))</f>
        <v>0</v>
      </c>
      <c r="T425">
        <f>AND(IF(Metadata!E425="",FALSE,TRUE),exact(Metadata!E425,"human skin metagenome"))</f>
        <v>0</v>
      </c>
      <c r="U425">
        <f>AND(IF(Metadata!F425="",FALSE,TRUE),exact(Metadata!F425,"539655"))</f>
        <v>0</v>
      </c>
    </row>
    <row r="426" spans="1:21">
      <c r="A426" s="4">
        <f>IF(B426=" "," ",HYPERLINK(CONCATENATE("#metadata!",ADDRESS(INDEX($L$2:$L$1001,MATCH(ROWS($J$2:J426),$J$2:$J$1001,0),0),1)),INDEX($O$2:$O$1001,MATCH(ROWS($J$2:J426),$J$2:$J$1001,0),0)))</f>
        <v>0</v>
      </c>
      <c r="B426" s="3">
        <f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>0</v>
      </c>
      <c r="C426" s="3">
        <f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>0</v>
      </c>
      <c r="D426" s="3">
        <f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>0</v>
      </c>
      <c r="E426" s="3">
        <f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>0</v>
      </c>
      <c r="F426" s="3">
        <f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>0</v>
      </c>
      <c r="J426">
        <v>0</v>
      </c>
      <c r="K426">
        <v>0</v>
      </c>
      <c r="L426">
        <v>0</v>
      </c>
      <c r="M426">
        <f>IF(N426,TRUE,AND(Q426:U426))</f>
        <v>0</v>
      </c>
      <c r="N426">
        <f>COUNTBLANK(Metadata!B426:F426)=COLUMNS(Metadata!B426:F426)</f>
        <v>0</v>
      </c>
      <c r="O426">
        <v>0</v>
      </c>
      <c r="Q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>
        <f>AND(IF(Metadata!C426="",FALSE,TRUE),exact(Metadata!C426,"human-skin"))</f>
        <v>0</v>
      </c>
      <c r="S426">
        <f>OR(AND(IF(Metadata!D426="",FALSE,TRUE),OR(exact(Metadata!D426,"missing: not collected"),exact(Metadata!D426,"missing: not provided"))),AND(IF(Metadata!D426="",FALSE,TRUE),OR(exact(Metadata!D426,"UBERON:zone of skin"),exact(Metadata!D426,"UBERON:skin of hand"),exact(Metadata!D426,"UBERON:skin of forehead"))))</f>
        <v>0</v>
      </c>
      <c r="T426">
        <f>AND(IF(Metadata!E426="",FALSE,TRUE),exact(Metadata!E426,"human skin metagenome"))</f>
        <v>0</v>
      </c>
      <c r="U426">
        <f>AND(IF(Metadata!F426="",FALSE,TRUE),exact(Metadata!F426,"539655"))</f>
        <v>0</v>
      </c>
    </row>
    <row r="427" spans="1:21">
      <c r="A427" s="4">
        <f>IF(B427=" "," ",HYPERLINK(CONCATENATE("#metadata!",ADDRESS(INDEX($L$2:$L$1001,MATCH(ROWS($J$2:J427),$J$2:$J$1001,0),0),1)),INDEX($O$2:$O$1001,MATCH(ROWS($J$2:J427),$J$2:$J$1001,0),0)))</f>
        <v>0</v>
      </c>
      <c r="B427" s="3">
        <f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>0</v>
      </c>
      <c r="C427" s="3">
        <f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>0</v>
      </c>
      <c r="D427" s="3">
        <f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>0</v>
      </c>
      <c r="E427" s="3">
        <f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>0</v>
      </c>
      <c r="F427" s="3">
        <f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>0</v>
      </c>
      <c r="J427">
        <v>0</v>
      </c>
      <c r="K427">
        <v>0</v>
      </c>
      <c r="L427">
        <v>0</v>
      </c>
      <c r="M427">
        <f>IF(N427,TRUE,AND(Q427:U427))</f>
        <v>0</v>
      </c>
      <c r="N427">
        <f>COUNTBLANK(Metadata!B427:F427)=COLUMNS(Metadata!B427:F427)</f>
        <v>0</v>
      </c>
      <c r="O427">
        <v>0</v>
      </c>
      <c r="Q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>
        <f>AND(IF(Metadata!C427="",FALSE,TRUE),exact(Metadata!C427,"human-skin"))</f>
        <v>0</v>
      </c>
      <c r="S427">
        <f>OR(AND(IF(Metadata!D427="",FALSE,TRUE),OR(exact(Metadata!D427,"missing: not collected"),exact(Metadata!D427,"missing: not provided"))),AND(IF(Metadata!D427="",FALSE,TRUE),OR(exact(Metadata!D427,"UBERON:zone of skin"),exact(Metadata!D427,"UBERON:skin of hand"),exact(Metadata!D427,"UBERON:skin of forehead"))))</f>
        <v>0</v>
      </c>
      <c r="T427">
        <f>AND(IF(Metadata!E427="",FALSE,TRUE),exact(Metadata!E427,"human skin metagenome"))</f>
        <v>0</v>
      </c>
      <c r="U427">
        <f>AND(IF(Metadata!F427="",FALSE,TRUE),exact(Metadata!F427,"539655"))</f>
        <v>0</v>
      </c>
    </row>
    <row r="428" spans="1:21">
      <c r="A428" s="4">
        <f>IF(B428=" "," ",HYPERLINK(CONCATENATE("#metadata!",ADDRESS(INDEX($L$2:$L$1001,MATCH(ROWS($J$2:J428),$J$2:$J$1001,0),0),1)),INDEX($O$2:$O$1001,MATCH(ROWS($J$2:J428),$J$2:$J$1001,0),0)))</f>
        <v>0</v>
      </c>
      <c r="B428" s="3">
        <f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>0</v>
      </c>
      <c r="C428" s="3">
        <f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>0</v>
      </c>
      <c r="D428" s="3">
        <f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>0</v>
      </c>
      <c r="E428" s="3">
        <f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>0</v>
      </c>
      <c r="F428" s="3">
        <f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>0</v>
      </c>
      <c r="J428">
        <v>0</v>
      </c>
      <c r="K428">
        <v>0</v>
      </c>
      <c r="L428">
        <v>0</v>
      </c>
      <c r="M428">
        <f>IF(N428,TRUE,AND(Q428:U428))</f>
        <v>0</v>
      </c>
      <c r="N428">
        <f>COUNTBLANK(Metadata!B428:F428)=COLUMNS(Metadata!B428:F428)</f>
        <v>0</v>
      </c>
      <c r="O428">
        <v>0</v>
      </c>
      <c r="Q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>
        <f>AND(IF(Metadata!C428="",FALSE,TRUE),exact(Metadata!C428,"human-skin"))</f>
        <v>0</v>
      </c>
      <c r="S428">
        <f>OR(AND(IF(Metadata!D428="",FALSE,TRUE),OR(exact(Metadata!D428,"missing: not collected"),exact(Metadata!D428,"missing: not provided"))),AND(IF(Metadata!D428="",FALSE,TRUE),OR(exact(Metadata!D428,"UBERON:zone of skin"),exact(Metadata!D428,"UBERON:skin of hand"),exact(Metadata!D428,"UBERON:skin of forehead"))))</f>
        <v>0</v>
      </c>
      <c r="T428">
        <f>AND(IF(Metadata!E428="",FALSE,TRUE),exact(Metadata!E428,"human skin metagenome"))</f>
        <v>0</v>
      </c>
      <c r="U428">
        <f>AND(IF(Metadata!F428="",FALSE,TRUE),exact(Metadata!F428,"539655"))</f>
        <v>0</v>
      </c>
    </row>
    <row r="429" spans="1:21">
      <c r="A429" s="4">
        <f>IF(B429=" "," ",HYPERLINK(CONCATENATE("#metadata!",ADDRESS(INDEX($L$2:$L$1001,MATCH(ROWS($J$2:J429),$J$2:$J$1001,0),0),1)),INDEX($O$2:$O$1001,MATCH(ROWS($J$2:J429),$J$2:$J$1001,0),0)))</f>
        <v>0</v>
      </c>
      <c r="B429" s="3">
        <f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>0</v>
      </c>
      <c r="C429" s="3">
        <f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>0</v>
      </c>
      <c r="D429" s="3">
        <f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>0</v>
      </c>
      <c r="E429" s="3">
        <f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>0</v>
      </c>
      <c r="F429" s="3">
        <f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>0</v>
      </c>
      <c r="J429">
        <v>0</v>
      </c>
      <c r="K429">
        <v>0</v>
      </c>
      <c r="L429">
        <v>0</v>
      </c>
      <c r="M429">
        <f>IF(N429,TRUE,AND(Q429:U429))</f>
        <v>0</v>
      </c>
      <c r="N429">
        <f>COUNTBLANK(Metadata!B429:F429)=COLUMNS(Metadata!B429:F429)</f>
        <v>0</v>
      </c>
      <c r="O429">
        <v>0</v>
      </c>
      <c r="Q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>
        <f>AND(IF(Metadata!C429="",FALSE,TRUE),exact(Metadata!C429,"human-skin"))</f>
        <v>0</v>
      </c>
      <c r="S429">
        <f>OR(AND(IF(Metadata!D429="",FALSE,TRUE),OR(exact(Metadata!D429,"missing: not collected"),exact(Metadata!D429,"missing: not provided"))),AND(IF(Metadata!D429="",FALSE,TRUE),OR(exact(Metadata!D429,"UBERON:zone of skin"),exact(Metadata!D429,"UBERON:skin of hand"),exact(Metadata!D429,"UBERON:skin of forehead"))))</f>
        <v>0</v>
      </c>
      <c r="T429">
        <f>AND(IF(Metadata!E429="",FALSE,TRUE),exact(Metadata!E429,"human skin metagenome"))</f>
        <v>0</v>
      </c>
      <c r="U429">
        <f>AND(IF(Metadata!F429="",FALSE,TRUE),exact(Metadata!F429,"539655"))</f>
        <v>0</v>
      </c>
    </row>
    <row r="430" spans="1:21">
      <c r="A430" s="4">
        <f>IF(B430=" "," ",HYPERLINK(CONCATENATE("#metadata!",ADDRESS(INDEX($L$2:$L$1001,MATCH(ROWS($J$2:J430),$J$2:$J$1001,0),0),1)),INDEX($O$2:$O$1001,MATCH(ROWS($J$2:J430),$J$2:$J$1001,0),0)))</f>
        <v>0</v>
      </c>
      <c r="B430" s="3">
        <f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>0</v>
      </c>
      <c r="C430" s="3">
        <f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>0</v>
      </c>
      <c r="D430" s="3">
        <f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>0</v>
      </c>
      <c r="E430" s="3">
        <f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>0</v>
      </c>
      <c r="F430" s="3">
        <f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>0</v>
      </c>
      <c r="J430">
        <v>0</v>
      </c>
      <c r="K430">
        <v>0</v>
      </c>
      <c r="L430">
        <v>0</v>
      </c>
      <c r="M430">
        <f>IF(N430,TRUE,AND(Q430:U430))</f>
        <v>0</v>
      </c>
      <c r="N430">
        <f>COUNTBLANK(Metadata!B430:F430)=COLUMNS(Metadata!B430:F430)</f>
        <v>0</v>
      </c>
      <c r="O430">
        <v>0</v>
      </c>
      <c r="Q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>
        <f>AND(IF(Metadata!C430="",FALSE,TRUE),exact(Metadata!C430,"human-skin"))</f>
        <v>0</v>
      </c>
      <c r="S430">
        <f>OR(AND(IF(Metadata!D430="",FALSE,TRUE),OR(exact(Metadata!D430,"missing: not collected"),exact(Metadata!D430,"missing: not provided"))),AND(IF(Metadata!D430="",FALSE,TRUE),OR(exact(Metadata!D430,"UBERON:zone of skin"),exact(Metadata!D430,"UBERON:skin of hand"),exact(Metadata!D430,"UBERON:skin of forehead"))))</f>
        <v>0</v>
      </c>
      <c r="T430">
        <f>AND(IF(Metadata!E430="",FALSE,TRUE),exact(Metadata!E430,"human skin metagenome"))</f>
        <v>0</v>
      </c>
      <c r="U430">
        <f>AND(IF(Metadata!F430="",FALSE,TRUE),exact(Metadata!F430,"539655"))</f>
        <v>0</v>
      </c>
    </row>
    <row r="431" spans="1:21">
      <c r="A431" s="4">
        <f>IF(B431=" "," ",HYPERLINK(CONCATENATE("#metadata!",ADDRESS(INDEX($L$2:$L$1001,MATCH(ROWS($J$2:J431),$J$2:$J$1001,0),0),1)),INDEX($O$2:$O$1001,MATCH(ROWS($J$2:J431),$J$2:$J$1001,0),0)))</f>
        <v>0</v>
      </c>
      <c r="B431" s="3">
        <f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>0</v>
      </c>
      <c r="C431" s="3">
        <f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>0</v>
      </c>
      <c r="D431" s="3">
        <f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>0</v>
      </c>
      <c r="E431" s="3">
        <f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>0</v>
      </c>
      <c r="F431" s="3">
        <f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>0</v>
      </c>
      <c r="J431">
        <v>0</v>
      </c>
      <c r="K431">
        <v>0</v>
      </c>
      <c r="L431">
        <v>0</v>
      </c>
      <c r="M431">
        <f>IF(N431,TRUE,AND(Q431:U431))</f>
        <v>0</v>
      </c>
      <c r="N431">
        <f>COUNTBLANK(Metadata!B431:F431)=COLUMNS(Metadata!B431:F431)</f>
        <v>0</v>
      </c>
      <c r="O431">
        <v>0</v>
      </c>
      <c r="Q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>
        <f>AND(IF(Metadata!C431="",FALSE,TRUE),exact(Metadata!C431,"human-skin"))</f>
        <v>0</v>
      </c>
      <c r="S431">
        <f>OR(AND(IF(Metadata!D431="",FALSE,TRUE),OR(exact(Metadata!D431,"missing: not collected"),exact(Metadata!D431,"missing: not provided"))),AND(IF(Metadata!D431="",FALSE,TRUE),OR(exact(Metadata!D431,"UBERON:zone of skin"),exact(Metadata!D431,"UBERON:skin of hand"),exact(Metadata!D431,"UBERON:skin of forehead"))))</f>
        <v>0</v>
      </c>
      <c r="T431">
        <f>AND(IF(Metadata!E431="",FALSE,TRUE),exact(Metadata!E431,"human skin metagenome"))</f>
        <v>0</v>
      </c>
      <c r="U431">
        <f>AND(IF(Metadata!F431="",FALSE,TRUE),exact(Metadata!F431,"539655"))</f>
        <v>0</v>
      </c>
    </row>
    <row r="432" spans="1:21">
      <c r="A432" s="4">
        <f>IF(B432=" "," ",HYPERLINK(CONCATENATE("#metadata!",ADDRESS(INDEX($L$2:$L$1001,MATCH(ROWS($J$2:J432),$J$2:$J$1001,0),0),1)),INDEX($O$2:$O$1001,MATCH(ROWS($J$2:J432),$J$2:$J$1001,0),0)))</f>
        <v>0</v>
      </c>
      <c r="B432" s="3">
        <f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>0</v>
      </c>
      <c r="C432" s="3">
        <f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>0</v>
      </c>
      <c r="D432" s="3">
        <f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>0</v>
      </c>
      <c r="E432" s="3">
        <f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>0</v>
      </c>
      <c r="F432" s="3">
        <f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>0</v>
      </c>
      <c r="J432">
        <v>0</v>
      </c>
      <c r="K432">
        <v>0</v>
      </c>
      <c r="L432">
        <v>0</v>
      </c>
      <c r="M432">
        <f>IF(N432,TRUE,AND(Q432:U432))</f>
        <v>0</v>
      </c>
      <c r="N432">
        <f>COUNTBLANK(Metadata!B432:F432)=COLUMNS(Metadata!B432:F432)</f>
        <v>0</v>
      </c>
      <c r="O432">
        <v>0</v>
      </c>
      <c r="Q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>
        <f>AND(IF(Metadata!C432="",FALSE,TRUE),exact(Metadata!C432,"human-skin"))</f>
        <v>0</v>
      </c>
      <c r="S432">
        <f>OR(AND(IF(Metadata!D432="",FALSE,TRUE),OR(exact(Metadata!D432,"missing: not collected"),exact(Metadata!D432,"missing: not provided"))),AND(IF(Metadata!D432="",FALSE,TRUE),OR(exact(Metadata!D432,"UBERON:zone of skin"),exact(Metadata!D432,"UBERON:skin of hand"),exact(Metadata!D432,"UBERON:skin of forehead"))))</f>
        <v>0</v>
      </c>
      <c r="T432">
        <f>AND(IF(Metadata!E432="",FALSE,TRUE),exact(Metadata!E432,"human skin metagenome"))</f>
        <v>0</v>
      </c>
      <c r="U432">
        <f>AND(IF(Metadata!F432="",FALSE,TRUE),exact(Metadata!F432,"539655"))</f>
        <v>0</v>
      </c>
    </row>
    <row r="433" spans="1:21">
      <c r="A433" s="4">
        <f>IF(B433=" "," ",HYPERLINK(CONCATENATE("#metadata!",ADDRESS(INDEX($L$2:$L$1001,MATCH(ROWS($J$2:J433),$J$2:$J$1001,0),0),1)),INDEX($O$2:$O$1001,MATCH(ROWS($J$2:J433),$J$2:$J$1001,0),0)))</f>
        <v>0</v>
      </c>
      <c r="B433" s="3">
        <f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>0</v>
      </c>
      <c r="C433" s="3">
        <f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>0</v>
      </c>
      <c r="D433" s="3">
        <f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>0</v>
      </c>
      <c r="E433" s="3">
        <f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>0</v>
      </c>
      <c r="F433" s="3">
        <f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>0</v>
      </c>
      <c r="J433">
        <v>0</v>
      </c>
      <c r="K433">
        <v>0</v>
      </c>
      <c r="L433">
        <v>0</v>
      </c>
      <c r="M433">
        <f>IF(N433,TRUE,AND(Q433:U433))</f>
        <v>0</v>
      </c>
      <c r="N433">
        <f>COUNTBLANK(Metadata!B433:F433)=COLUMNS(Metadata!B433:F433)</f>
        <v>0</v>
      </c>
      <c r="O433">
        <v>0</v>
      </c>
      <c r="Q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>
        <f>AND(IF(Metadata!C433="",FALSE,TRUE),exact(Metadata!C433,"human-skin"))</f>
        <v>0</v>
      </c>
      <c r="S433">
        <f>OR(AND(IF(Metadata!D433="",FALSE,TRUE),OR(exact(Metadata!D433,"missing: not collected"),exact(Metadata!D433,"missing: not provided"))),AND(IF(Metadata!D433="",FALSE,TRUE),OR(exact(Metadata!D433,"UBERON:zone of skin"),exact(Metadata!D433,"UBERON:skin of hand"),exact(Metadata!D433,"UBERON:skin of forehead"))))</f>
        <v>0</v>
      </c>
      <c r="T433">
        <f>AND(IF(Metadata!E433="",FALSE,TRUE),exact(Metadata!E433,"human skin metagenome"))</f>
        <v>0</v>
      </c>
      <c r="U433">
        <f>AND(IF(Metadata!F433="",FALSE,TRUE),exact(Metadata!F433,"539655"))</f>
        <v>0</v>
      </c>
    </row>
    <row r="434" spans="1:21">
      <c r="A434" s="4">
        <f>IF(B434=" "," ",HYPERLINK(CONCATENATE("#metadata!",ADDRESS(INDEX($L$2:$L$1001,MATCH(ROWS($J$2:J434),$J$2:$J$1001,0),0),1)),INDEX($O$2:$O$1001,MATCH(ROWS($J$2:J434),$J$2:$J$1001,0),0)))</f>
        <v>0</v>
      </c>
      <c r="B434" s="3">
        <f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>0</v>
      </c>
      <c r="C434" s="3">
        <f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>0</v>
      </c>
      <c r="D434" s="3">
        <f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>0</v>
      </c>
      <c r="E434" s="3">
        <f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>0</v>
      </c>
      <c r="F434" s="3">
        <f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>0</v>
      </c>
      <c r="J434">
        <v>0</v>
      </c>
      <c r="K434">
        <v>0</v>
      </c>
      <c r="L434">
        <v>0</v>
      </c>
      <c r="M434">
        <f>IF(N434,TRUE,AND(Q434:U434))</f>
        <v>0</v>
      </c>
      <c r="N434">
        <f>COUNTBLANK(Metadata!B434:F434)=COLUMNS(Metadata!B434:F434)</f>
        <v>0</v>
      </c>
      <c r="O434">
        <v>0</v>
      </c>
      <c r="Q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>
        <f>AND(IF(Metadata!C434="",FALSE,TRUE),exact(Metadata!C434,"human-skin"))</f>
        <v>0</v>
      </c>
      <c r="S434">
        <f>OR(AND(IF(Metadata!D434="",FALSE,TRUE),OR(exact(Metadata!D434,"missing: not collected"),exact(Metadata!D434,"missing: not provided"))),AND(IF(Metadata!D434="",FALSE,TRUE),OR(exact(Metadata!D434,"UBERON:zone of skin"),exact(Metadata!D434,"UBERON:skin of hand"),exact(Metadata!D434,"UBERON:skin of forehead"))))</f>
        <v>0</v>
      </c>
      <c r="T434">
        <f>AND(IF(Metadata!E434="",FALSE,TRUE),exact(Metadata!E434,"human skin metagenome"))</f>
        <v>0</v>
      </c>
      <c r="U434">
        <f>AND(IF(Metadata!F434="",FALSE,TRUE),exact(Metadata!F434,"539655"))</f>
        <v>0</v>
      </c>
    </row>
    <row r="435" spans="1:21">
      <c r="A435" s="4">
        <f>IF(B435=" "," ",HYPERLINK(CONCATENATE("#metadata!",ADDRESS(INDEX($L$2:$L$1001,MATCH(ROWS($J$2:J435),$J$2:$J$1001,0),0),1)),INDEX($O$2:$O$1001,MATCH(ROWS($J$2:J435),$J$2:$J$1001,0),0)))</f>
        <v>0</v>
      </c>
      <c r="B435" s="3">
        <f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>0</v>
      </c>
      <c r="C435" s="3">
        <f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>0</v>
      </c>
      <c r="D435" s="3">
        <f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>0</v>
      </c>
      <c r="E435" s="3">
        <f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>0</v>
      </c>
      <c r="F435" s="3">
        <f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>0</v>
      </c>
      <c r="J435">
        <v>0</v>
      </c>
      <c r="K435">
        <v>0</v>
      </c>
      <c r="L435">
        <v>0</v>
      </c>
      <c r="M435">
        <f>IF(N435,TRUE,AND(Q435:U435))</f>
        <v>0</v>
      </c>
      <c r="N435">
        <f>COUNTBLANK(Metadata!B435:F435)=COLUMNS(Metadata!B435:F435)</f>
        <v>0</v>
      </c>
      <c r="O435">
        <v>0</v>
      </c>
      <c r="Q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>
        <f>AND(IF(Metadata!C435="",FALSE,TRUE),exact(Metadata!C435,"human-skin"))</f>
        <v>0</v>
      </c>
      <c r="S435">
        <f>OR(AND(IF(Metadata!D435="",FALSE,TRUE),OR(exact(Metadata!D435,"missing: not collected"),exact(Metadata!D435,"missing: not provided"))),AND(IF(Metadata!D435="",FALSE,TRUE),OR(exact(Metadata!D435,"UBERON:zone of skin"),exact(Metadata!D435,"UBERON:skin of hand"),exact(Metadata!D435,"UBERON:skin of forehead"))))</f>
        <v>0</v>
      </c>
      <c r="T435">
        <f>AND(IF(Metadata!E435="",FALSE,TRUE),exact(Metadata!E435,"human skin metagenome"))</f>
        <v>0</v>
      </c>
      <c r="U435">
        <f>AND(IF(Metadata!F435="",FALSE,TRUE),exact(Metadata!F435,"539655"))</f>
        <v>0</v>
      </c>
    </row>
    <row r="436" spans="1:21">
      <c r="A436" s="4">
        <f>IF(B436=" "," ",HYPERLINK(CONCATENATE("#metadata!",ADDRESS(INDEX($L$2:$L$1001,MATCH(ROWS($J$2:J436),$J$2:$J$1001,0),0),1)),INDEX($O$2:$O$1001,MATCH(ROWS($J$2:J436),$J$2:$J$1001,0),0)))</f>
        <v>0</v>
      </c>
      <c r="B436" s="3">
        <f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>0</v>
      </c>
      <c r="C436" s="3">
        <f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>0</v>
      </c>
      <c r="D436" s="3">
        <f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>0</v>
      </c>
      <c r="E436" s="3">
        <f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>0</v>
      </c>
      <c r="F436" s="3">
        <f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>0</v>
      </c>
      <c r="J436">
        <v>0</v>
      </c>
      <c r="K436">
        <v>0</v>
      </c>
      <c r="L436">
        <v>0</v>
      </c>
      <c r="M436">
        <f>IF(N436,TRUE,AND(Q436:U436))</f>
        <v>0</v>
      </c>
      <c r="N436">
        <f>COUNTBLANK(Metadata!B436:F436)=COLUMNS(Metadata!B436:F436)</f>
        <v>0</v>
      </c>
      <c r="O436">
        <v>0</v>
      </c>
      <c r="Q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>
        <f>AND(IF(Metadata!C436="",FALSE,TRUE),exact(Metadata!C436,"human-skin"))</f>
        <v>0</v>
      </c>
      <c r="S436">
        <f>OR(AND(IF(Metadata!D436="",FALSE,TRUE),OR(exact(Metadata!D436,"missing: not collected"),exact(Metadata!D436,"missing: not provided"))),AND(IF(Metadata!D436="",FALSE,TRUE),OR(exact(Metadata!D436,"UBERON:zone of skin"),exact(Metadata!D436,"UBERON:skin of hand"),exact(Metadata!D436,"UBERON:skin of forehead"))))</f>
        <v>0</v>
      </c>
      <c r="T436">
        <f>AND(IF(Metadata!E436="",FALSE,TRUE),exact(Metadata!E436,"human skin metagenome"))</f>
        <v>0</v>
      </c>
      <c r="U436">
        <f>AND(IF(Metadata!F436="",FALSE,TRUE),exact(Metadata!F436,"539655"))</f>
        <v>0</v>
      </c>
    </row>
    <row r="437" spans="1:21">
      <c r="A437" s="4">
        <f>IF(B437=" "," ",HYPERLINK(CONCATENATE("#metadata!",ADDRESS(INDEX($L$2:$L$1001,MATCH(ROWS($J$2:J437),$J$2:$J$1001,0),0),1)),INDEX($O$2:$O$1001,MATCH(ROWS($J$2:J437),$J$2:$J$1001,0),0)))</f>
        <v>0</v>
      </c>
      <c r="B437" s="3">
        <f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>0</v>
      </c>
      <c r="C437" s="3">
        <f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>0</v>
      </c>
      <c r="D437" s="3">
        <f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>0</v>
      </c>
      <c r="E437" s="3">
        <f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>0</v>
      </c>
      <c r="F437" s="3">
        <f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>0</v>
      </c>
      <c r="J437">
        <v>0</v>
      </c>
      <c r="K437">
        <v>0</v>
      </c>
      <c r="L437">
        <v>0</v>
      </c>
      <c r="M437">
        <f>IF(N437,TRUE,AND(Q437:U437))</f>
        <v>0</v>
      </c>
      <c r="N437">
        <f>COUNTBLANK(Metadata!B437:F437)=COLUMNS(Metadata!B437:F437)</f>
        <v>0</v>
      </c>
      <c r="O437">
        <v>0</v>
      </c>
      <c r="Q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>
        <f>AND(IF(Metadata!C437="",FALSE,TRUE),exact(Metadata!C437,"human-skin"))</f>
        <v>0</v>
      </c>
      <c r="S437">
        <f>OR(AND(IF(Metadata!D437="",FALSE,TRUE),OR(exact(Metadata!D437,"missing: not collected"),exact(Metadata!D437,"missing: not provided"))),AND(IF(Metadata!D437="",FALSE,TRUE),OR(exact(Metadata!D437,"UBERON:zone of skin"),exact(Metadata!D437,"UBERON:skin of hand"),exact(Metadata!D437,"UBERON:skin of forehead"))))</f>
        <v>0</v>
      </c>
      <c r="T437">
        <f>AND(IF(Metadata!E437="",FALSE,TRUE),exact(Metadata!E437,"human skin metagenome"))</f>
        <v>0</v>
      </c>
      <c r="U437">
        <f>AND(IF(Metadata!F437="",FALSE,TRUE),exact(Metadata!F437,"539655"))</f>
        <v>0</v>
      </c>
    </row>
    <row r="438" spans="1:21">
      <c r="A438" s="4">
        <f>IF(B438=" "," ",HYPERLINK(CONCATENATE("#metadata!",ADDRESS(INDEX($L$2:$L$1001,MATCH(ROWS($J$2:J438),$J$2:$J$1001,0),0),1)),INDEX($O$2:$O$1001,MATCH(ROWS($J$2:J438),$J$2:$J$1001,0),0)))</f>
        <v>0</v>
      </c>
      <c r="B438" s="3">
        <f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>0</v>
      </c>
      <c r="C438" s="3">
        <f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>0</v>
      </c>
      <c r="D438" s="3">
        <f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>0</v>
      </c>
      <c r="E438" s="3">
        <f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>0</v>
      </c>
      <c r="F438" s="3">
        <f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>0</v>
      </c>
      <c r="J438">
        <v>0</v>
      </c>
      <c r="K438">
        <v>0</v>
      </c>
      <c r="L438">
        <v>0</v>
      </c>
      <c r="M438">
        <f>IF(N438,TRUE,AND(Q438:U438))</f>
        <v>0</v>
      </c>
      <c r="N438">
        <f>COUNTBLANK(Metadata!B438:F438)=COLUMNS(Metadata!B438:F438)</f>
        <v>0</v>
      </c>
      <c r="O438">
        <v>0</v>
      </c>
      <c r="Q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>
        <f>AND(IF(Metadata!C438="",FALSE,TRUE),exact(Metadata!C438,"human-skin"))</f>
        <v>0</v>
      </c>
      <c r="S438">
        <f>OR(AND(IF(Metadata!D438="",FALSE,TRUE),OR(exact(Metadata!D438,"missing: not collected"),exact(Metadata!D438,"missing: not provided"))),AND(IF(Metadata!D438="",FALSE,TRUE),OR(exact(Metadata!D438,"UBERON:zone of skin"),exact(Metadata!D438,"UBERON:skin of hand"),exact(Metadata!D438,"UBERON:skin of forehead"))))</f>
        <v>0</v>
      </c>
      <c r="T438">
        <f>AND(IF(Metadata!E438="",FALSE,TRUE),exact(Metadata!E438,"human skin metagenome"))</f>
        <v>0</v>
      </c>
      <c r="U438">
        <f>AND(IF(Metadata!F438="",FALSE,TRUE),exact(Metadata!F438,"539655"))</f>
        <v>0</v>
      </c>
    </row>
    <row r="439" spans="1:21">
      <c r="A439" s="4">
        <f>IF(B439=" "," ",HYPERLINK(CONCATENATE("#metadata!",ADDRESS(INDEX($L$2:$L$1001,MATCH(ROWS($J$2:J439),$J$2:$J$1001,0),0),1)),INDEX($O$2:$O$1001,MATCH(ROWS($J$2:J439),$J$2:$J$1001,0),0)))</f>
        <v>0</v>
      </c>
      <c r="B439" s="3">
        <f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>0</v>
      </c>
      <c r="C439" s="3">
        <f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>0</v>
      </c>
      <c r="D439" s="3">
        <f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>0</v>
      </c>
      <c r="E439" s="3">
        <f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>0</v>
      </c>
      <c r="F439" s="3">
        <f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>0</v>
      </c>
      <c r="J439">
        <v>0</v>
      </c>
      <c r="K439">
        <v>0</v>
      </c>
      <c r="L439">
        <v>0</v>
      </c>
      <c r="M439">
        <f>IF(N439,TRUE,AND(Q439:U439))</f>
        <v>0</v>
      </c>
      <c r="N439">
        <f>COUNTBLANK(Metadata!B439:F439)=COLUMNS(Metadata!B439:F439)</f>
        <v>0</v>
      </c>
      <c r="O439">
        <v>0</v>
      </c>
      <c r="Q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>
        <f>AND(IF(Metadata!C439="",FALSE,TRUE),exact(Metadata!C439,"human-skin"))</f>
        <v>0</v>
      </c>
      <c r="S439">
        <f>OR(AND(IF(Metadata!D439="",FALSE,TRUE),OR(exact(Metadata!D439,"missing: not collected"),exact(Metadata!D439,"missing: not provided"))),AND(IF(Metadata!D439="",FALSE,TRUE),OR(exact(Metadata!D439,"UBERON:zone of skin"),exact(Metadata!D439,"UBERON:skin of hand"),exact(Metadata!D439,"UBERON:skin of forehead"))))</f>
        <v>0</v>
      </c>
      <c r="T439">
        <f>AND(IF(Metadata!E439="",FALSE,TRUE),exact(Metadata!E439,"human skin metagenome"))</f>
        <v>0</v>
      </c>
      <c r="U439">
        <f>AND(IF(Metadata!F439="",FALSE,TRUE),exact(Metadata!F439,"539655"))</f>
        <v>0</v>
      </c>
    </row>
    <row r="440" spans="1:21">
      <c r="A440" s="4">
        <f>IF(B440=" "," ",HYPERLINK(CONCATENATE("#metadata!",ADDRESS(INDEX($L$2:$L$1001,MATCH(ROWS($J$2:J440),$J$2:$J$1001,0),0),1)),INDEX($O$2:$O$1001,MATCH(ROWS($J$2:J440),$J$2:$J$1001,0),0)))</f>
        <v>0</v>
      </c>
      <c r="B440" s="3">
        <f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>0</v>
      </c>
      <c r="C440" s="3">
        <f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>0</v>
      </c>
      <c r="D440" s="3">
        <f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>0</v>
      </c>
      <c r="E440" s="3">
        <f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>0</v>
      </c>
      <c r="F440" s="3">
        <f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>0</v>
      </c>
      <c r="J440">
        <v>0</v>
      </c>
      <c r="K440">
        <v>0</v>
      </c>
      <c r="L440">
        <v>0</v>
      </c>
      <c r="M440">
        <f>IF(N440,TRUE,AND(Q440:U440))</f>
        <v>0</v>
      </c>
      <c r="N440">
        <f>COUNTBLANK(Metadata!B440:F440)=COLUMNS(Metadata!B440:F440)</f>
        <v>0</v>
      </c>
      <c r="O440">
        <v>0</v>
      </c>
      <c r="Q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>
        <f>AND(IF(Metadata!C440="",FALSE,TRUE),exact(Metadata!C440,"human-skin"))</f>
        <v>0</v>
      </c>
      <c r="S440">
        <f>OR(AND(IF(Metadata!D440="",FALSE,TRUE),OR(exact(Metadata!D440,"missing: not collected"),exact(Metadata!D440,"missing: not provided"))),AND(IF(Metadata!D440="",FALSE,TRUE),OR(exact(Metadata!D440,"UBERON:zone of skin"),exact(Metadata!D440,"UBERON:skin of hand"),exact(Metadata!D440,"UBERON:skin of forehead"))))</f>
        <v>0</v>
      </c>
      <c r="T440">
        <f>AND(IF(Metadata!E440="",FALSE,TRUE),exact(Metadata!E440,"human skin metagenome"))</f>
        <v>0</v>
      </c>
      <c r="U440">
        <f>AND(IF(Metadata!F440="",FALSE,TRUE),exact(Metadata!F440,"539655"))</f>
        <v>0</v>
      </c>
    </row>
    <row r="441" spans="1:21">
      <c r="A441" s="4">
        <f>IF(B441=" "," ",HYPERLINK(CONCATENATE("#metadata!",ADDRESS(INDEX($L$2:$L$1001,MATCH(ROWS($J$2:J441),$J$2:$J$1001,0),0),1)),INDEX($O$2:$O$1001,MATCH(ROWS($J$2:J441),$J$2:$J$1001,0),0)))</f>
        <v>0</v>
      </c>
      <c r="B441" s="3">
        <f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>0</v>
      </c>
      <c r="C441" s="3">
        <f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>0</v>
      </c>
      <c r="D441" s="3">
        <f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>0</v>
      </c>
      <c r="E441" s="3">
        <f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>0</v>
      </c>
      <c r="F441" s="3">
        <f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>0</v>
      </c>
      <c r="J441">
        <v>0</v>
      </c>
      <c r="K441">
        <v>0</v>
      </c>
      <c r="L441">
        <v>0</v>
      </c>
      <c r="M441">
        <f>IF(N441,TRUE,AND(Q441:U441))</f>
        <v>0</v>
      </c>
      <c r="N441">
        <f>COUNTBLANK(Metadata!B441:F441)=COLUMNS(Metadata!B441:F441)</f>
        <v>0</v>
      </c>
      <c r="O441">
        <v>0</v>
      </c>
      <c r="Q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>
        <f>AND(IF(Metadata!C441="",FALSE,TRUE),exact(Metadata!C441,"human-skin"))</f>
        <v>0</v>
      </c>
      <c r="S441">
        <f>OR(AND(IF(Metadata!D441="",FALSE,TRUE),OR(exact(Metadata!D441,"missing: not collected"),exact(Metadata!D441,"missing: not provided"))),AND(IF(Metadata!D441="",FALSE,TRUE),OR(exact(Metadata!D441,"UBERON:zone of skin"),exact(Metadata!D441,"UBERON:skin of hand"),exact(Metadata!D441,"UBERON:skin of forehead"))))</f>
        <v>0</v>
      </c>
      <c r="T441">
        <f>AND(IF(Metadata!E441="",FALSE,TRUE),exact(Metadata!E441,"human skin metagenome"))</f>
        <v>0</v>
      </c>
      <c r="U441">
        <f>AND(IF(Metadata!F441="",FALSE,TRUE),exact(Metadata!F441,"539655"))</f>
        <v>0</v>
      </c>
    </row>
    <row r="442" spans="1:21">
      <c r="A442" s="4">
        <f>IF(B442=" "," ",HYPERLINK(CONCATENATE("#metadata!",ADDRESS(INDEX($L$2:$L$1001,MATCH(ROWS($J$2:J442),$J$2:$J$1001,0),0),1)),INDEX($O$2:$O$1001,MATCH(ROWS($J$2:J442),$J$2:$J$1001,0),0)))</f>
        <v>0</v>
      </c>
      <c r="B442" s="3">
        <f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>0</v>
      </c>
      <c r="C442" s="3">
        <f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>0</v>
      </c>
      <c r="D442" s="3">
        <f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>0</v>
      </c>
      <c r="E442" s="3">
        <f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>0</v>
      </c>
      <c r="F442" s="3">
        <f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>0</v>
      </c>
      <c r="J442">
        <v>0</v>
      </c>
      <c r="K442">
        <v>0</v>
      </c>
      <c r="L442">
        <v>0</v>
      </c>
      <c r="M442">
        <f>IF(N442,TRUE,AND(Q442:U442))</f>
        <v>0</v>
      </c>
      <c r="N442">
        <f>COUNTBLANK(Metadata!B442:F442)=COLUMNS(Metadata!B442:F442)</f>
        <v>0</v>
      </c>
      <c r="O442">
        <v>0</v>
      </c>
      <c r="Q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>
        <f>AND(IF(Metadata!C442="",FALSE,TRUE),exact(Metadata!C442,"human-skin"))</f>
        <v>0</v>
      </c>
      <c r="S442">
        <f>OR(AND(IF(Metadata!D442="",FALSE,TRUE),OR(exact(Metadata!D442,"missing: not collected"),exact(Metadata!D442,"missing: not provided"))),AND(IF(Metadata!D442="",FALSE,TRUE),OR(exact(Metadata!D442,"UBERON:zone of skin"),exact(Metadata!D442,"UBERON:skin of hand"),exact(Metadata!D442,"UBERON:skin of forehead"))))</f>
        <v>0</v>
      </c>
      <c r="T442">
        <f>AND(IF(Metadata!E442="",FALSE,TRUE),exact(Metadata!E442,"human skin metagenome"))</f>
        <v>0</v>
      </c>
      <c r="U442">
        <f>AND(IF(Metadata!F442="",FALSE,TRUE),exact(Metadata!F442,"539655"))</f>
        <v>0</v>
      </c>
    </row>
    <row r="443" spans="1:21">
      <c r="A443" s="4">
        <f>IF(B443=" "," ",HYPERLINK(CONCATENATE("#metadata!",ADDRESS(INDEX($L$2:$L$1001,MATCH(ROWS($J$2:J443),$J$2:$J$1001,0),0),1)),INDEX($O$2:$O$1001,MATCH(ROWS($J$2:J443),$J$2:$J$1001,0),0)))</f>
        <v>0</v>
      </c>
      <c r="B443" s="3">
        <f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>0</v>
      </c>
      <c r="C443" s="3">
        <f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>0</v>
      </c>
      <c r="D443" s="3">
        <f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>0</v>
      </c>
      <c r="E443" s="3">
        <f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>0</v>
      </c>
      <c r="F443" s="3">
        <f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>0</v>
      </c>
      <c r="J443">
        <v>0</v>
      </c>
      <c r="K443">
        <v>0</v>
      </c>
      <c r="L443">
        <v>0</v>
      </c>
      <c r="M443">
        <f>IF(N443,TRUE,AND(Q443:U443))</f>
        <v>0</v>
      </c>
      <c r="N443">
        <f>COUNTBLANK(Metadata!B443:F443)=COLUMNS(Metadata!B443:F443)</f>
        <v>0</v>
      </c>
      <c r="O443">
        <v>0</v>
      </c>
      <c r="Q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>
        <f>AND(IF(Metadata!C443="",FALSE,TRUE),exact(Metadata!C443,"human-skin"))</f>
        <v>0</v>
      </c>
      <c r="S443">
        <f>OR(AND(IF(Metadata!D443="",FALSE,TRUE),OR(exact(Metadata!D443,"missing: not collected"),exact(Metadata!D443,"missing: not provided"))),AND(IF(Metadata!D443="",FALSE,TRUE),OR(exact(Metadata!D443,"UBERON:zone of skin"),exact(Metadata!D443,"UBERON:skin of hand"),exact(Metadata!D443,"UBERON:skin of forehead"))))</f>
        <v>0</v>
      </c>
      <c r="T443">
        <f>AND(IF(Metadata!E443="",FALSE,TRUE),exact(Metadata!E443,"human skin metagenome"))</f>
        <v>0</v>
      </c>
      <c r="U443">
        <f>AND(IF(Metadata!F443="",FALSE,TRUE),exact(Metadata!F443,"539655"))</f>
        <v>0</v>
      </c>
    </row>
    <row r="444" spans="1:21">
      <c r="A444" s="4">
        <f>IF(B444=" "," ",HYPERLINK(CONCATENATE("#metadata!",ADDRESS(INDEX($L$2:$L$1001,MATCH(ROWS($J$2:J444),$J$2:$J$1001,0),0),1)),INDEX($O$2:$O$1001,MATCH(ROWS($J$2:J444),$J$2:$J$1001,0),0)))</f>
        <v>0</v>
      </c>
      <c r="B444" s="3">
        <f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>0</v>
      </c>
      <c r="C444" s="3">
        <f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>0</v>
      </c>
      <c r="D444" s="3">
        <f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>0</v>
      </c>
      <c r="E444" s="3">
        <f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>0</v>
      </c>
      <c r="F444" s="3">
        <f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>0</v>
      </c>
      <c r="J444">
        <v>0</v>
      </c>
      <c r="K444">
        <v>0</v>
      </c>
      <c r="L444">
        <v>0</v>
      </c>
      <c r="M444">
        <f>IF(N444,TRUE,AND(Q444:U444))</f>
        <v>0</v>
      </c>
      <c r="N444">
        <f>COUNTBLANK(Metadata!B444:F444)=COLUMNS(Metadata!B444:F444)</f>
        <v>0</v>
      </c>
      <c r="O444">
        <v>0</v>
      </c>
      <c r="Q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>
        <f>AND(IF(Metadata!C444="",FALSE,TRUE),exact(Metadata!C444,"human-skin"))</f>
        <v>0</v>
      </c>
      <c r="S444">
        <f>OR(AND(IF(Metadata!D444="",FALSE,TRUE),OR(exact(Metadata!D444,"missing: not collected"),exact(Metadata!D444,"missing: not provided"))),AND(IF(Metadata!D444="",FALSE,TRUE),OR(exact(Metadata!D444,"UBERON:zone of skin"),exact(Metadata!D444,"UBERON:skin of hand"),exact(Metadata!D444,"UBERON:skin of forehead"))))</f>
        <v>0</v>
      </c>
      <c r="T444">
        <f>AND(IF(Metadata!E444="",FALSE,TRUE),exact(Metadata!E444,"human skin metagenome"))</f>
        <v>0</v>
      </c>
      <c r="U444">
        <f>AND(IF(Metadata!F444="",FALSE,TRUE),exact(Metadata!F444,"539655"))</f>
        <v>0</v>
      </c>
    </row>
    <row r="445" spans="1:21">
      <c r="A445" s="4">
        <f>IF(B445=" "," ",HYPERLINK(CONCATENATE("#metadata!",ADDRESS(INDEX($L$2:$L$1001,MATCH(ROWS($J$2:J445),$J$2:$J$1001,0),0),1)),INDEX($O$2:$O$1001,MATCH(ROWS($J$2:J445),$J$2:$J$1001,0),0)))</f>
        <v>0</v>
      </c>
      <c r="B445" s="3">
        <f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>0</v>
      </c>
      <c r="C445" s="3">
        <f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>0</v>
      </c>
      <c r="D445" s="3">
        <f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>0</v>
      </c>
      <c r="E445" s="3">
        <f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>0</v>
      </c>
      <c r="F445" s="3">
        <f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>0</v>
      </c>
      <c r="J445">
        <v>0</v>
      </c>
      <c r="K445">
        <v>0</v>
      </c>
      <c r="L445">
        <v>0</v>
      </c>
      <c r="M445">
        <f>IF(N445,TRUE,AND(Q445:U445))</f>
        <v>0</v>
      </c>
      <c r="N445">
        <f>COUNTBLANK(Metadata!B445:F445)=COLUMNS(Metadata!B445:F445)</f>
        <v>0</v>
      </c>
      <c r="O445">
        <v>0</v>
      </c>
      <c r="Q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>
        <f>AND(IF(Metadata!C445="",FALSE,TRUE),exact(Metadata!C445,"human-skin"))</f>
        <v>0</v>
      </c>
      <c r="S445">
        <f>OR(AND(IF(Metadata!D445="",FALSE,TRUE),OR(exact(Metadata!D445,"missing: not collected"),exact(Metadata!D445,"missing: not provided"))),AND(IF(Metadata!D445="",FALSE,TRUE),OR(exact(Metadata!D445,"UBERON:zone of skin"),exact(Metadata!D445,"UBERON:skin of hand"),exact(Metadata!D445,"UBERON:skin of forehead"))))</f>
        <v>0</v>
      </c>
      <c r="T445">
        <f>AND(IF(Metadata!E445="",FALSE,TRUE),exact(Metadata!E445,"human skin metagenome"))</f>
        <v>0</v>
      </c>
      <c r="U445">
        <f>AND(IF(Metadata!F445="",FALSE,TRUE),exact(Metadata!F445,"539655"))</f>
        <v>0</v>
      </c>
    </row>
    <row r="446" spans="1:21">
      <c r="A446" s="4">
        <f>IF(B446=" "," ",HYPERLINK(CONCATENATE("#metadata!",ADDRESS(INDEX($L$2:$L$1001,MATCH(ROWS($J$2:J446),$J$2:$J$1001,0),0),1)),INDEX($O$2:$O$1001,MATCH(ROWS($J$2:J446),$J$2:$J$1001,0),0)))</f>
        <v>0</v>
      </c>
      <c r="B446" s="3">
        <f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>0</v>
      </c>
      <c r="C446" s="3">
        <f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>0</v>
      </c>
      <c r="D446" s="3">
        <f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>0</v>
      </c>
      <c r="E446" s="3">
        <f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>0</v>
      </c>
      <c r="F446" s="3">
        <f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>0</v>
      </c>
      <c r="J446">
        <v>0</v>
      </c>
      <c r="K446">
        <v>0</v>
      </c>
      <c r="L446">
        <v>0</v>
      </c>
      <c r="M446">
        <f>IF(N446,TRUE,AND(Q446:U446))</f>
        <v>0</v>
      </c>
      <c r="N446">
        <f>COUNTBLANK(Metadata!B446:F446)=COLUMNS(Metadata!B446:F446)</f>
        <v>0</v>
      </c>
      <c r="O446">
        <v>0</v>
      </c>
      <c r="Q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>
        <f>AND(IF(Metadata!C446="",FALSE,TRUE),exact(Metadata!C446,"human-skin"))</f>
        <v>0</v>
      </c>
      <c r="S446">
        <f>OR(AND(IF(Metadata!D446="",FALSE,TRUE),OR(exact(Metadata!D446,"missing: not collected"),exact(Metadata!D446,"missing: not provided"))),AND(IF(Metadata!D446="",FALSE,TRUE),OR(exact(Metadata!D446,"UBERON:zone of skin"),exact(Metadata!D446,"UBERON:skin of hand"),exact(Metadata!D446,"UBERON:skin of forehead"))))</f>
        <v>0</v>
      </c>
      <c r="T446">
        <f>AND(IF(Metadata!E446="",FALSE,TRUE),exact(Metadata!E446,"human skin metagenome"))</f>
        <v>0</v>
      </c>
      <c r="U446">
        <f>AND(IF(Metadata!F446="",FALSE,TRUE),exact(Metadata!F446,"539655"))</f>
        <v>0</v>
      </c>
    </row>
    <row r="447" spans="1:21">
      <c r="A447" s="4">
        <f>IF(B447=" "," ",HYPERLINK(CONCATENATE("#metadata!",ADDRESS(INDEX($L$2:$L$1001,MATCH(ROWS($J$2:J447),$J$2:$J$1001,0),0),1)),INDEX($O$2:$O$1001,MATCH(ROWS($J$2:J447),$J$2:$J$1001,0),0)))</f>
        <v>0</v>
      </c>
      <c r="B447" s="3">
        <f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>0</v>
      </c>
      <c r="C447" s="3">
        <f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>0</v>
      </c>
      <c r="D447" s="3">
        <f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>0</v>
      </c>
      <c r="E447" s="3">
        <f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>0</v>
      </c>
      <c r="F447" s="3">
        <f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>0</v>
      </c>
      <c r="J447">
        <v>0</v>
      </c>
      <c r="K447">
        <v>0</v>
      </c>
      <c r="L447">
        <v>0</v>
      </c>
      <c r="M447">
        <f>IF(N447,TRUE,AND(Q447:U447))</f>
        <v>0</v>
      </c>
      <c r="N447">
        <f>COUNTBLANK(Metadata!B447:F447)=COLUMNS(Metadata!B447:F447)</f>
        <v>0</v>
      </c>
      <c r="O447">
        <v>0</v>
      </c>
      <c r="Q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>
        <f>AND(IF(Metadata!C447="",FALSE,TRUE),exact(Metadata!C447,"human-skin"))</f>
        <v>0</v>
      </c>
      <c r="S447">
        <f>OR(AND(IF(Metadata!D447="",FALSE,TRUE),OR(exact(Metadata!D447,"missing: not collected"),exact(Metadata!D447,"missing: not provided"))),AND(IF(Metadata!D447="",FALSE,TRUE),OR(exact(Metadata!D447,"UBERON:zone of skin"),exact(Metadata!D447,"UBERON:skin of hand"),exact(Metadata!D447,"UBERON:skin of forehead"))))</f>
        <v>0</v>
      </c>
      <c r="T447">
        <f>AND(IF(Metadata!E447="",FALSE,TRUE),exact(Metadata!E447,"human skin metagenome"))</f>
        <v>0</v>
      </c>
      <c r="U447">
        <f>AND(IF(Metadata!F447="",FALSE,TRUE),exact(Metadata!F447,"539655"))</f>
        <v>0</v>
      </c>
    </row>
    <row r="448" spans="1:21">
      <c r="A448" s="4">
        <f>IF(B448=" "," ",HYPERLINK(CONCATENATE("#metadata!",ADDRESS(INDEX($L$2:$L$1001,MATCH(ROWS($J$2:J448),$J$2:$J$1001,0),0),1)),INDEX($O$2:$O$1001,MATCH(ROWS($J$2:J448),$J$2:$J$1001,0),0)))</f>
        <v>0</v>
      </c>
      <c r="B448" s="3">
        <f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>0</v>
      </c>
      <c r="C448" s="3">
        <f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>0</v>
      </c>
      <c r="D448" s="3">
        <f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>0</v>
      </c>
      <c r="E448" s="3">
        <f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>0</v>
      </c>
      <c r="F448" s="3">
        <f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>0</v>
      </c>
      <c r="J448">
        <v>0</v>
      </c>
      <c r="K448">
        <v>0</v>
      </c>
      <c r="L448">
        <v>0</v>
      </c>
      <c r="M448">
        <f>IF(N448,TRUE,AND(Q448:U448))</f>
        <v>0</v>
      </c>
      <c r="N448">
        <f>COUNTBLANK(Metadata!B448:F448)=COLUMNS(Metadata!B448:F448)</f>
        <v>0</v>
      </c>
      <c r="O448">
        <v>0</v>
      </c>
      <c r="Q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>
        <f>AND(IF(Metadata!C448="",FALSE,TRUE),exact(Metadata!C448,"human-skin"))</f>
        <v>0</v>
      </c>
      <c r="S448">
        <f>OR(AND(IF(Metadata!D448="",FALSE,TRUE),OR(exact(Metadata!D448,"missing: not collected"),exact(Metadata!D448,"missing: not provided"))),AND(IF(Metadata!D448="",FALSE,TRUE),OR(exact(Metadata!D448,"UBERON:zone of skin"),exact(Metadata!D448,"UBERON:skin of hand"),exact(Metadata!D448,"UBERON:skin of forehead"))))</f>
        <v>0</v>
      </c>
      <c r="T448">
        <f>AND(IF(Metadata!E448="",FALSE,TRUE),exact(Metadata!E448,"human skin metagenome"))</f>
        <v>0</v>
      </c>
      <c r="U448">
        <f>AND(IF(Metadata!F448="",FALSE,TRUE),exact(Metadata!F448,"539655"))</f>
        <v>0</v>
      </c>
    </row>
    <row r="449" spans="1:21">
      <c r="A449" s="4">
        <f>IF(B449=" "," ",HYPERLINK(CONCATENATE("#metadata!",ADDRESS(INDEX($L$2:$L$1001,MATCH(ROWS($J$2:J449),$J$2:$J$1001,0),0),1)),INDEX($O$2:$O$1001,MATCH(ROWS($J$2:J449),$J$2:$J$1001,0),0)))</f>
        <v>0</v>
      </c>
      <c r="B449" s="3">
        <f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>0</v>
      </c>
      <c r="C449" s="3">
        <f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>0</v>
      </c>
      <c r="D449" s="3">
        <f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>0</v>
      </c>
      <c r="E449" s="3">
        <f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>0</v>
      </c>
      <c r="F449" s="3">
        <f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>0</v>
      </c>
      <c r="J449">
        <v>0</v>
      </c>
      <c r="K449">
        <v>0</v>
      </c>
      <c r="L449">
        <v>0</v>
      </c>
      <c r="M449">
        <f>IF(N449,TRUE,AND(Q449:U449))</f>
        <v>0</v>
      </c>
      <c r="N449">
        <f>COUNTBLANK(Metadata!B449:F449)=COLUMNS(Metadata!B449:F449)</f>
        <v>0</v>
      </c>
      <c r="O449">
        <v>0</v>
      </c>
      <c r="Q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>
        <f>AND(IF(Metadata!C449="",FALSE,TRUE),exact(Metadata!C449,"human-skin"))</f>
        <v>0</v>
      </c>
      <c r="S449">
        <f>OR(AND(IF(Metadata!D449="",FALSE,TRUE),OR(exact(Metadata!D449,"missing: not collected"),exact(Metadata!D449,"missing: not provided"))),AND(IF(Metadata!D449="",FALSE,TRUE),OR(exact(Metadata!D449,"UBERON:zone of skin"),exact(Metadata!D449,"UBERON:skin of hand"),exact(Metadata!D449,"UBERON:skin of forehead"))))</f>
        <v>0</v>
      </c>
      <c r="T449">
        <f>AND(IF(Metadata!E449="",FALSE,TRUE),exact(Metadata!E449,"human skin metagenome"))</f>
        <v>0</v>
      </c>
      <c r="U449">
        <f>AND(IF(Metadata!F449="",FALSE,TRUE),exact(Metadata!F449,"539655"))</f>
        <v>0</v>
      </c>
    </row>
    <row r="450" spans="1:21">
      <c r="A450" s="4">
        <f>IF(B450=" "," ",HYPERLINK(CONCATENATE("#metadata!",ADDRESS(INDEX($L$2:$L$1001,MATCH(ROWS($J$2:J450),$J$2:$J$1001,0),0),1)),INDEX($O$2:$O$1001,MATCH(ROWS($J$2:J450),$J$2:$J$1001,0),0)))</f>
        <v>0</v>
      </c>
      <c r="B450" s="3">
        <f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>0</v>
      </c>
      <c r="C450" s="3">
        <f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>0</v>
      </c>
      <c r="D450" s="3">
        <f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>0</v>
      </c>
      <c r="E450" s="3">
        <f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>0</v>
      </c>
      <c r="F450" s="3">
        <f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>0</v>
      </c>
      <c r="J450">
        <v>0</v>
      </c>
      <c r="K450">
        <v>0</v>
      </c>
      <c r="L450">
        <v>0</v>
      </c>
      <c r="M450">
        <f>IF(N450,TRUE,AND(Q450:U450))</f>
        <v>0</v>
      </c>
      <c r="N450">
        <f>COUNTBLANK(Metadata!B450:F450)=COLUMNS(Metadata!B450:F450)</f>
        <v>0</v>
      </c>
      <c r="O450">
        <v>0</v>
      </c>
      <c r="Q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>
        <f>AND(IF(Metadata!C450="",FALSE,TRUE),exact(Metadata!C450,"human-skin"))</f>
        <v>0</v>
      </c>
      <c r="S450">
        <f>OR(AND(IF(Metadata!D450="",FALSE,TRUE),OR(exact(Metadata!D450,"missing: not collected"),exact(Metadata!D450,"missing: not provided"))),AND(IF(Metadata!D450="",FALSE,TRUE),OR(exact(Metadata!D450,"UBERON:zone of skin"),exact(Metadata!D450,"UBERON:skin of hand"),exact(Metadata!D450,"UBERON:skin of forehead"))))</f>
        <v>0</v>
      </c>
      <c r="T450">
        <f>AND(IF(Metadata!E450="",FALSE,TRUE),exact(Metadata!E450,"human skin metagenome"))</f>
        <v>0</v>
      </c>
      <c r="U450">
        <f>AND(IF(Metadata!F450="",FALSE,TRUE),exact(Metadata!F450,"539655"))</f>
        <v>0</v>
      </c>
    </row>
    <row r="451" spans="1:21">
      <c r="A451" s="4">
        <f>IF(B451=" "," ",HYPERLINK(CONCATENATE("#metadata!",ADDRESS(INDEX($L$2:$L$1001,MATCH(ROWS($J$2:J451),$J$2:$J$1001,0),0),1)),INDEX($O$2:$O$1001,MATCH(ROWS($J$2:J451),$J$2:$J$1001,0),0)))</f>
        <v>0</v>
      </c>
      <c r="B451" s="3">
        <f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>0</v>
      </c>
      <c r="C451" s="3">
        <f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>0</v>
      </c>
      <c r="D451" s="3">
        <f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>0</v>
      </c>
      <c r="E451" s="3">
        <f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>0</v>
      </c>
      <c r="F451" s="3">
        <f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>0</v>
      </c>
      <c r="J451">
        <v>0</v>
      </c>
      <c r="K451">
        <v>0</v>
      </c>
      <c r="L451">
        <v>0</v>
      </c>
      <c r="M451">
        <f>IF(N451,TRUE,AND(Q451:U451))</f>
        <v>0</v>
      </c>
      <c r="N451">
        <f>COUNTBLANK(Metadata!B451:F451)=COLUMNS(Metadata!B451:F451)</f>
        <v>0</v>
      </c>
      <c r="O451">
        <v>0</v>
      </c>
      <c r="Q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>
        <f>AND(IF(Metadata!C451="",FALSE,TRUE),exact(Metadata!C451,"human-skin"))</f>
        <v>0</v>
      </c>
      <c r="S451">
        <f>OR(AND(IF(Metadata!D451="",FALSE,TRUE),OR(exact(Metadata!D451,"missing: not collected"),exact(Metadata!D451,"missing: not provided"))),AND(IF(Metadata!D451="",FALSE,TRUE),OR(exact(Metadata!D451,"UBERON:zone of skin"),exact(Metadata!D451,"UBERON:skin of hand"),exact(Metadata!D451,"UBERON:skin of forehead"))))</f>
        <v>0</v>
      </c>
      <c r="T451">
        <f>AND(IF(Metadata!E451="",FALSE,TRUE),exact(Metadata!E451,"human skin metagenome"))</f>
        <v>0</v>
      </c>
      <c r="U451">
        <f>AND(IF(Metadata!F451="",FALSE,TRUE),exact(Metadata!F451,"539655"))</f>
        <v>0</v>
      </c>
    </row>
    <row r="452" spans="1:21">
      <c r="A452" s="4">
        <f>IF(B452=" "," ",HYPERLINK(CONCATENATE("#metadata!",ADDRESS(INDEX($L$2:$L$1001,MATCH(ROWS($J$2:J452),$J$2:$J$1001,0),0),1)),INDEX($O$2:$O$1001,MATCH(ROWS($J$2:J452),$J$2:$J$1001,0),0)))</f>
        <v>0</v>
      </c>
      <c r="B452" s="3">
        <f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>0</v>
      </c>
      <c r="C452" s="3">
        <f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>0</v>
      </c>
      <c r="D452" s="3">
        <f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>0</v>
      </c>
      <c r="E452" s="3">
        <f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>0</v>
      </c>
      <c r="F452" s="3">
        <f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>0</v>
      </c>
      <c r="J452">
        <v>0</v>
      </c>
      <c r="K452">
        <v>0</v>
      </c>
      <c r="L452">
        <v>0</v>
      </c>
      <c r="M452">
        <f>IF(N452,TRUE,AND(Q452:U452))</f>
        <v>0</v>
      </c>
      <c r="N452">
        <f>COUNTBLANK(Metadata!B452:F452)=COLUMNS(Metadata!B452:F452)</f>
        <v>0</v>
      </c>
      <c r="O452">
        <v>0</v>
      </c>
      <c r="Q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>
        <f>AND(IF(Metadata!C452="",FALSE,TRUE),exact(Metadata!C452,"human-skin"))</f>
        <v>0</v>
      </c>
      <c r="S452">
        <f>OR(AND(IF(Metadata!D452="",FALSE,TRUE),OR(exact(Metadata!D452,"missing: not collected"),exact(Metadata!D452,"missing: not provided"))),AND(IF(Metadata!D452="",FALSE,TRUE),OR(exact(Metadata!D452,"UBERON:zone of skin"),exact(Metadata!D452,"UBERON:skin of hand"),exact(Metadata!D452,"UBERON:skin of forehead"))))</f>
        <v>0</v>
      </c>
      <c r="T452">
        <f>AND(IF(Metadata!E452="",FALSE,TRUE),exact(Metadata!E452,"human skin metagenome"))</f>
        <v>0</v>
      </c>
      <c r="U452">
        <f>AND(IF(Metadata!F452="",FALSE,TRUE),exact(Metadata!F452,"539655"))</f>
        <v>0</v>
      </c>
    </row>
    <row r="453" spans="1:21">
      <c r="A453" s="4">
        <f>IF(B453=" "," ",HYPERLINK(CONCATENATE("#metadata!",ADDRESS(INDEX($L$2:$L$1001,MATCH(ROWS($J$2:J453),$J$2:$J$1001,0),0),1)),INDEX($O$2:$O$1001,MATCH(ROWS($J$2:J453),$J$2:$J$1001,0),0)))</f>
        <v>0</v>
      </c>
      <c r="B453" s="3">
        <f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>0</v>
      </c>
      <c r="C453" s="3">
        <f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>0</v>
      </c>
      <c r="D453" s="3">
        <f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>0</v>
      </c>
      <c r="E453" s="3">
        <f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>0</v>
      </c>
      <c r="F453" s="3">
        <f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>0</v>
      </c>
      <c r="J453">
        <v>0</v>
      </c>
      <c r="K453">
        <v>0</v>
      </c>
      <c r="L453">
        <v>0</v>
      </c>
      <c r="M453">
        <f>IF(N453,TRUE,AND(Q453:U453))</f>
        <v>0</v>
      </c>
      <c r="N453">
        <f>COUNTBLANK(Metadata!B453:F453)=COLUMNS(Metadata!B453:F453)</f>
        <v>0</v>
      </c>
      <c r="O453">
        <v>0</v>
      </c>
      <c r="Q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>
        <f>AND(IF(Metadata!C453="",FALSE,TRUE),exact(Metadata!C453,"human-skin"))</f>
        <v>0</v>
      </c>
      <c r="S453">
        <f>OR(AND(IF(Metadata!D453="",FALSE,TRUE),OR(exact(Metadata!D453,"missing: not collected"),exact(Metadata!D453,"missing: not provided"))),AND(IF(Metadata!D453="",FALSE,TRUE),OR(exact(Metadata!D453,"UBERON:zone of skin"),exact(Metadata!D453,"UBERON:skin of hand"),exact(Metadata!D453,"UBERON:skin of forehead"))))</f>
        <v>0</v>
      </c>
      <c r="T453">
        <f>AND(IF(Metadata!E453="",FALSE,TRUE),exact(Metadata!E453,"human skin metagenome"))</f>
        <v>0</v>
      </c>
      <c r="U453">
        <f>AND(IF(Metadata!F453="",FALSE,TRUE),exact(Metadata!F453,"539655"))</f>
        <v>0</v>
      </c>
    </row>
    <row r="454" spans="1:21">
      <c r="A454" s="4">
        <f>IF(B454=" "," ",HYPERLINK(CONCATENATE("#metadata!",ADDRESS(INDEX($L$2:$L$1001,MATCH(ROWS($J$2:J454),$J$2:$J$1001,0),0),1)),INDEX($O$2:$O$1001,MATCH(ROWS($J$2:J454),$J$2:$J$1001,0),0)))</f>
        <v>0</v>
      </c>
      <c r="B454" s="3">
        <f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>0</v>
      </c>
      <c r="C454" s="3">
        <f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>0</v>
      </c>
      <c r="D454" s="3">
        <f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>0</v>
      </c>
      <c r="E454" s="3">
        <f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>0</v>
      </c>
      <c r="F454" s="3">
        <f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>0</v>
      </c>
      <c r="J454">
        <v>0</v>
      </c>
      <c r="K454">
        <v>0</v>
      </c>
      <c r="L454">
        <v>0</v>
      </c>
      <c r="M454">
        <f>IF(N454,TRUE,AND(Q454:U454))</f>
        <v>0</v>
      </c>
      <c r="N454">
        <f>COUNTBLANK(Metadata!B454:F454)=COLUMNS(Metadata!B454:F454)</f>
        <v>0</v>
      </c>
      <c r="O454">
        <v>0</v>
      </c>
      <c r="Q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>
        <f>AND(IF(Metadata!C454="",FALSE,TRUE),exact(Metadata!C454,"human-skin"))</f>
        <v>0</v>
      </c>
      <c r="S454">
        <f>OR(AND(IF(Metadata!D454="",FALSE,TRUE),OR(exact(Metadata!D454,"missing: not collected"),exact(Metadata!D454,"missing: not provided"))),AND(IF(Metadata!D454="",FALSE,TRUE),OR(exact(Metadata!D454,"UBERON:zone of skin"),exact(Metadata!D454,"UBERON:skin of hand"),exact(Metadata!D454,"UBERON:skin of forehead"))))</f>
        <v>0</v>
      </c>
      <c r="T454">
        <f>AND(IF(Metadata!E454="",FALSE,TRUE),exact(Metadata!E454,"human skin metagenome"))</f>
        <v>0</v>
      </c>
      <c r="U454">
        <f>AND(IF(Metadata!F454="",FALSE,TRUE),exact(Metadata!F454,"539655"))</f>
        <v>0</v>
      </c>
    </row>
    <row r="455" spans="1:21">
      <c r="A455" s="4">
        <f>IF(B455=" "," ",HYPERLINK(CONCATENATE("#metadata!",ADDRESS(INDEX($L$2:$L$1001,MATCH(ROWS($J$2:J455),$J$2:$J$1001,0),0),1)),INDEX($O$2:$O$1001,MATCH(ROWS($J$2:J455),$J$2:$J$1001,0),0)))</f>
        <v>0</v>
      </c>
      <c r="B455" s="3">
        <f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>0</v>
      </c>
      <c r="C455" s="3">
        <f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>0</v>
      </c>
      <c r="D455" s="3">
        <f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>0</v>
      </c>
      <c r="E455" s="3">
        <f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>0</v>
      </c>
      <c r="F455" s="3">
        <f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>0</v>
      </c>
      <c r="J455">
        <v>0</v>
      </c>
      <c r="K455">
        <v>0</v>
      </c>
      <c r="L455">
        <v>0</v>
      </c>
      <c r="M455">
        <f>IF(N455,TRUE,AND(Q455:U455))</f>
        <v>0</v>
      </c>
      <c r="N455">
        <f>COUNTBLANK(Metadata!B455:F455)=COLUMNS(Metadata!B455:F455)</f>
        <v>0</v>
      </c>
      <c r="O455">
        <v>0</v>
      </c>
      <c r="Q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>
        <f>AND(IF(Metadata!C455="",FALSE,TRUE),exact(Metadata!C455,"human-skin"))</f>
        <v>0</v>
      </c>
      <c r="S455">
        <f>OR(AND(IF(Metadata!D455="",FALSE,TRUE),OR(exact(Metadata!D455,"missing: not collected"),exact(Metadata!D455,"missing: not provided"))),AND(IF(Metadata!D455="",FALSE,TRUE),OR(exact(Metadata!D455,"UBERON:zone of skin"),exact(Metadata!D455,"UBERON:skin of hand"),exact(Metadata!D455,"UBERON:skin of forehead"))))</f>
        <v>0</v>
      </c>
      <c r="T455">
        <f>AND(IF(Metadata!E455="",FALSE,TRUE),exact(Metadata!E455,"human skin metagenome"))</f>
        <v>0</v>
      </c>
      <c r="U455">
        <f>AND(IF(Metadata!F455="",FALSE,TRUE),exact(Metadata!F455,"539655"))</f>
        <v>0</v>
      </c>
    </row>
    <row r="456" spans="1:21">
      <c r="A456" s="4">
        <f>IF(B456=" "," ",HYPERLINK(CONCATENATE("#metadata!",ADDRESS(INDEX($L$2:$L$1001,MATCH(ROWS($J$2:J456),$J$2:$J$1001,0),0),1)),INDEX($O$2:$O$1001,MATCH(ROWS($J$2:J456),$J$2:$J$1001,0),0)))</f>
        <v>0</v>
      </c>
      <c r="B456" s="3">
        <f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>0</v>
      </c>
      <c r="C456" s="3">
        <f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>0</v>
      </c>
      <c r="D456" s="3">
        <f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>0</v>
      </c>
      <c r="E456" s="3">
        <f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>0</v>
      </c>
      <c r="F456" s="3">
        <f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>0</v>
      </c>
      <c r="J456">
        <v>0</v>
      </c>
      <c r="K456">
        <v>0</v>
      </c>
      <c r="L456">
        <v>0</v>
      </c>
      <c r="M456">
        <f>IF(N456,TRUE,AND(Q456:U456))</f>
        <v>0</v>
      </c>
      <c r="N456">
        <f>COUNTBLANK(Metadata!B456:F456)=COLUMNS(Metadata!B456:F456)</f>
        <v>0</v>
      </c>
      <c r="O456">
        <v>0</v>
      </c>
      <c r="Q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>
        <f>AND(IF(Metadata!C456="",FALSE,TRUE),exact(Metadata!C456,"human-skin"))</f>
        <v>0</v>
      </c>
      <c r="S456">
        <f>OR(AND(IF(Metadata!D456="",FALSE,TRUE),OR(exact(Metadata!D456,"missing: not collected"),exact(Metadata!D456,"missing: not provided"))),AND(IF(Metadata!D456="",FALSE,TRUE),OR(exact(Metadata!D456,"UBERON:zone of skin"),exact(Metadata!D456,"UBERON:skin of hand"),exact(Metadata!D456,"UBERON:skin of forehead"))))</f>
        <v>0</v>
      </c>
      <c r="T456">
        <f>AND(IF(Metadata!E456="",FALSE,TRUE),exact(Metadata!E456,"human skin metagenome"))</f>
        <v>0</v>
      </c>
      <c r="U456">
        <f>AND(IF(Metadata!F456="",FALSE,TRUE),exact(Metadata!F456,"539655"))</f>
        <v>0</v>
      </c>
    </row>
    <row r="457" spans="1:21">
      <c r="A457" s="4">
        <f>IF(B457=" "," ",HYPERLINK(CONCATENATE("#metadata!",ADDRESS(INDEX($L$2:$L$1001,MATCH(ROWS($J$2:J457),$J$2:$J$1001,0),0),1)),INDEX($O$2:$O$1001,MATCH(ROWS($J$2:J457),$J$2:$J$1001,0),0)))</f>
        <v>0</v>
      </c>
      <c r="B457" s="3">
        <f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>0</v>
      </c>
      <c r="C457" s="3">
        <f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>0</v>
      </c>
      <c r="D457" s="3">
        <f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>0</v>
      </c>
      <c r="E457" s="3">
        <f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>0</v>
      </c>
      <c r="F457" s="3">
        <f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>0</v>
      </c>
      <c r="J457">
        <v>0</v>
      </c>
      <c r="K457">
        <v>0</v>
      </c>
      <c r="L457">
        <v>0</v>
      </c>
      <c r="M457">
        <f>IF(N457,TRUE,AND(Q457:U457))</f>
        <v>0</v>
      </c>
      <c r="N457">
        <f>COUNTBLANK(Metadata!B457:F457)=COLUMNS(Metadata!B457:F457)</f>
        <v>0</v>
      </c>
      <c r="O457">
        <v>0</v>
      </c>
      <c r="Q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>
        <f>AND(IF(Metadata!C457="",FALSE,TRUE),exact(Metadata!C457,"human-skin"))</f>
        <v>0</v>
      </c>
      <c r="S457">
        <f>OR(AND(IF(Metadata!D457="",FALSE,TRUE),OR(exact(Metadata!D457,"missing: not collected"),exact(Metadata!D457,"missing: not provided"))),AND(IF(Metadata!D457="",FALSE,TRUE),OR(exact(Metadata!D457,"UBERON:zone of skin"),exact(Metadata!D457,"UBERON:skin of hand"),exact(Metadata!D457,"UBERON:skin of forehead"))))</f>
        <v>0</v>
      </c>
      <c r="T457">
        <f>AND(IF(Metadata!E457="",FALSE,TRUE),exact(Metadata!E457,"human skin metagenome"))</f>
        <v>0</v>
      </c>
      <c r="U457">
        <f>AND(IF(Metadata!F457="",FALSE,TRUE),exact(Metadata!F457,"539655"))</f>
        <v>0</v>
      </c>
    </row>
    <row r="458" spans="1:21">
      <c r="A458" s="4">
        <f>IF(B458=" "," ",HYPERLINK(CONCATENATE("#metadata!",ADDRESS(INDEX($L$2:$L$1001,MATCH(ROWS($J$2:J458),$J$2:$J$1001,0),0),1)),INDEX($O$2:$O$1001,MATCH(ROWS($J$2:J458),$J$2:$J$1001,0),0)))</f>
        <v>0</v>
      </c>
      <c r="B458" s="3">
        <f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>0</v>
      </c>
      <c r="C458" s="3">
        <f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>0</v>
      </c>
      <c r="D458" s="3">
        <f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>0</v>
      </c>
      <c r="E458" s="3">
        <f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>0</v>
      </c>
      <c r="F458" s="3">
        <f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>0</v>
      </c>
      <c r="J458">
        <v>0</v>
      </c>
      <c r="K458">
        <v>0</v>
      </c>
      <c r="L458">
        <v>0</v>
      </c>
      <c r="M458">
        <f>IF(N458,TRUE,AND(Q458:U458))</f>
        <v>0</v>
      </c>
      <c r="N458">
        <f>COUNTBLANK(Metadata!B458:F458)=COLUMNS(Metadata!B458:F458)</f>
        <v>0</v>
      </c>
      <c r="O458">
        <v>0</v>
      </c>
      <c r="Q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>
        <f>AND(IF(Metadata!C458="",FALSE,TRUE),exact(Metadata!C458,"human-skin"))</f>
        <v>0</v>
      </c>
      <c r="S458">
        <f>OR(AND(IF(Metadata!D458="",FALSE,TRUE),OR(exact(Metadata!D458,"missing: not collected"),exact(Metadata!D458,"missing: not provided"))),AND(IF(Metadata!D458="",FALSE,TRUE),OR(exact(Metadata!D458,"UBERON:zone of skin"),exact(Metadata!D458,"UBERON:skin of hand"),exact(Metadata!D458,"UBERON:skin of forehead"))))</f>
        <v>0</v>
      </c>
      <c r="T458">
        <f>AND(IF(Metadata!E458="",FALSE,TRUE),exact(Metadata!E458,"human skin metagenome"))</f>
        <v>0</v>
      </c>
      <c r="U458">
        <f>AND(IF(Metadata!F458="",FALSE,TRUE),exact(Metadata!F458,"539655"))</f>
        <v>0</v>
      </c>
    </row>
    <row r="459" spans="1:21">
      <c r="A459" s="4">
        <f>IF(B459=" "," ",HYPERLINK(CONCATENATE("#metadata!",ADDRESS(INDEX($L$2:$L$1001,MATCH(ROWS($J$2:J459),$J$2:$J$1001,0),0),1)),INDEX($O$2:$O$1001,MATCH(ROWS($J$2:J459),$J$2:$J$1001,0),0)))</f>
        <v>0</v>
      </c>
      <c r="B459" s="3">
        <f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>0</v>
      </c>
      <c r="C459" s="3">
        <f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>0</v>
      </c>
      <c r="D459" s="3">
        <f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>0</v>
      </c>
      <c r="E459" s="3">
        <f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>0</v>
      </c>
      <c r="F459" s="3">
        <f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>0</v>
      </c>
      <c r="J459">
        <v>0</v>
      </c>
      <c r="K459">
        <v>0</v>
      </c>
      <c r="L459">
        <v>0</v>
      </c>
      <c r="M459">
        <f>IF(N459,TRUE,AND(Q459:U459))</f>
        <v>0</v>
      </c>
      <c r="N459">
        <f>COUNTBLANK(Metadata!B459:F459)=COLUMNS(Metadata!B459:F459)</f>
        <v>0</v>
      </c>
      <c r="O459">
        <v>0</v>
      </c>
      <c r="Q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>
        <f>AND(IF(Metadata!C459="",FALSE,TRUE),exact(Metadata!C459,"human-skin"))</f>
        <v>0</v>
      </c>
      <c r="S459">
        <f>OR(AND(IF(Metadata!D459="",FALSE,TRUE),OR(exact(Metadata!D459,"missing: not collected"),exact(Metadata!D459,"missing: not provided"))),AND(IF(Metadata!D459="",FALSE,TRUE),OR(exact(Metadata!D459,"UBERON:zone of skin"),exact(Metadata!D459,"UBERON:skin of hand"),exact(Metadata!D459,"UBERON:skin of forehead"))))</f>
        <v>0</v>
      </c>
      <c r="T459">
        <f>AND(IF(Metadata!E459="",FALSE,TRUE),exact(Metadata!E459,"human skin metagenome"))</f>
        <v>0</v>
      </c>
      <c r="U459">
        <f>AND(IF(Metadata!F459="",FALSE,TRUE),exact(Metadata!F459,"539655"))</f>
        <v>0</v>
      </c>
    </row>
    <row r="460" spans="1:21">
      <c r="A460" s="4">
        <f>IF(B460=" "," ",HYPERLINK(CONCATENATE("#metadata!",ADDRESS(INDEX($L$2:$L$1001,MATCH(ROWS($J$2:J460),$J$2:$J$1001,0),0),1)),INDEX($O$2:$O$1001,MATCH(ROWS($J$2:J460),$J$2:$J$1001,0),0)))</f>
        <v>0</v>
      </c>
      <c r="B460" s="3">
        <f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>0</v>
      </c>
      <c r="C460" s="3">
        <f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>0</v>
      </c>
      <c r="D460" s="3">
        <f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>0</v>
      </c>
      <c r="E460" s="3">
        <f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>0</v>
      </c>
      <c r="F460" s="3">
        <f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>0</v>
      </c>
      <c r="J460">
        <v>0</v>
      </c>
      <c r="K460">
        <v>0</v>
      </c>
      <c r="L460">
        <v>0</v>
      </c>
      <c r="M460">
        <f>IF(N460,TRUE,AND(Q460:U460))</f>
        <v>0</v>
      </c>
      <c r="N460">
        <f>COUNTBLANK(Metadata!B460:F460)=COLUMNS(Metadata!B460:F460)</f>
        <v>0</v>
      </c>
      <c r="O460">
        <v>0</v>
      </c>
      <c r="Q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>
        <f>AND(IF(Metadata!C460="",FALSE,TRUE),exact(Metadata!C460,"human-skin"))</f>
        <v>0</v>
      </c>
      <c r="S460">
        <f>OR(AND(IF(Metadata!D460="",FALSE,TRUE),OR(exact(Metadata!D460,"missing: not collected"),exact(Metadata!D460,"missing: not provided"))),AND(IF(Metadata!D460="",FALSE,TRUE),OR(exact(Metadata!D460,"UBERON:zone of skin"),exact(Metadata!D460,"UBERON:skin of hand"),exact(Metadata!D460,"UBERON:skin of forehead"))))</f>
        <v>0</v>
      </c>
      <c r="T460">
        <f>AND(IF(Metadata!E460="",FALSE,TRUE),exact(Metadata!E460,"human skin metagenome"))</f>
        <v>0</v>
      </c>
      <c r="U460">
        <f>AND(IF(Metadata!F460="",FALSE,TRUE),exact(Metadata!F460,"539655"))</f>
        <v>0</v>
      </c>
    </row>
    <row r="461" spans="1:21">
      <c r="A461" s="4">
        <f>IF(B461=" "," ",HYPERLINK(CONCATENATE("#metadata!",ADDRESS(INDEX($L$2:$L$1001,MATCH(ROWS($J$2:J461),$J$2:$J$1001,0),0),1)),INDEX($O$2:$O$1001,MATCH(ROWS($J$2:J461),$J$2:$J$1001,0),0)))</f>
        <v>0</v>
      </c>
      <c r="B461" s="3">
        <f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>0</v>
      </c>
      <c r="C461" s="3">
        <f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>0</v>
      </c>
      <c r="D461" s="3">
        <f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>0</v>
      </c>
      <c r="E461" s="3">
        <f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>0</v>
      </c>
      <c r="F461" s="3">
        <f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>0</v>
      </c>
      <c r="J461">
        <v>0</v>
      </c>
      <c r="K461">
        <v>0</v>
      </c>
      <c r="L461">
        <v>0</v>
      </c>
      <c r="M461">
        <f>IF(N461,TRUE,AND(Q461:U461))</f>
        <v>0</v>
      </c>
      <c r="N461">
        <f>COUNTBLANK(Metadata!B461:F461)=COLUMNS(Metadata!B461:F461)</f>
        <v>0</v>
      </c>
      <c r="O461">
        <v>0</v>
      </c>
      <c r="Q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>
        <f>AND(IF(Metadata!C461="",FALSE,TRUE),exact(Metadata!C461,"human-skin"))</f>
        <v>0</v>
      </c>
      <c r="S461">
        <f>OR(AND(IF(Metadata!D461="",FALSE,TRUE),OR(exact(Metadata!D461,"missing: not collected"),exact(Metadata!D461,"missing: not provided"))),AND(IF(Metadata!D461="",FALSE,TRUE),OR(exact(Metadata!D461,"UBERON:zone of skin"),exact(Metadata!D461,"UBERON:skin of hand"),exact(Metadata!D461,"UBERON:skin of forehead"))))</f>
        <v>0</v>
      </c>
      <c r="T461">
        <f>AND(IF(Metadata!E461="",FALSE,TRUE),exact(Metadata!E461,"human skin metagenome"))</f>
        <v>0</v>
      </c>
      <c r="U461">
        <f>AND(IF(Metadata!F461="",FALSE,TRUE),exact(Metadata!F461,"539655"))</f>
        <v>0</v>
      </c>
    </row>
    <row r="462" spans="1:21">
      <c r="A462" s="4">
        <f>IF(B462=" "," ",HYPERLINK(CONCATENATE("#metadata!",ADDRESS(INDEX($L$2:$L$1001,MATCH(ROWS($J$2:J462),$J$2:$J$1001,0),0),1)),INDEX($O$2:$O$1001,MATCH(ROWS($J$2:J462),$J$2:$J$1001,0),0)))</f>
        <v>0</v>
      </c>
      <c r="B462" s="3">
        <f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>0</v>
      </c>
      <c r="C462" s="3">
        <f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>0</v>
      </c>
      <c r="D462" s="3">
        <f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>0</v>
      </c>
      <c r="E462" s="3">
        <f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>0</v>
      </c>
      <c r="F462" s="3">
        <f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>0</v>
      </c>
      <c r="J462">
        <v>0</v>
      </c>
      <c r="K462">
        <v>0</v>
      </c>
      <c r="L462">
        <v>0</v>
      </c>
      <c r="M462">
        <f>IF(N462,TRUE,AND(Q462:U462))</f>
        <v>0</v>
      </c>
      <c r="N462">
        <f>COUNTBLANK(Metadata!B462:F462)=COLUMNS(Metadata!B462:F462)</f>
        <v>0</v>
      </c>
      <c r="O462">
        <v>0</v>
      </c>
      <c r="Q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>
        <f>AND(IF(Metadata!C462="",FALSE,TRUE),exact(Metadata!C462,"human-skin"))</f>
        <v>0</v>
      </c>
      <c r="S462">
        <f>OR(AND(IF(Metadata!D462="",FALSE,TRUE),OR(exact(Metadata!D462,"missing: not collected"),exact(Metadata!D462,"missing: not provided"))),AND(IF(Metadata!D462="",FALSE,TRUE),OR(exact(Metadata!D462,"UBERON:zone of skin"),exact(Metadata!D462,"UBERON:skin of hand"),exact(Metadata!D462,"UBERON:skin of forehead"))))</f>
        <v>0</v>
      </c>
      <c r="T462">
        <f>AND(IF(Metadata!E462="",FALSE,TRUE),exact(Metadata!E462,"human skin metagenome"))</f>
        <v>0</v>
      </c>
      <c r="U462">
        <f>AND(IF(Metadata!F462="",FALSE,TRUE),exact(Metadata!F462,"539655"))</f>
        <v>0</v>
      </c>
    </row>
    <row r="463" spans="1:21">
      <c r="A463" s="4">
        <f>IF(B463=" "," ",HYPERLINK(CONCATENATE("#metadata!",ADDRESS(INDEX($L$2:$L$1001,MATCH(ROWS($J$2:J463),$J$2:$J$1001,0),0),1)),INDEX($O$2:$O$1001,MATCH(ROWS($J$2:J463),$J$2:$J$1001,0),0)))</f>
        <v>0</v>
      </c>
      <c r="B463" s="3">
        <f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>0</v>
      </c>
      <c r="C463" s="3">
        <f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>0</v>
      </c>
      <c r="D463" s="3">
        <f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>0</v>
      </c>
      <c r="E463" s="3">
        <f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>0</v>
      </c>
      <c r="F463" s="3">
        <f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>0</v>
      </c>
      <c r="J463">
        <v>0</v>
      </c>
      <c r="K463">
        <v>0</v>
      </c>
      <c r="L463">
        <v>0</v>
      </c>
      <c r="M463">
        <f>IF(N463,TRUE,AND(Q463:U463))</f>
        <v>0</v>
      </c>
      <c r="N463">
        <f>COUNTBLANK(Metadata!B463:F463)=COLUMNS(Metadata!B463:F463)</f>
        <v>0</v>
      </c>
      <c r="O463">
        <v>0</v>
      </c>
      <c r="Q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>
        <f>AND(IF(Metadata!C463="",FALSE,TRUE),exact(Metadata!C463,"human-skin"))</f>
        <v>0</v>
      </c>
      <c r="S463">
        <f>OR(AND(IF(Metadata!D463="",FALSE,TRUE),OR(exact(Metadata!D463,"missing: not collected"),exact(Metadata!D463,"missing: not provided"))),AND(IF(Metadata!D463="",FALSE,TRUE),OR(exact(Metadata!D463,"UBERON:zone of skin"),exact(Metadata!D463,"UBERON:skin of hand"),exact(Metadata!D463,"UBERON:skin of forehead"))))</f>
        <v>0</v>
      </c>
      <c r="T463">
        <f>AND(IF(Metadata!E463="",FALSE,TRUE),exact(Metadata!E463,"human skin metagenome"))</f>
        <v>0</v>
      </c>
      <c r="U463">
        <f>AND(IF(Metadata!F463="",FALSE,TRUE),exact(Metadata!F463,"539655"))</f>
        <v>0</v>
      </c>
    </row>
    <row r="464" spans="1:21">
      <c r="A464" s="4">
        <f>IF(B464=" "," ",HYPERLINK(CONCATENATE("#metadata!",ADDRESS(INDEX($L$2:$L$1001,MATCH(ROWS($J$2:J464),$J$2:$J$1001,0),0),1)),INDEX($O$2:$O$1001,MATCH(ROWS($J$2:J464),$J$2:$J$1001,0),0)))</f>
        <v>0</v>
      </c>
      <c r="B464" s="3">
        <f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>0</v>
      </c>
      <c r="C464" s="3">
        <f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>0</v>
      </c>
      <c r="D464" s="3">
        <f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>0</v>
      </c>
      <c r="E464" s="3">
        <f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>0</v>
      </c>
      <c r="F464" s="3">
        <f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>0</v>
      </c>
      <c r="J464">
        <v>0</v>
      </c>
      <c r="K464">
        <v>0</v>
      </c>
      <c r="L464">
        <v>0</v>
      </c>
      <c r="M464">
        <f>IF(N464,TRUE,AND(Q464:U464))</f>
        <v>0</v>
      </c>
      <c r="N464">
        <f>COUNTBLANK(Metadata!B464:F464)=COLUMNS(Metadata!B464:F464)</f>
        <v>0</v>
      </c>
      <c r="O464">
        <v>0</v>
      </c>
      <c r="Q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>
        <f>AND(IF(Metadata!C464="",FALSE,TRUE),exact(Metadata!C464,"human-skin"))</f>
        <v>0</v>
      </c>
      <c r="S464">
        <f>OR(AND(IF(Metadata!D464="",FALSE,TRUE),OR(exact(Metadata!D464,"missing: not collected"),exact(Metadata!D464,"missing: not provided"))),AND(IF(Metadata!D464="",FALSE,TRUE),OR(exact(Metadata!D464,"UBERON:zone of skin"),exact(Metadata!D464,"UBERON:skin of hand"),exact(Metadata!D464,"UBERON:skin of forehead"))))</f>
        <v>0</v>
      </c>
      <c r="T464">
        <f>AND(IF(Metadata!E464="",FALSE,TRUE),exact(Metadata!E464,"human skin metagenome"))</f>
        <v>0</v>
      </c>
      <c r="U464">
        <f>AND(IF(Metadata!F464="",FALSE,TRUE),exact(Metadata!F464,"539655"))</f>
        <v>0</v>
      </c>
    </row>
    <row r="465" spans="1:21">
      <c r="A465" s="4">
        <f>IF(B465=" "," ",HYPERLINK(CONCATENATE("#metadata!",ADDRESS(INDEX($L$2:$L$1001,MATCH(ROWS($J$2:J465),$J$2:$J$1001,0),0),1)),INDEX($O$2:$O$1001,MATCH(ROWS($J$2:J465),$J$2:$J$1001,0),0)))</f>
        <v>0</v>
      </c>
      <c r="B465" s="3">
        <f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>0</v>
      </c>
      <c r="C465" s="3">
        <f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>0</v>
      </c>
      <c r="D465" s="3">
        <f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>0</v>
      </c>
      <c r="E465" s="3">
        <f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>0</v>
      </c>
      <c r="F465" s="3">
        <f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>0</v>
      </c>
      <c r="J465">
        <v>0</v>
      </c>
      <c r="K465">
        <v>0</v>
      </c>
      <c r="L465">
        <v>0</v>
      </c>
      <c r="M465">
        <f>IF(N465,TRUE,AND(Q465:U465))</f>
        <v>0</v>
      </c>
      <c r="N465">
        <f>COUNTBLANK(Metadata!B465:F465)=COLUMNS(Metadata!B465:F465)</f>
        <v>0</v>
      </c>
      <c r="O465">
        <v>0</v>
      </c>
      <c r="Q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>
        <f>AND(IF(Metadata!C465="",FALSE,TRUE),exact(Metadata!C465,"human-skin"))</f>
        <v>0</v>
      </c>
      <c r="S465">
        <f>OR(AND(IF(Metadata!D465="",FALSE,TRUE),OR(exact(Metadata!D465,"missing: not collected"),exact(Metadata!D465,"missing: not provided"))),AND(IF(Metadata!D465="",FALSE,TRUE),OR(exact(Metadata!D465,"UBERON:zone of skin"),exact(Metadata!D465,"UBERON:skin of hand"),exact(Metadata!D465,"UBERON:skin of forehead"))))</f>
        <v>0</v>
      </c>
      <c r="T465">
        <f>AND(IF(Metadata!E465="",FALSE,TRUE),exact(Metadata!E465,"human skin metagenome"))</f>
        <v>0</v>
      </c>
      <c r="U465">
        <f>AND(IF(Metadata!F465="",FALSE,TRUE),exact(Metadata!F465,"539655"))</f>
        <v>0</v>
      </c>
    </row>
    <row r="466" spans="1:21">
      <c r="A466" s="4">
        <f>IF(B466=" "," ",HYPERLINK(CONCATENATE("#metadata!",ADDRESS(INDEX($L$2:$L$1001,MATCH(ROWS($J$2:J466),$J$2:$J$1001,0),0),1)),INDEX($O$2:$O$1001,MATCH(ROWS($J$2:J466),$J$2:$J$1001,0),0)))</f>
        <v>0</v>
      </c>
      <c r="B466" s="3">
        <f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>0</v>
      </c>
      <c r="C466" s="3">
        <f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>0</v>
      </c>
      <c r="D466" s="3">
        <f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>0</v>
      </c>
      <c r="E466" s="3">
        <f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>0</v>
      </c>
      <c r="F466" s="3">
        <f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>0</v>
      </c>
      <c r="J466">
        <v>0</v>
      </c>
      <c r="K466">
        <v>0</v>
      </c>
      <c r="L466">
        <v>0</v>
      </c>
      <c r="M466">
        <f>IF(N466,TRUE,AND(Q466:U466))</f>
        <v>0</v>
      </c>
      <c r="N466">
        <f>COUNTBLANK(Metadata!B466:F466)=COLUMNS(Metadata!B466:F466)</f>
        <v>0</v>
      </c>
      <c r="O466">
        <v>0</v>
      </c>
      <c r="Q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>
        <f>AND(IF(Metadata!C466="",FALSE,TRUE),exact(Metadata!C466,"human-skin"))</f>
        <v>0</v>
      </c>
      <c r="S466">
        <f>OR(AND(IF(Metadata!D466="",FALSE,TRUE),OR(exact(Metadata!D466,"missing: not collected"),exact(Metadata!D466,"missing: not provided"))),AND(IF(Metadata!D466="",FALSE,TRUE),OR(exact(Metadata!D466,"UBERON:zone of skin"),exact(Metadata!D466,"UBERON:skin of hand"),exact(Metadata!D466,"UBERON:skin of forehead"))))</f>
        <v>0</v>
      </c>
      <c r="T466">
        <f>AND(IF(Metadata!E466="",FALSE,TRUE),exact(Metadata!E466,"human skin metagenome"))</f>
        <v>0</v>
      </c>
      <c r="U466">
        <f>AND(IF(Metadata!F466="",FALSE,TRUE),exact(Metadata!F466,"539655"))</f>
        <v>0</v>
      </c>
    </row>
    <row r="467" spans="1:21">
      <c r="A467" s="4">
        <f>IF(B467=" "," ",HYPERLINK(CONCATENATE("#metadata!",ADDRESS(INDEX($L$2:$L$1001,MATCH(ROWS($J$2:J467),$J$2:$J$1001,0),0),1)),INDEX($O$2:$O$1001,MATCH(ROWS($J$2:J467),$J$2:$J$1001,0),0)))</f>
        <v>0</v>
      </c>
      <c r="B467" s="3">
        <f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>0</v>
      </c>
      <c r="C467" s="3">
        <f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>0</v>
      </c>
      <c r="D467" s="3">
        <f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>0</v>
      </c>
      <c r="E467" s="3">
        <f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>0</v>
      </c>
      <c r="F467" s="3">
        <f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>0</v>
      </c>
      <c r="J467">
        <v>0</v>
      </c>
      <c r="K467">
        <v>0</v>
      </c>
      <c r="L467">
        <v>0</v>
      </c>
      <c r="M467">
        <f>IF(N467,TRUE,AND(Q467:U467))</f>
        <v>0</v>
      </c>
      <c r="N467">
        <f>COUNTBLANK(Metadata!B467:F467)=COLUMNS(Metadata!B467:F467)</f>
        <v>0</v>
      </c>
      <c r="O467">
        <v>0</v>
      </c>
      <c r="Q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>
        <f>AND(IF(Metadata!C467="",FALSE,TRUE),exact(Metadata!C467,"human-skin"))</f>
        <v>0</v>
      </c>
      <c r="S467">
        <f>OR(AND(IF(Metadata!D467="",FALSE,TRUE),OR(exact(Metadata!D467,"missing: not collected"),exact(Metadata!D467,"missing: not provided"))),AND(IF(Metadata!D467="",FALSE,TRUE),OR(exact(Metadata!D467,"UBERON:zone of skin"),exact(Metadata!D467,"UBERON:skin of hand"),exact(Metadata!D467,"UBERON:skin of forehead"))))</f>
        <v>0</v>
      </c>
      <c r="T467">
        <f>AND(IF(Metadata!E467="",FALSE,TRUE),exact(Metadata!E467,"human skin metagenome"))</f>
        <v>0</v>
      </c>
      <c r="U467">
        <f>AND(IF(Metadata!F467="",FALSE,TRUE),exact(Metadata!F467,"539655"))</f>
        <v>0</v>
      </c>
    </row>
    <row r="468" spans="1:21">
      <c r="A468" s="4">
        <f>IF(B468=" "," ",HYPERLINK(CONCATENATE("#metadata!",ADDRESS(INDEX($L$2:$L$1001,MATCH(ROWS($J$2:J468),$J$2:$J$1001,0),0),1)),INDEX($O$2:$O$1001,MATCH(ROWS($J$2:J468),$J$2:$J$1001,0),0)))</f>
        <v>0</v>
      </c>
      <c r="B468" s="3">
        <f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>0</v>
      </c>
      <c r="C468" s="3">
        <f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>0</v>
      </c>
      <c r="D468" s="3">
        <f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>0</v>
      </c>
      <c r="E468" s="3">
        <f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>0</v>
      </c>
      <c r="F468" s="3">
        <f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>0</v>
      </c>
      <c r="J468">
        <v>0</v>
      </c>
      <c r="K468">
        <v>0</v>
      </c>
      <c r="L468">
        <v>0</v>
      </c>
      <c r="M468">
        <f>IF(N468,TRUE,AND(Q468:U468))</f>
        <v>0</v>
      </c>
      <c r="N468">
        <f>COUNTBLANK(Metadata!B468:F468)=COLUMNS(Metadata!B468:F468)</f>
        <v>0</v>
      </c>
      <c r="O468">
        <v>0</v>
      </c>
      <c r="Q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>
        <f>AND(IF(Metadata!C468="",FALSE,TRUE),exact(Metadata!C468,"human-skin"))</f>
        <v>0</v>
      </c>
      <c r="S468">
        <f>OR(AND(IF(Metadata!D468="",FALSE,TRUE),OR(exact(Metadata!D468,"missing: not collected"),exact(Metadata!D468,"missing: not provided"))),AND(IF(Metadata!D468="",FALSE,TRUE),OR(exact(Metadata!D468,"UBERON:zone of skin"),exact(Metadata!D468,"UBERON:skin of hand"),exact(Metadata!D468,"UBERON:skin of forehead"))))</f>
        <v>0</v>
      </c>
      <c r="T468">
        <f>AND(IF(Metadata!E468="",FALSE,TRUE),exact(Metadata!E468,"human skin metagenome"))</f>
        <v>0</v>
      </c>
      <c r="U468">
        <f>AND(IF(Metadata!F468="",FALSE,TRUE),exact(Metadata!F468,"539655"))</f>
        <v>0</v>
      </c>
    </row>
    <row r="469" spans="1:21">
      <c r="A469" s="4">
        <f>IF(B469=" "," ",HYPERLINK(CONCATENATE("#metadata!",ADDRESS(INDEX($L$2:$L$1001,MATCH(ROWS($J$2:J469),$J$2:$J$1001,0),0),1)),INDEX($O$2:$O$1001,MATCH(ROWS($J$2:J469),$J$2:$J$1001,0),0)))</f>
        <v>0</v>
      </c>
      <c r="B469" s="3">
        <f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>0</v>
      </c>
      <c r="C469" s="3">
        <f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>0</v>
      </c>
      <c r="D469" s="3">
        <f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>0</v>
      </c>
      <c r="E469" s="3">
        <f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>0</v>
      </c>
      <c r="F469" s="3">
        <f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>0</v>
      </c>
      <c r="J469">
        <v>0</v>
      </c>
      <c r="K469">
        <v>0</v>
      </c>
      <c r="L469">
        <v>0</v>
      </c>
      <c r="M469">
        <f>IF(N469,TRUE,AND(Q469:U469))</f>
        <v>0</v>
      </c>
      <c r="N469">
        <f>COUNTBLANK(Metadata!B469:F469)=COLUMNS(Metadata!B469:F469)</f>
        <v>0</v>
      </c>
      <c r="O469">
        <v>0</v>
      </c>
      <c r="Q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>
        <f>AND(IF(Metadata!C469="",FALSE,TRUE),exact(Metadata!C469,"human-skin"))</f>
        <v>0</v>
      </c>
      <c r="S469">
        <f>OR(AND(IF(Metadata!D469="",FALSE,TRUE),OR(exact(Metadata!D469,"missing: not collected"),exact(Metadata!D469,"missing: not provided"))),AND(IF(Metadata!D469="",FALSE,TRUE),OR(exact(Metadata!D469,"UBERON:zone of skin"),exact(Metadata!D469,"UBERON:skin of hand"),exact(Metadata!D469,"UBERON:skin of forehead"))))</f>
        <v>0</v>
      </c>
      <c r="T469">
        <f>AND(IF(Metadata!E469="",FALSE,TRUE),exact(Metadata!E469,"human skin metagenome"))</f>
        <v>0</v>
      </c>
      <c r="U469">
        <f>AND(IF(Metadata!F469="",FALSE,TRUE),exact(Metadata!F469,"539655"))</f>
        <v>0</v>
      </c>
    </row>
    <row r="470" spans="1:21">
      <c r="A470" s="4">
        <f>IF(B470=" "," ",HYPERLINK(CONCATENATE("#metadata!",ADDRESS(INDEX($L$2:$L$1001,MATCH(ROWS($J$2:J470),$J$2:$J$1001,0),0),1)),INDEX($O$2:$O$1001,MATCH(ROWS($J$2:J470),$J$2:$J$1001,0),0)))</f>
        <v>0</v>
      </c>
      <c r="B470" s="3">
        <f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>0</v>
      </c>
      <c r="C470" s="3">
        <f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>0</v>
      </c>
      <c r="D470" s="3">
        <f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>0</v>
      </c>
      <c r="E470" s="3">
        <f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>0</v>
      </c>
      <c r="F470" s="3">
        <f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>0</v>
      </c>
      <c r="J470">
        <v>0</v>
      </c>
      <c r="K470">
        <v>0</v>
      </c>
      <c r="L470">
        <v>0</v>
      </c>
      <c r="M470">
        <f>IF(N470,TRUE,AND(Q470:U470))</f>
        <v>0</v>
      </c>
      <c r="N470">
        <f>COUNTBLANK(Metadata!B470:F470)=COLUMNS(Metadata!B470:F470)</f>
        <v>0</v>
      </c>
      <c r="O470">
        <v>0</v>
      </c>
      <c r="Q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>
        <f>AND(IF(Metadata!C470="",FALSE,TRUE),exact(Metadata!C470,"human-skin"))</f>
        <v>0</v>
      </c>
      <c r="S470">
        <f>OR(AND(IF(Metadata!D470="",FALSE,TRUE),OR(exact(Metadata!D470,"missing: not collected"),exact(Metadata!D470,"missing: not provided"))),AND(IF(Metadata!D470="",FALSE,TRUE),OR(exact(Metadata!D470,"UBERON:zone of skin"),exact(Metadata!D470,"UBERON:skin of hand"),exact(Metadata!D470,"UBERON:skin of forehead"))))</f>
        <v>0</v>
      </c>
      <c r="T470">
        <f>AND(IF(Metadata!E470="",FALSE,TRUE),exact(Metadata!E470,"human skin metagenome"))</f>
        <v>0</v>
      </c>
      <c r="U470">
        <f>AND(IF(Metadata!F470="",FALSE,TRUE),exact(Metadata!F470,"539655"))</f>
        <v>0</v>
      </c>
    </row>
    <row r="471" spans="1:21">
      <c r="A471" s="4">
        <f>IF(B471=" "," ",HYPERLINK(CONCATENATE("#metadata!",ADDRESS(INDEX($L$2:$L$1001,MATCH(ROWS($J$2:J471),$J$2:$J$1001,0),0),1)),INDEX($O$2:$O$1001,MATCH(ROWS($J$2:J471),$J$2:$J$1001,0),0)))</f>
        <v>0</v>
      </c>
      <c r="B471" s="3">
        <f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>0</v>
      </c>
      <c r="C471" s="3">
        <f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>0</v>
      </c>
      <c r="D471" s="3">
        <f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>0</v>
      </c>
      <c r="E471" s="3">
        <f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>0</v>
      </c>
      <c r="F471" s="3">
        <f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>0</v>
      </c>
      <c r="J471">
        <v>0</v>
      </c>
      <c r="K471">
        <v>0</v>
      </c>
      <c r="L471">
        <v>0</v>
      </c>
      <c r="M471">
        <f>IF(N471,TRUE,AND(Q471:U471))</f>
        <v>0</v>
      </c>
      <c r="N471">
        <f>COUNTBLANK(Metadata!B471:F471)=COLUMNS(Metadata!B471:F471)</f>
        <v>0</v>
      </c>
      <c r="O471">
        <v>0</v>
      </c>
      <c r="Q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>
        <f>AND(IF(Metadata!C471="",FALSE,TRUE),exact(Metadata!C471,"human-skin"))</f>
        <v>0</v>
      </c>
      <c r="S471">
        <f>OR(AND(IF(Metadata!D471="",FALSE,TRUE),OR(exact(Metadata!D471,"missing: not collected"),exact(Metadata!D471,"missing: not provided"))),AND(IF(Metadata!D471="",FALSE,TRUE),OR(exact(Metadata!D471,"UBERON:zone of skin"),exact(Metadata!D471,"UBERON:skin of hand"),exact(Metadata!D471,"UBERON:skin of forehead"))))</f>
        <v>0</v>
      </c>
      <c r="T471">
        <f>AND(IF(Metadata!E471="",FALSE,TRUE),exact(Metadata!E471,"human skin metagenome"))</f>
        <v>0</v>
      </c>
      <c r="U471">
        <f>AND(IF(Metadata!F471="",FALSE,TRUE),exact(Metadata!F471,"539655"))</f>
        <v>0</v>
      </c>
    </row>
    <row r="472" spans="1:21">
      <c r="A472" s="4">
        <f>IF(B472=" "," ",HYPERLINK(CONCATENATE("#metadata!",ADDRESS(INDEX($L$2:$L$1001,MATCH(ROWS($J$2:J472),$J$2:$J$1001,0),0),1)),INDEX($O$2:$O$1001,MATCH(ROWS($J$2:J472),$J$2:$J$1001,0),0)))</f>
        <v>0</v>
      </c>
      <c r="B472" s="3">
        <f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>0</v>
      </c>
      <c r="C472" s="3">
        <f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>0</v>
      </c>
      <c r="D472" s="3">
        <f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>0</v>
      </c>
      <c r="E472" s="3">
        <f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>0</v>
      </c>
      <c r="F472" s="3">
        <f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>0</v>
      </c>
      <c r="J472">
        <v>0</v>
      </c>
      <c r="K472">
        <v>0</v>
      </c>
      <c r="L472">
        <v>0</v>
      </c>
      <c r="M472">
        <f>IF(N472,TRUE,AND(Q472:U472))</f>
        <v>0</v>
      </c>
      <c r="N472">
        <f>COUNTBLANK(Metadata!B472:F472)=COLUMNS(Metadata!B472:F472)</f>
        <v>0</v>
      </c>
      <c r="O472">
        <v>0</v>
      </c>
      <c r="Q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>
        <f>AND(IF(Metadata!C472="",FALSE,TRUE),exact(Metadata!C472,"human-skin"))</f>
        <v>0</v>
      </c>
      <c r="S472">
        <f>OR(AND(IF(Metadata!D472="",FALSE,TRUE),OR(exact(Metadata!D472,"missing: not collected"),exact(Metadata!D472,"missing: not provided"))),AND(IF(Metadata!D472="",FALSE,TRUE),OR(exact(Metadata!D472,"UBERON:zone of skin"),exact(Metadata!D472,"UBERON:skin of hand"),exact(Metadata!D472,"UBERON:skin of forehead"))))</f>
        <v>0</v>
      </c>
      <c r="T472">
        <f>AND(IF(Metadata!E472="",FALSE,TRUE),exact(Metadata!E472,"human skin metagenome"))</f>
        <v>0</v>
      </c>
      <c r="U472">
        <f>AND(IF(Metadata!F472="",FALSE,TRUE),exact(Metadata!F472,"539655"))</f>
        <v>0</v>
      </c>
    </row>
    <row r="473" spans="1:21">
      <c r="A473" s="4">
        <f>IF(B473=" "," ",HYPERLINK(CONCATENATE("#metadata!",ADDRESS(INDEX($L$2:$L$1001,MATCH(ROWS($J$2:J473),$J$2:$J$1001,0),0),1)),INDEX($O$2:$O$1001,MATCH(ROWS($J$2:J473),$J$2:$J$1001,0),0)))</f>
        <v>0</v>
      </c>
      <c r="B473" s="3">
        <f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>0</v>
      </c>
      <c r="C473" s="3">
        <f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>0</v>
      </c>
      <c r="D473" s="3">
        <f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>0</v>
      </c>
      <c r="E473" s="3">
        <f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>0</v>
      </c>
      <c r="F473" s="3">
        <f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>0</v>
      </c>
      <c r="J473">
        <v>0</v>
      </c>
      <c r="K473">
        <v>0</v>
      </c>
      <c r="L473">
        <v>0</v>
      </c>
      <c r="M473">
        <f>IF(N473,TRUE,AND(Q473:U473))</f>
        <v>0</v>
      </c>
      <c r="N473">
        <f>COUNTBLANK(Metadata!B473:F473)=COLUMNS(Metadata!B473:F473)</f>
        <v>0</v>
      </c>
      <c r="O473">
        <v>0</v>
      </c>
      <c r="Q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>
        <f>AND(IF(Metadata!C473="",FALSE,TRUE),exact(Metadata!C473,"human-skin"))</f>
        <v>0</v>
      </c>
      <c r="S473">
        <f>OR(AND(IF(Metadata!D473="",FALSE,TRUE),OR(exact(Metadata!D473,"missing: not collected"),exact(Metadata!D473,"missing: not provided"))),AND(IF(Metadata!D473="",FALSE,TRUE),OR(exact(Metadata!D473,"UBERON:zone of skin"),exact(Metadata!D473,"UBERON:skin of hand"),exact(Metadata!D473,"UBERON:skin of forehead"))))</f>
        <v>0</v>
      </c>
      <c r="T473">
        <f>AND(IF(Metadata!E473="",FALSE,TRUE),exact(Metadata!E473,"human skin metagenome"))</f>
        <v>0</v>
      </c>
      <c r="U473">
        <f>AND(IF(Metadata!F473="",FALSE,TRUE),exact(Metadata!F473,"539655"))</f>
        <v>0</v>
      </c>
    </row>
    <row r="474" spans="1:21">
      <c r="A474" s="4">
        <f>IF(B474=" "," ",HYPERLINK(CONCATENATE("#metadata!",ADDRESS(INDEX($L$2:$L$1001,MATCH(ROWS($J$2:J474),$J$2:$J$1001,0),0),1)),INDEX($O$2:$O$1001,MATCH(ROWS($J$2:J474),$J$2:$J$1001,0),0)))</f>
        <v>0</v>
      </c>
      <c r="B474" s="3">
        <f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>0</v>
      </c>
      <c r="C474" s="3">
        <f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>0</v>
      </c>
      <c r="D474" s="3">
        <f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>0</v>
      </c>
      <c r="E474" s="3">
        <f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>0</v>
      </c>
      <c r="F474" s="3">
        <f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>0</v>
      </c>
      <c r="J474">
        <v>0</v>
      </c>
      <c r="K474">
        <v>0</v>
      </c>
      <c r="L474">
        <v>0</v>
      </c>
      <c r="M474">
        <f>IF(N474,TRUE,AND(Q474:U474))</f>
        <v>0</v>
      </c>
      <c r="N474">
        <f>COUNTBLANK(Metadata!B474:F474)=COLUMNS(Metadata!B474:F474)</f>
        <v>0</v>
      </c>
      <c r="O474">
        <v>0</v>
      </c>
      <c r="Q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>
        <f>AND(IF(Metadata!C474="",FALSE,TRUE),exact(Metadata!C474,"human-skin"))</f>
        <v>0</v>
      </c>
      <c r="S474">
        <f>OR(AND(IF(Metadata!D474="",FALSE,TRUE),OR(exact(Metadata!D474,"missing: not collected"),exact(Metadata!D474,"missing: not provided"))),AND(IF(Metadata!D474="",FALSE,TRUE),OR(exact(Metadata!D474,"UBERON:zone of skin"),exact(Metadata!D474,"UBERON:skin of hand"),exact(Metadata!D474,"UBERON:skin of forehead"))))</f>
        <v>0</v>
      </c>
      <c r="T474">
        <f>AND(IF(Metadata!E474="",FALSE,TRUE),exact(Metadata!E474,"human skin metagenome"))</f>
        <v>0</v>
      </c>
      <c r="U474">
        <f>AND(IF(Metadata!F474="",FALSE,TRUE),exact(Metadata!F474,"539655"))</f>
        <v>0</v>
      </c>
    </row>
    <row r="475" spans="1:21">
      <c r="A475" s="4">
        <f>IF(B475=" "," ",HYPERLINK(CONCATENATE("#metadata!",ADDRESS(INDEX($L$2:$L$1001,MATCH(ROWS($J$2:J475),$J$2:$J$1001,0),0),1)),INDEX($O$2:$O$1001,MATCH(ROWS($J$2:J475),$J$2:$J$1001,0),0)))</f>
        <v>0</v>
      </c>
      <c r="B475" s="3">
        <f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>0</v>
      </c>
      <c r="C475" s="3">
        <f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>0</v>
      </c>
      <c r="D475" s="3">
        <f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>0</v>
      </c>
      <c r="E475" s="3">
        <f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>0</v>
      </c>
      <c r="F475" s="3">
        <f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>0</v>
      </c>
      <c r="J475">
        <v>0</v>
      </c>
      <c r="K475">
        <v>0</v>
      </c>
      <c r="L475">
        <v>0</v>
      </c>
      <c r="M475">
        <f>IF(N475,TRUE,AND(Q475:U475))</f>
        <v>0</v>
      </c>
      <c r="N475">
        <f>COUNTBLANK(Metadata!B475:F475)=COLUMNS(Metadata!B475:F475)</f>
        <v>0</v>
      </c>
      <c r="O475">
        <v>0</v>
      </c>
      <c r="Q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>
        <f>AND(IF(Metadata!C475="",FALSE,TRUE),exact(Metadata!C475,"human-skin"))</f>
        <v>0</v>
      </c>
      <c r="S475">
        <f>OR(AND(IF(Metadata!D475="",FALSE,TRUE),OR(exact(Metadata!D475,"missing: not collected"),exact(Metadata!D475,"missing: not provided"))),AND(IF(Metadata!D475="",FALSE,TRUE),OR(exact(Metadata!D475,"UBERON:zone of skin"),exact(Metadata!D475,"UBERON:skin of hand"),exact(Metadata!D475,"UBERON:skin of forehead"))))</f>
        <v>0</v>
      </c>
      <c r="T475">
        <f>AND(IF(Metadata!E475="",FALSE,TRUE),exact(Metadata!E475,"human skin metagenome"))</f>
        <v>0</v>
      </c>
      <c r="U475">
        <f>AND(IF(Metadata!F475="",FALSE,TRUE),exact(Metadata!F475,"539655"))</f>
        <v>0</v>
      </c>
    </row>
    <row r="476" spans="1:21">
      <c r="A476" s="4">
        <f>IF(B476=" "," ",HYPERLINK(CONCATENATE("#metadata!",ADDRESS(INDEX($L$2:$L$1001,MATCH(ROWS($J$2:J476),$J$2:$J$1001,0),0),1)),INDEX($O$2:$O$1001,MATCH(ROWS($J$2:J476),$J$2:$J$1001,0),0)))</f>
        <v>0</v>
      </c>
      <c r="B476" s="3">
        <f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>0</v>
      </c>
      <c r="C476" s="3">
        <f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>0</v>
      </c>
      <c r="D476" s="3">
        <f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>0</v>
      </c>
      <c r="E476" s="3">
        <f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>0</v>
      </c>
      <c r="F476" s="3">
        <f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>0</v>
      </c>
      <c r="J476">
        <v>0</v>
      </c>
      <c r="K476">
        <v>0</v>
      </c>
      <c r="L476">
        <v>0</v>
      </c>
      <c r="M476">
        <f>IF(N476,TRUE,AND(Q476:U476))</f>
        <v>0</v>
      </c>
      <c r="N476">
        <f>COUNTBLANK(Metadata!B476:F476)=COLUMNS(Metadata!B476:F476)</f>
        <v>0</v>
      </c>
      <c r="O476">
        <v>0</v>
      </c>
      <c r="Q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>
        <f>AND(IF(Metadata!C476="",FALSE,TRUE),exact(Metadata!C476,"human-skin"))</f>
        <v>0</v>
      </c>
      <c r="S476">
        <f>OR(AND(IF(Metadata!D476="",FALSE,TRUE),OR(exact(Metadata!D476,"missing: not collected"),exact(Metadata!D476,"missing: not provided"))),AND(IF(Metadata!D476="",FALSE,TRUE),OR(exact(Metadata!D476,"UBERON:zone of skin"),exact(Metadata!D476,"UBERON:skin of hand"),exact(Metadata!D476,"UBERON:skin of forehead"))))</f>
        <v>0</v>
      </c>
      <c r="T476">
        <f>AND(IF(Metadata!E476="",FALSE,TRUE),exact(Metadata!E476,"human skin metagenome"))</f>
        <v>0</v>
      </c>
      <c r="U476">
        <f>AND(IF(Metadata!F476="",FALSE,TRUE),exact(Metadata!F476,"539655"))</f>
        <v>0</v>
      </c>
    </row>
    <row r="477" spans="1:21">
      <c r="A477" s="4">
        <f>IF(B477=" "," ",HYPERLINK(CONCATENATE("#metadata!",ADDRESS(INDEX($L$2:$L$1001,MATCH(ROWS($J$2:J477),$J$2:$J$1001,0),0),1)),INDEX($O$2:$O$1001,MATCH(ROWS($J$2:J477),$J$2:$J$1001,0),0)))</f>
        <v>0</v>
      </c>
      <c r="B477" s="3">
        <f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>0</v>
      </c>
      <c r="C477" s="3">
        <f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>0</v>
      </c>
      <c r="D477" s="3">
        <f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>0</v>
      </c>
      <c r="E477" s="3">
        <f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>0</v>
      </c>
      <c r="F477" s="3">
        <f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>0</v>
      </c>
      <c r="J477">
        <v>0</v>
      </c>
      <c r="K477">
        <v>0</v>
      </c>
      <c r="L477">
        <v>0</v>
      </c>
      <c r="M477">
        <f>IF(N477,TRUE,AND(Q477:U477))</f>
        <v>0</v>
      </c>
      <c r="N477">
        <f>COUNTBLANK(Metadata!B477:F477)=COLUMNS(Metadata!B477:F477)</f>
        <v>0</v>
      </c>
      <c r="O477">
        <v>0</v>
      </c>
      <c r="Q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>
        <f>AND(IF(Metadata!C477="",FALSE,TRUE),exact(Metadata!C477,"human-skin"))</f>
        <v>0</v>
      </c>
      <c r="S477">
        <f>OR(AND(IF(Metadata!D477="",FALSE,TRUE),OR(exact(Metadata!D477,"missing: not collected"),exact(Metadata!D477,"missing: not provided"))),AND(IF(Metadata!D477="",FALSE,TRUE),OR(exact(Metadata!D477,"UBERON:zone of skin"),exact(Metadata!D477,"UBERON:skin of hand"),exact(Metadata!D477,"UBERON:skin of forehead"))))</f>
        <v>0</v>
      </c>
      <c r="T477">
        <f>AND(IF(Metadata!E477="",FALSE,TRUE),exact(Metadata!E477,"human skin metagenome"))</f>
        <v>0</v>
      </c>
      <c r="U477">
        <f>AND(IF(Metadata!F477="",FALSE,TRUE),exact(Metadata!F477,"539655"))</f>
        <v>0</v>
      </c>
    </row>
    <row r="478" spans="1:21">
      <c r="A478" s="4">
        <f>IF(B478=" "," ",HYPERLINK(CONCATENATE("#metadata!",ADDRESS(INDEX($L$2:$L$1001,MATCH(ROWS($J$2:J478),$J$2:$J$1001,0),0),1)),INDEX($O$2:$O$1001,MATCH(ROWS($J$2:J478),$J$2:$J$1001,0),0)))</f>
        <v>0</v>
      </c>
      <c r="B478" s="3">
        <f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>0</v>
      </c>
      <c r="C478" s="3">
        <f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>0</v>
      </c>
      <c r="D478" s="3">
        <f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>0</v>
      </c>
      <c r="E478" s="3">
        <f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>0</v>
      </c>
      <c r="F478" s="3">
        <f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>0</v>
      </c>
      <c r="J478">
        <v>0</v>
      </c>
      <c r="K478">
        <v>0</v>
      </c>
      <c r="L478">
        <v>0</v>
      </c>
      <c r="M478">
        <f>IF(N478,TRUE,AND(Q478:U478))</f>
        <v>0</v>
      </c>
      <c r="N478">
        <f>COUNTBLANK(Metadata!B478:F478)=COLUMNS(Metadata!B478:F478)</f>
        <v>0</v>
      </c>
      <c r="O478">
        <v>0</v>
      </c>
      <c r="Q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>
        <f>AND(IF(Metadata!C478="",FALSE,TRUE),exact(Metadata!C478,"human-skin"))</f>
        <v>0</v>
      </c>
      <c r="S478">
        <f>OR(AND(IF(Metadata!D478="",FALSE,TRUE),OR(exact(Metadata!D478,"missing: not collected"),exact(Metadata!D478,"missing: not provided"))),AND(IF(Metadata!D478="",FALSE,TRUE),OR(exact(Metadata!D478,"UBERON:zone of skin"),exact(Metadata!D478,"UBERON:skin of hand"),exact(Metadata!D478,"UBERON:skin of forehead"))))</f>
        <v>0</v>
      </c>
      <c r="T478">
        <f>AND(IF(Metadata!E478="",FALSE,TRUE),exact(Metadata!E478,"human skin metagenome"))</f>
        <v>0</v>
      </c>
      <c r="U478">
        <f>AND(IF(Metadata!F478="",FALSE,TRUE),exact(Metadata!F478,"539655"))</f>
        <v>0</v>
      </c>
    </row>
    <row r="479" spans="1:21">
      <c r="A479" s="4">
        <f>IF(B479=" "," ",HYPERLINK(CONCATENATE("#metadata!",ADDRESS(INDEX($L$2:$L$1001,MATCH(ROWS($J$2:J479),$J$2:$J$1001,0),0),1)),INDEX($O$2:$O$1001,MATCH(ROWS($J$2:J479),$J$2:$J$1001,0),0)))</f>
        <v>0</v>
      </c>
      <c r="B479" s="3">
        <f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>0</v>
      </c>
      <c r="C479" s="3">
        <f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>0</v>
      </c>
      <c r="D479" s="3">
        <f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>0</v>
      </c>
      <c r="E479" s="3">
        <f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>0</v>
      </c>
      <c r="F479" s="3">
        <f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>0</v>
      </c>
      <c r="J479">
        <v>0</v>
      </c>
      <c r="K479">
        <v>0</v>
      </c>
      <c r="L479">
        <v>0</v>
      </c>
      <c r="M479">
        <f>IF(N479,TRUE,AND(Q479:U479))</f>
        <v>0</v>
      </c>
      <c r="N479">
        <f>COUNTBLANK(Metadata!B479:F479)=COLUMNS(Metadata!B479:F479)</f>
        <v>0</v>
      </c>
      <c r="O479">
        <v>0</v>
      </c>
      <c r="Q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>
        <f>AND(IF(Metadata!C479="",FALSE,TRUE),exact(Metadata!C479,"human-skin"))</f>
        <v>0</v>
      </c>
      <c r="S479">
        <f>OR(AND(IF(Metadata!D479="",FALSE,TRUE),OR(exact(Metadata!D479,"missing: not collected"),exact(Metadata!D479,"missing: not provided"))),AND(IF(Metadata!D479="",FALSE,TRUE),OR(exact(Metadata!D479,"UBERON:zone of skin"),exact(Metadata!D479,"UBERON:skin of hand"),exact(Metadata!D479,"UBERON:skin of forehead"))))</f>
        <v>0</v>
      </c>
      <c r="T479">
        <f>AND(IF(Metadata!E479="",FALSE,TRUE),exact(Metadata!E479,"human skin metagenome"))</f>
        <v>0</v>
      </c>
      <c r="U479">
        <f>AND(IF(Metadata!F479="",FALSE,TRUE),exact(Metadata!F479,"539655"))</f>
        <v>0</v>
      </c>
    </row>
    <row r="480" spans="1:21">
      <c r="A480" s="4">
        <f>IF(B480=" "," ",HYPERLINK(CONCATENATE("#metadata!",ADDRESS(INDEX($L$2:$L$1001,MATCH(ROWS($J$2:J480),$J$2:$J$1001,0),0),1)),INDEX($O$2:$O$1001,MATCH(ROWS($J$2:J480),$J$2:$J$1001,0),0)))</f>
        <v>0</v>
      </c>
      <c r="B480" s="3">
        <f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>0</v>
      </c>
      <c r="C480" s="3">
        <f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>0</v>
      </c>
      <c r="D480" s="3">
        <f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>0</v>
      </c>
      <c r="E480" s="3">
        <f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>0</v>
      </c>
      <c r="F480" s="3">
        <f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>0</v>
      </c>
      <c r="J480">
        <v>0</v>
      </c>
      <c r="K480">
        <v>0</v>
      </c>
      <c r="L480">
        <v>0</v>
      </c>
      <c r="M480">
        <f>IF(N480,TRUE,AND(Q480:U480))</f>
        <v>0</v>
      </c>
      <c r="N480">
        <f>COUNTBLANK(Metadata!B480:F480)=COLUMNS(Metadata!B480:F480)</f>
        <v>0</v>
      </c>
      <c r="O480">
        <v>0</v>
      </c>
      <c r="Q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>
        <f>AND(IF(Metadata!C480="",FALSE,TRUE),exact(Metadata!C480,"human-skin"))</f>
        <v>0</v>
      </c>
      <c r="S480">
        <f>OR(AND(IF(Metadata!D480="",FALSE,TRUE),OR(exact(Metadata!D480,"missing: not collected"),exact(Metadata!D480,"missing: not provided"))),AND(IF(Metadata!D480="",FALSE,TRUE),OR(exact(Metadata!D480,"UBERON:zone of skin"),exact(Metadata!D480,"UBERON:skin of hand"),exact(Metadata!D480,"UBERON:skin of forehead"))))</f>
        <v>0</v>
      </c>
      <c r="T480">
        <f>AND(IF(Metadata!E480="",FALSE,TRUE),exact(Metadata!E480,"human skin metagenome"))</f>
        <v>0</v>
      </c>
      <c r="U480">
        <f>AND(IF(Metadata!F480="",FALSE,TRUE),exact(Metadata!F480,"539655"))</f>
        <v>0</v>
      </c>
    </row>
    <row r="481" spans="1:21">
      <c r="A481" s="4">
        <f>IF(B481=" "," ",HYPERLINK(CONCATENATE("#metadata!",ADDRESS(INDEX($L$2:$L$1001,MATCH(ROWS($J$2:J481),$J$2:$J$1001,0),0),1)),INDEX($O$2:$O$1001,MATCH(ROWS($J$2:J481),$J$2:$J$1001,0),0)))</f>
        <v>0</v>
      </c>
      <c r="B481" s="3">
        <f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>0</v>
      </c>
      <c r="C481" s="3">
        <f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>0</v>
      </c>
      <c r="D481" s="3">
        <f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>0</v>
      </c>
      <c r="E481" s="3">
        <f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>0</v>
      </c>
      <c r="F481" s="3">
        <f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>0</v>
      </c>
      <c r="J481">
        <v>0</v>
      </c>
      <c r="K481">
        <v>0</v>
      </c>
      <c r="L481">
        <v>0</v>
      </c>
      <c r="M481">
        <f>IF(N481,TRUE,AND(Q481:U481))</f>
        <v>0</v>
      </c>
      <c r="N481">
        <f>COUNTBLANK(Metadata!B481:F481)=COLUMNS(Metadata!B481:F481)</f>
        <v>0</v>
      </c>
      <c r="O481">
        <v>0</v>
      </c>
      <c r="Q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>
        <f>AND(IF(Metadata!C481="",FALSE,TRUE),exact(Metadata!C481,"human-skin"))</f>
        <v>0</v>
      </c>
      <c r="S481">
        <f>OR(AND(IF(Metadata!D481="",FALSE,TRUE),OR(exact(Metadata!D481,"missing: not collected"),exact(Metadata!D481,"missing: not provided"))),AND(IF(Metadata!D481="",FALSE,TRUE),OR(exact(Metadata!D481,"UBERON:zone of skin"),exact(Metadata!D481,"UBERON:skin of hand"),exact(Metadata!D481,"UBERON:skin of forehead"))))</f>
        <v>0</v>
      </c>
      <c r="T481">
        <f>AND(IF(Metadata!E481="",FALSE,TRUE),exact(Metadata!E481,"human skin metagenome"))</f>
        <v>0</v>
      </c>
      <c r="U481">
        <f>AND(IF(Metadata!F481="",FALSE,TRUE),exact(Metadata!F481,"539655"))</f>
        <v>0</v>
      </c>
    </row>
    <row r="482" spans="1:21">
      <c r="A482" s="4">
        <f>IF(B482=" "," ",HYPERLINK(CONCATENATE("#metadata!",ADDRESS(INDEX($L$2:$L$1001,MATCH(ROWS($J$2:J482),$J$2:$J$1001,0),0),1)),INDEX($O$2:$O$1001,MATCH(ROWS($J$2:J482),$J$2:$J$1001,0),0)))</f>
        <v>0</v>
      </c>
      <c r="B482" s="3">
        <f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>0</v>
      </c>
      <c r="C482" s="3">
        <f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>0</v>
      </c>
      <c r="D482" s="3">
        <f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>0</v>
      </c>
      <c r="E482" s="3">
        <f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>0</v>
      </c>
      <c r="F482" s="3">
        <f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>0</v>
      </c>
      <c r="J482">
        <v>0</v>
      </c>
      <c r="K482">
        <v>0</v>
      </c>
      <c r="L482">
        <v>0</v>
      </c>
      <c r="M482">
        <f>IF(N482,TRUE,AND(Q482:U482))</f>
        <v>0</v>
      </c>
      <c r="N482">
        <f>COUNTBLANK(Metadata!B482:F482)=COLUMNS(Metadata!B482:F482)</f>
        <v>0</v>
      </c>
      <c r="O482">
        <v>0</v>
      </c>
      <c r="Q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>
        <f>AND(IF(Metadata!C482="",FALSE,TRUE),exact(Metadata!C482,"human-skin"))</f>
        <v>0</v>
      </c>
      <c r="S482">
        <f>OR(AND(IF(Metadata!D482="",FALSE,TRUE),OR(exact(Metadata!D482,"missing: not collected"),exact(Metadata!D482,"missing: not provided"))),AND(IF(Metadata!D482="",FALSE,TRUE),OR(exact(Metadata!D482,"UBERON:zone of skin"),exact(Metadata!D482,"UBERON:skin of hand"),exact(Metadata!D482,"UBERON:skin of forehead"))))</f>
        <v>0</v>
      </c>
      <c r="T482">
        <f>AND(IF(Metadata!E482="",FALSE,TRUE),exact(Metadata!E482,"human skin metagenome"))</f>
        <v>0</v>
      </c>
      <c r="U482">
        <f>AND(IF(Metadata!F482="",FALSE,TRUE),exact(Metadata!F482,"539655"))</f>
        <v>0</v>
      </c>
    </row>
    <row r="483" spans="1:21">
      <c r="A483" s="4">
        <f>IF(B483=" "," ",HYPERLINK(CONCATENATE("#metadata!",ADDRESS(INDEX($L$2:$L$1001,MATCH(ROWS($J$2:J483),$J$2:$J$1001,0),0),1)),INDEX($O$2:$O$1001,MATCH(ROWS($J$2:J483),$J$2:$J$1001,0),0)))</f>
        <v>0</v>
      </c>
      <c r="B483" s="3">
        <f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>0</v>
      </c>
      <c r="C483" s="3">
        <f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>0</v>
      </c>
      <c r="D483" s="3">
        <f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>0</v>
      </c>
      <c r="E483" s="3">
        <f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>0</v>
      </c>
      <c r="F483" s="3">
        <f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>0</v>
      </c>
      <c r="J483">
        <v>0</v>
      </c>
      <c r="K483">
        <v>0</v>
      </c>
      <c r="L483">
        <v>0</v>
      </c>
      <c r="M483">
        <f>IF(N483,TRUE,AND(Q483:U483))</f>
        <v>0</v>
      </c>
      <c r="N483">
        <f>COUNTBLANK(Metadata!B483:F483)=COLUMNS(Metadata!B483:F483)</f>
        <v>0</v>
      </c>
      <c r="O483">
        <v>0</v>
      </c>
      <c r="Q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>
        <f>AND(IF(Metadata!C483="",FALSE,TRUE),exact(Metadata!C483,"human-skin"))</f>
        <v>0</v>
      </c>
      <c r="S483">
        <f>OR(AND(IF(Metadata!D483="",FALSE,TRUE),OR(exact(Metadata!D483,"missing: not collected"),exact(Metadata!D483,"missing: not provided"))),AND(IF(Metadata!D483="",FALSE,TRUE),OR(exact(Metadata!D483,"UBERON:zone of skin"),exact(Metadata!D483,"UBERON:skin of hand"),exact(Metadata!D483,"UBERON:skin of forehead"))))</f>
        <v>0</v>
      </c>
      <c r="T483">
        <f>AND(IF(Metadata!E483="",FALSE,TRUE),exact(Metadata!E483,"human skin metagenome"))</f>
        <v>0</v>
      </c>
      <c r="U483">
        <f>AND(IF(Metadata!F483="",FALSE,TRUE),exact(Metadata!F483,"539655"))</f>
        <v>0</v>
      </c>
    </row>
    <row r="484" spans="1:21">
      <c r="A484" s="4">
        <f>IF(B484=" "," ",HYPERLINK(CONCATENATE("#metadata!",ADDRESS(INDEX($L$2:$L$1001,MATCH(ROWS($J$2:J484),$J$2:$J$1001,0),0),1)),INDEX($O$2:$O$1001,MATCH(ROWS($J$2:J484),$J$2:$J$1001,0),0)))</f>
        <v>0</v>
      </c>
      <c r="B484" s="3">
        <f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>0</v>
      </c>
      <c r="C484" s="3">
        <f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>0</v>
      </c>
      <c r="D484" s="3">
        <f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>0</v>
      </c>
      <c r="E484" s="3">
        <f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>0</v>
      </c>
      <c r="F484" s="3">
        <f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>0</v>
      </c>
      <c r="J484">
        <v>0</v>
      </c>
      <c r="K484">
        <v>0</v>
      </c>
      <c r="L484">
        <v>0</v>
      </c>
      <c r="M484">
        <f>IF(N484,TRUE,AND(Q484:U484))</f>
        <v>0</v>
      </c>
      <c r="N484">
        <f>COUNTBLANK(Metadata!B484:F484)=COLUMNS(Metadata!B484:F484)</f>
        <v>0</v>
      </c>
      <c r="O484">
        <v>0</v>
      </c>
      <c r="Q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>
        <f>AND(IF(Metadata!C484="",FALSE,TRUE),exact(Metadata!C484,"human-skin"))</f>
        <v>0</v>
      </c>
      <c r="S484">
        <f>OR(AND(IF(Metadata!D484="",FALSE,TRUE),OR(exact(Metadata!D484,"missing: not collected"),exact(Metadata!D484,"missing: not provided"))),AND(IF(Metadata!D484="",FALSE,TRUE),OR(exact(Metadata!D484,"UBERON:zone of skin"),exact(Metadata!D484,"UBERON:skin of hand"),exact(Metadata!D484,"UBERON:skin of forehead"))))</f>
        <v>0</v>
      </c>
      <c r="T484">
        <f>AND(IF(Metadata!E484="",FALSE,TRUE),exact(Metadata!E484,"human skin metagenome"))</f>
        <v>0</v>
      </c>
      <c r="U484">
        <f>AND(IF(Metadata!F484="",FALSE,TRUE),exact(Metadata!F484,"539655"))</f>
        <v>0</v>
      </c>
    </row>
    <row r="485" spans="1:21">
      <c r="A485" s="4">
        <f>IF(B485=" "," ",HYPERLINK(CONCATENATE("#metadata!",ADDRESS(INDEX($L$2:$L$1001,MATCH(ROWS($J$2:J485),$J$2:$J$1001,0),0),1)),INDEX($O$2:$O$1001,MATCH(ROWS($J$2:J485),$J$2:$J$1001,0),0)))</f>
        <v>0</v>
      </c>
      <c r="B485" s="3">
        <f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>0</v>
      </c>
      <c r="C485" s="3">
        <f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>0</v>
      </c>
      <c r="D485" s="3">
        <f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>0</v>
      </c>
      <c r="E485" s="3">
        <f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>0</v>
      </c>
      <c r="F485" s="3">
        <f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>0</v>
      </c>
      <c r="J485">
        <v>0</v>
      </c>
      <c r="K485">
        <v>0</v>
      </c>
      <c r="L485">
        <v>0</v>
      </c>
      <c r="M485">
        <f>IF(N485,TRUE,AND(Q485:U485))</f>
        <v>0</v>
      </c>
      <c r="N485">
        <f>COUNTBLANK(Metadata!B485:F485)=COLUMNS(Metadata!B485:F485)</f>
        <v>0</v>
      </c>
      <c r="O485">
        <v>0</v>
      </c>
      <c r="Q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>
        <f>AND(IF(Metadata!C485="",FALSE,TRUE),exact(Metadata!C485,"human-skin"))</f>
        <v>0</v>
      </c>
      <c r="S485">
        <f>OR(AND(IF(Metadata!D485="",FALSE,TRUE),OR(exact(Metadata!D485,"missing: not collected"),exact(Metadata!D485,"missing: not provided"))),AND(IF(Metadata!D485="",FALSE,TRUE),OR(exact(Metadata!D485,"UBERON:zone of skin"),exact(Metadata!D485,"UBERON:skin of hand"),exact(Metadata!D485,"UBERON:skin of forehead"))))</f>
        <v>0</v>
      </c>
      <c r="T485">
        <f>AND(IF(Metadata!E485="",FALSE,TRUE),exact(Metadata!E485,"human skin metagenome"))</f>
        <v>0</v>
      </c>
      <c r="U485">
        <f>AND(IF(Metadata!F485="",FALSE,TRUE),exact(Metadata!F485,"539655"))</f>
        <v>0</v>
      </c>
    </row>
    <row r="486" spans="1:21">
      <c r="A486" s="4">
        <f>IF(B486=" "," ",HYPERLINK(CONCATENATE("#metadata!",ADDRESS(INDEX($L$2:$L$1001,MATCH(ROWS($J$2:J486),$J$2:$J$1001,0),0),1)),INDEX($O$2:$O$1001,MATCH(ROWS($J$2:J486),$J$2:$J$1001,0),0)))</f>
        <v>0</v>
      </c>
      <c r="B486" s="3">
        <f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>0</v>
      </c>
      <c r="C486" s="3">
        <f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>0</v>
      </c>
      <c r="D486" s="3">
        <f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>0</v>
      </c>
      <c r="E486" s="3">
        <f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>0</v>
      </c>
      <c r="F486" s="3">
        <f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>0</v>
      </c>
      <c r="J486">
        <v>0</v>
      </c>
      <c r="K486">
        <v>0</v>
      </c>
      <c r="L486">
        <v>0</v>
      </c>
      <c r="M486">
        <f>IF(N486,TRUE,AND(Q486:U486))</f>
        <v>0</v>
      </c>
      <c r="N486">
        <f>COUNTBLANK(Metadata!B486:F486)=COLUMNS(Metadata!B486:F486)</f>
        <v>0</v>
      </c>
      <c r="O486">
        <v>0</v>
      </c>
      <c r="Q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>
        <f>AND(IF(Metadata!C486="",FALSE,TRUE),exact(Metadata!C486,"human-skin"))</f>
        <v>0</v>
      </c>
      <c r="S486">
        <f>OR(AND(IF(Metadata!D486="",FALSE,TRUE),OR(exact(Metadata!D486,"missing: not collected"),exact(Metadata!D486,"missing: not provided"))),AND(IF(Metadata!D486="",FALSE,TRUE),OR(exact(Metadata!D486,"UBERON:zone of skin"),exact(Metadata!D486,"UBERON:skin of hand"),exact(Metadata!D486,"UBERON:skin of forehead"))))</f>
        <v>0</v>
      </c>
      <c r="T486">
        <f>AND(IF(Metadata!E486="",FALSE,TRUE),exact(Metadata!E486,"human skin metagenome"))</f>
        <v>0</v>
      </c>
      <c r="U486">
        <f>AND(IF(Metadata!F486="",FALSE,TRUE),exact(Metadata!F486,"539655"))</f>
        <v>0</v>
      </c>
    </row>
    <row r="487" spans="1:21">
      <c r="A487" s="4">
        <f>IF(B487=" "," ",HYPERLINK(CONCATENATE("#metadata!",ADDRESS(INDEX($L$2:$L$1001,MATCH(ROWS($J$2:J487),$J$2:$J$1001,0),0),1)),INDEX($O$2:$O$1001,MATCH(ROWS($J$2:J487),$J$2:$J$1001,0),0)))</f>
        <v>0</v>
      </c>
      <c r="B487" s="3">
        <f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>0</v>
      </c>
      <c r="C487" s="3">
        <f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>0</v>
      </c>
      <c r="D487" s="3">
        <f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>0</v>
      </c>
      <c r="E487" s="3">
        <f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>0</v>
      </c>
      <c r="F487" s="3">
        <f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>0</v>
      </c>
      <c r="J487">
        <v>0</v>
      </c>
      <c r="K487">
        <v>0</v>
      </c>
      <c r="L487">
        <v>0</v>
      </c>
      <c r="M487">
        <f>IF(N487,TRUE,AND(Q487:U487))</f>
        <v>0</v>
      </c>
      <c r="N487">
        <f>COUNTBLANK(Metadata!B487:F487)=COLUMNS(Metadata!B487:F487)</f>
        <v>0</v>
      </c>
      <c r="O487">
        <v>0</v>
      </c>
      <c r="Q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>
        <f>AND(IF(Metadata!C487="",FALSE,TRUE),exact(Metadata!C487,"human-skin"))</f>
        <v>0</v>
      </c>
      <c r="S487">
        <f>OR(AND(IF(Metadata!D487="",FALSE,TRUE),OR(exact(Metadata!D487,"missing: not collected"),exact(Metadata!D487,"missing: not provided"))),AND(IF(Metadata!D487="",FALSE,TRUE),OR(exact(Metadata!D487,"UBERON:zone of skin"),exact(Metadata!D487,"UBERON:skin of hand"),exact(Metadata!D487,"UBERON:skin of forehead"))))</f>
        <v>0</v>
      </c>
      <c r="T487">
        <f>AND(IF(Metadata!E487="",FALSE,TRUE),exact(Metadata!E487,"human skin metagenome"))</f>
        <v>0</v>
      </c>
      <c r="U487">
        <f>AND(IF(Metadata!F487="",FALSE,TRUE),exact(Metadata!F487,"539655"))</f>
        <v>0</v>
      </c>
    </row>
    <row r="488" spans="1:21">
      <c r="A488" s="4">
        <f>IF(B488=" "," ",HYPERLINK(CONCATENATE("#metadata!",ADDRESS(INDEX($L$2:$L$1001,MATCH(ROWS($J$2:J488),$J$2:$J$1001,0),0),1)),INDEX($O$2:$O$1001,MATCH(ROWS($J$2:J488),$J$2:$J$1001,0),0)))</f>
        <v>0</v>
      </c>
      <c r="B488" s="3">
        <f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>0</v>
      </c>
      <c r="C488" s="3">
        <f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>0</v>
      </c>
      <c r="D488" s="3">
        <f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>0</v>
      </c>
      <c r="E488" s="3">
        <f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>0</v>
      </c>
      <c r="F488" s="3">
        <f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>0</v>
      </c>
      <c r="J488">
        <v>0</v>
      </c>
      <c r="K488">
        <v>0</v>
      </c>
      <c r="L488">
        <v>0</v>
      </c>
      <c r="M488">
        <f>IF(N488,TRUE,AND(Q488:U488))</f>
        <v>0</v>
      </c>
      <c r="N488">
        <f>COUNTBLANK(Metadata!B488:F488)=COLUMNS(Metadata!B488:F488)</f>
        <v>0</v>
      </c>
      <c r="O488">
        <v>0</v>
      </c>
      <c r="Q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>
        <f>AND(IF(Metadata!C488="",FALSE,TRUE),exact(Metadata!C488,"human-skin"))</f>
        <v>0</v>
      </c>
      <c r="S488">
        <f>OR(AND(IF(Metadata!D488="",FALSE,TRUE),OR(exact(Metadata!D488,"missing: not collected"),exact(Metadata!D488,"missing: not provided"))),AND(IF(Metadata!D488="",FALSE,TRUE),OR(exact(Metadata!D488,"UBERON:zone of skin"),exact(Metadata!D488,"UBERON:skin of hand"),exact(Metadata!D488,"UBERON:skin of forehead"))))</f>
        <v>0</v>
      </c>
      <c r="T488">
        <f>AND(IF(Metadata!E488="",FALSE,TRUE),exact(Metadata!E488,"human skin metagenome"))</f>
        <v>0</v>
      </c>
      <c r="U488">
        <f>AND(IF(Metadata!F488="",FALSE,TRUE),exact(Metadata!F488,"539655"))</f>
        <v>0</v>
      </c>
    </row>
    <row r="489" spans="1:21">
      <c r="A489" s="4">
        <f>IF(B489=" "," ",HYPERLINK(CONCATENATE("#metadata!",ADDRESS(INDEX($L$2:$L$1001,MATCH(ROWS($J$2:J489),$J$2:$J$1001,0),0),1)),INDEX($O$2:$O$1001,MATCH(ROWS($J$2:J489),$J$2:$J$1001,0),0)))</f>
        <v>0</v>
      </c>
      <c r="B489" s="3">
        <f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>0</v>
      </c>
      <c r="C489" s="3">
        <f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>0</v>
      </c>
      <c r="D489" s="3">
        <f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>0</v>
      </c>
      <c r="E489" s="3">
        <f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>0</v>
      </c>
      <c r="F489" s="3">
        <f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>0</v>
      </c>
      <c r="J489">
        <v>0</v>
      </c>
      <c r="K489">
        <v>0</v>
      </c>
      <c r="L489">
        <v>0</v>
      </c>
      <c r="M489">
        <f>IF(N489,TRUE,AND(Q489:U489))</f>
        <v>0</v>
      </c>
      <c r="N489">
        <f>COUNTBLANK(Metadata!B489:F489)=COLUMNS(Metadata!B489:F489)</f>
        <v>0</v>
      </c>
      <c r="O489">
        <v>0</v>
      </c>
      <c r="Q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>
        <f>AND(IF(Metadata!C489="",FALSE,TRUE),exact(Metadata!C489,"human-skin"))</f>
        <v>0</v>
      </c>
      <c r="S489">
        <f>OR(AND(IF(Metadata!D489="",FALSE,TRUE),OR(exact(Metadata!D489,"missing: not collected"),exact(Metadata!D489,"missing: not provided"))),AND(IF(Metadata!D489="",FALSE,TRUE),OR(exact(Metadata!D489,"UBERON:zone of skin"),exact(Metadata!D489,"UBERON:skin of hand"),exact(Metadata!D489,"UBERON:skin of forehead"))))</f>
        <v>0</v>
      </c>
      <c r="T489">
        <f>AND(IF(Metadata!E489="",FALSE,TRUE),exact(Metadata!E489,"human skin metagenome"))</f>
        <v>0</v>
      </c>
      <c r="U489">
        <f>AND(IF(Metadata!F489="",FALSE,TRUE),exact(Metadata!F489,"539655"))</f>
        <v>0</v>
      </c>
    </row>
    <row r="490" spans="1:21">
      <c r="A490" s="4">
        <f>IF(B490=" "," ",HYPERLINK(CONCATENATE("#metadata!",ADDRESS(INDEX($L$2:$L$1001,MATCH(ROWS($J$2:J490),$J$2:$J$1001,0),0),1)),INDEX($O$2:$O$1001,MATCH(ROWS($J$2:J490),$J$2:$J$1001,0),0)))</f>
        <v>0</v>
      </c>
      <c r="B490" s="3">
        <f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>0</v>
      </c>
      <c r="C490" s="3">
        <f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>0</v>
      </c>
      <c r="D490" s="3">
        <f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>0</v>
      </c>
      <c r="E490" s="3">
        <f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>0</v>
      </c>
      <c r="F490" s="3">
        <f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>0</v>
      </c>
      <c r="J490">
        <v>0</v>
      </c>
      <c r="K490">
        <v>0</v>
      </c>
      <c r="L490">
        <v>0</v>
      </c>
      <c r="M490">
        <f>IF(N490,TRUE,AND(Q490:U490))</f>
        <v>0</v>
      </c>
      <c r="N490">
        <f>COUNTBLANK(Metadata!B490:F490)=COLUMNS(Metadata!B490:F490)</f>
        <v>0</v>
      </c>
      <c r="O490">
        <v>0</v>
      </c>
      <c r="Q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>
        <f>AND(IF(Metadata!C490="",FALSE,TRUE),exact(Metadata!C490,"human-skin"))</f>
        <v>0</v>
      </c>
      <c r="S490">
        <f>OR(AND(IF(Metadata!D490="",FALSE,TRUE),OR(exact(Metadata!D490,"missing: not collected"),exact(Metadata!D490,"missing: not provided"))),AND(IF(Metadata!D490="",FALSE,TRUE),OR(exact(Metadata!D490,"UBERON:zone of skin"),exact(Metadata!D490,"UBERON:skin of hand"),exact(Metadata!D490,"UBERON:skin of forehead"))))</f>
        <v>0</v>
      </c>
      <c r="T490">
        <f>AND(IF(Metadata!E490="",FALSE,TRUE),exact(Metadata!E490,"human skin metagenome"))</f>
        <v>0</v>
      </c>
      <c r="U490">
        <f>AND(IF(Metadata!F490="",FALSE,TRUE),exact(Metadata!F490,"539655"))</f>
        <v>0</v>
      </c>
    </row>
    <row r="491" spans="1:21">
      <c r="A491" s="4">
        <f>IF(B491=" "," ",HYPERLINK(CONCATENATE("#metadata!",ADDRESS(INDEX($L$2:$L$1001,MATCH(ROWS($J$2:J491),$J$2:$J$1001,0),0),1)),INDEX($O$2:$O$1001,MATCH(ROWS($J$2:J491),$J$2:$J$1001,0),0)))</f>
        <v>0</v>
      </c>
      <c r="B491" s="3">
        <f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>0</v>
      </c>
      <c r="C491" s="3">
        <f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>0</v>
      </c>
      <c r="D491" s="3">
        <f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>0</v>
      </c>
      <c r="E491" s="3">
        <f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>0</v>
      </c>
      <c r="F491" s="3">
        <f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>0</v>
      </c>
      <c r="J491">
        <v>0</v>
      </c>
      <c r="K491">
        <v>0</v>
      </c>
      <c r="L491">
        <v>0</v>
      </c>
      <c r="M491">
        <f>IF(N491,TRUE,AND(Q491:U491))</f>
        <v>0</v>
      </c>
      <c r="N491">
        <f>COUNTBLANK(Metadata!B491:F491)=COLUMNS(Metadata!B491:F491)</f>
        <v>0</v>
      </c>
      <c r="O491">
        <v>0</v>
      </c>
      <c r="Q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>
        <f>AND(IF(Metadata!C491="",FALSE,TRUE),exact(Metadata!C491,"human-skin"))</f>
        <v>0</v>
      </c>
      <c r="S491">
        <f>OR(AND(IF(Metadata!D491="",FALSE,TRUE),OR(exact(Metadata!D491,"missing: not collected"),exact(Metadata!D491,"missing: not provided"))),AND(IF(Metadata!D491="",FALSE,TRUE),OR(exact(Metadata!D491,"UBERON:zone of skin"),exact(Metadata!D491,"UBERON:skin of hand"),exact(Metadata!D491,"UBERON:skin of forehead"))))</f>
        <v>0</v>
      </c>
      <c r="T491">
        <f>AND(IF(Metadata!E491="",FALSE,TRUE),exact(Metadata!E491,"human skin metagenome"))</f>
        <v>0</v>
      </c>
      <c r="U491">
        <f>AND(IF(Metadata!F491="",FALSE,TRUE),exact(Metadata!F491,"539655"))</f>
        <v>0</v>
      </c>
    </row>
    <row r="492" spans="1:21">
      <c r="A492" s="4">
        <f>IF(B492=" "," ",HYPERLINK(CONCATENATE("#metadata!",ADDRESS(INDEX($L$2:$L$1001,MATCH(ROWS($J$2:J492),$J$2:$J$1001,0),0),1)),INDEX($O$2:$O$1001,MATCH(ROWS($J$2:J492),$J$2:$J$1001,0),0)))</f>
        <v>0</v>
      </c>
      <c r="B492" s="3">
        <f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>0</v>
      </c>
      <c r="C492" s="3">
        <f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>0</v>
      </c>
      <c r="D492" s="3">
        <f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>0</v>
      </c>
      <c r="E492" s="3">
        <f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>0</v>
      </c>
      <c r="F492" s="3">
        <f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>0</v>
      </c>
      <c r="J492">
        <v>0</v>
      </c>
      <c r="K492">
        <v>0</v>
      </c>
      <c r="L492">
        <v>0</v>
      </c>
      <c r="M492">
        <f>IF(N492,TRUE,AND(Q492:U492))</f>
        <v>0</v>
      </c>
      <c r="N492">
        <f>COUNTBLANK(Metadata!B492:F492)=COLUMNS(Metadata!B492:F492)</f>
        <v>0</v>
      </c>
      <c r="O492">
        <v>0</v>
      </c>
      <c r="Q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>
        <f>AND(IF(Metadata!C492="",FALSE,TRUE),exact(Metadata!C492,"human-skin"))</f>
        <v>0</v>
      </c>
      <c r="S492">
        <f>OR(AND(IF(Metadata!D492="",FALSE,TRUE),OR(exact(Metadata!D492,"missing: not collected"),exact(Metadata!D492,"missing: not provided"))),AND(IF(Metadata!D492="",FALSE,TRUE),OR(exact(Metadata!D492,"UBERON:zone of skin"),exact(Metadata!D492,"UBERON:skin of hand"),exact(Metadata!D492,"UBERON:skin of forehead"))))</f>
        <v>0</v>
      </c>
      <c r="T492">
        <f>AND(IF(Metadata!E492="",FALSE,TRUE),exact(Metadata!E492,"human skin metagenome"))</f>
        <v>0</v>
      </c>
      <c r="U492">
        <f>AND(IF(Metadata!F492="",FALSE,TRUE),exact(Metadata!F492,"539655"))</f>
        <v>0</v>
      </c>
    </row>
    <row r="493" spans="1:21">
      <c r="A493" s="4">
        <f>IF(B493=" "," ",HYPERLINK(CONCATENATE("#metadata!",ADDRESS(INDEX($L$2:$L$1001,MATCH(ROWS($J$2:J493),$J$2:$J$1001,0),0),1)),INDEX($O$2:$O$1001,MATCH(ROWS($J$2:J493),$J$2:$J$1001,0),0)))</f>
        <v>0</v>
      </c>
      <c r="B493" s="3">
        <f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>0</v>
      </c>
      <c r="C493" s="3">
        <f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>0</v>
      </c>
      <c r="D493" s="3">
        <f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>0</v>
      </c>
      <c r="E493" s="3">
        <f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>0</v>
      </c>
      <c r="F493" s="3">
        <f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>0</v>
      </c>
      <c r="J493">
        <v>0</v>
      </c>
      <c r="K493">
        <v>0</v>
      </c>
      <c r="L493">
        <v>0</v>
      </c>
      <c r="M493">
        <f>IF(N493,TRUE,AND(Q493:U493))</f>
        <v>0</v>
      </c>
      <c r="N493">
        <f>COUNTBLANK(Metadata!B493:F493)=COLUMNS(Metadata!B493:F493)</f>
        <v>0</v>
      </c>
      <c r="O493">
        <v>0</v>
      </c>
      <c r="Q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>
        <f>AND(IF(Metadata!C493="",FALSE,TRUE),exact(Metadata!C493,"human-skin"))</f>
        <v>0</v>
      </c>
      <c r="S493">
        <f>OR(AND(IF(Metadata!D493="",FALSE,TRUE),OR(exact(Metadata!D493,"missing: not collected"),exact(Metadata!D493,"missing: not provided"))),AND(IF(Metadata!D493="",FALSE,TRUE),OR(exact(Metadata!D493,"UBERON:zone of skin"),exact(Metadata!D493,"UBERON:skin of hand"),exact(Metadata!D493,"UBERON:skin of forehead"))))</f>
        <v>0</v>
      </c>
      <c r="T493">
        <f>AND(IF(Metadata!E493="",FALSE,TRUE),exact(Metadata!E493,"human skin metagenome"))</f>
        <v>0</v>
      </c>
      <c r="U493">
        <f>AND(IF(Metadata!F493="",FALSE,TRUE),exact(Metadata!F493,"539655"))</f>
        <v>0</v>
      </c>
    </row>
    <row r="494" spans="1:21">
      <c r="A494" s="4">
        <f>IF(B494=" "," ",HYPERLINK(CONCATENATE("#metadata!",ADDRESS(INDEX($L$2:$L$1001,MATCH(ROWS($J$2:J494),$J$2:$J$1001,0),0),1)),INDEX($O$2:$O$1001,MATCH(ROWS($J$2:J494),$J$2:$J$1001,0),0)))</f>
        <v>0</v>
      </c>
      <c r="B494" s="3">
        <f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>0</v>
      </c>
      <c r="C494" s="3">
        <f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>0</v>
      </c>
      <c r="D494" s="3">
        <f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>0</v>
      </c>
      <c r="E494" s="3">
        <f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>0</v>
      </c>
      <c r="F494" s="3">
        <f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>0</v>
      </c>
      <c r="J494">
        <v>0</v>
      </c>
      <c r="K494">
        <v>0</v>
      </c>
      <c r="L494">
        <v>0</v>
      </c>
      <c r="M494">
        <f>IF(N494,TRUE,AND(Q494:U494))</f>
        <v>0</v>
      </c>
      <c r="N494">
        <f>COUNTBLANK(Metadata!B494:F494)=COLUMNS(Metadata!B494:F494)</f>
        <v>0</v>
      </c>
      <c r="O494">
        <v>0</v>
      </c>
      <c r="Q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>
        <f>AND(IF(Metadata!C494="",FALSE,TRUE),exact(Metadata!C494,"human-skin"))</f>
        <v>0</v>
      </c>
      <c r="S494">
        <f>OR(AND(IF(Metadata!D494="",FALSE,TRUE),OR(exact(Metadata!D494,"missing: not collected"),exact(Metadata!D494,"missing: not provided"))),AND(IF(Metadata!D494="",FALSE,TRUE),OR(exact(Metadata!D494,"UBERON:zone of skin"),exact(Metadata!D494,"UBERON:skin of hand"),exact(Metadata!D494,"UBERON:skin of forehead"))))</f>
        <v>0</v>
      </c>
      <c r="T494">
        <f>AND(IF(Metadata!E494="",FALSE,TRUE),exact(Metadata!E494,"human skin metagenome"))</f>
        <v>0</v>
      </c>
      <c r="U494">
        <f>AND(IF(Metadata!F494="",FALSE,TRUE),exact(Metadata!F494,"539655"))</f>
        <v>0</v>
      </c>
    </row>
    <row r="495" spans="1:21">
      <c r="A495" s="4">
        <f>IF(B495=" "," ",HYPERLINK(CONCATENATE("#metadata!",ADDRESS(INDEX($L$2:$L$1001,MATCH(ROWS($J$2:J495),$J$2:$J$1001,0),0),1)),INDEX($O$2:$O$1001,MATCH(ROWS($J$2:J495),$J$2:$J$1001,0),0)))</f>
        <v>0</v>
      </c>
      <c r="B495" s="3">
        <f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>0</v>
      </c>
      <c r="C495" s="3">
        <f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>0</v>
      </c>
      <c r="D495" s="3">
        <f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>0</v>
      </c>
      <c r="E495" s="3">
        <f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>0</v>
      </c>
      <c r="F495" s="3">
        <f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>0</v>
      </c>
      <c r="J495">
        <v>0</v>
      </c>
      <c r="K495">
        <v>0</v>
      </c>
      <c r="L495">
        <v>0</v>
      </c>
      <c r="M495">
        <f>IF(N495,TRUE,AND(Q495:U495))</f>
        <v>0</v>
      </c>
      <c r="N495">
        <f>COUNTBLANK(Metadata!B495:F495)=COLUMNS(Metadata!B495:F495)</f>
        <v>0</v>
      </c>
      <c r="O495">
        <v>0</v>
      </c>
      <c r="Q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>
        <f>AND(IF(Metadata!C495="",FALSE,TRUE),exact(Metadata!C495,"human-skin"))</f>
        <v>0</v>
      </c>
      <c r="S495">
        <f>OR(AND(IF(Metadata!D495="",FALSE,TRUE),OR(exact(Metadata!D495,"missing: not collected"),exact(Metadata!D495,"missing: not provided"))),AND(IF(Metadata!D495="",FALSE,TRUE),OR(exact(Metadata!D495,"UBERON:zone of skin"),exact(Metadata!D495,"UBERON:skin of hand"),exact(Metadata!D495,"UBERON:skin of forehead"))))</f>
        <v>0</v>
      </c>
      <c r="T495">
        <f>AND(IF(Metadata!E495="",FALSE,TRUE),exact(Metadata!E495,"human skin metagenome"))</f>
        <v>0</v>
      </c>
      <c r="U495">
        <f>AND(IF(Metadata!F495="",FALSE,TRUE),exact(Metadata!F495,"539655"))</f>
        <v>0</v>
      </c>
    </row>
    <row r="496" spans="1:21">
      <c r="A496" s="4">
        <f>IF(B496=" "," ",HYPERLINK(CONCATENATE("#metadata!",ADDRESS(INDEX($L$2:$L$1001,MATCH(ROWS($J$2:J496),$J$2:$J$1001,0),0),1)),INDEX($O$2:$O$1001,MATCH(ROWS($J$2:J496),$J$2:$J$1001,0),0)))</f>
        <v>0</v>
      </c>
      <c r="B496" s="3">
        <f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>0</v>
      </c>
      <c r="C496" s="3">
        <f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>0</v>
      </c>
      <c r="D496" s="3">
        <f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>0</v>
      </c>
      <c r="E496" s="3">
        <f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>0</v>
      </c>
      <c r="F496" s="3">
        <f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>0</v>
      </c>
      <c r="J496">
        <v>0</v>
      </c>
      <c r="K496">
        <v>0</v>
      </c>
      <c r="L496">
        <v>0</v>
      </c>
      <c r="M496">
        <f>IF(N496,TRUE,AND(Q496:U496))</f>
        <v>0</v>
      </c>
      <c r="N496">
        <f>COUNTBLANK(Metadata!B496:F496)=COLUMNS(Metadata!B496:F496)</f>
        <v>0</v>
      </c>
      <c r="O496">
        <v>0</v>
      </c>
      <c r="Q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>
        <f>AND(IF(Metadata!C496="",FALSE,TRUE),exact(Metadata!C496,"human-skin"))</f>
        <v>0</v>
      </c>
      <c r="S496">
        <f>OR(AND(IF(Metadata!D496="",FALSE,TRUE),OR(exact(Metadata!D496,"missing: not collected"),exact(Metadata!D496,"missing: not provided"))),AND(IF(Metadata!D496="",FALSE,TRUE),OR(exact(Metadata!D496,"UBERON:zone of skin"),exact(Metadata!D496,"UBERON:skin of hand"),exact(Metadata!D496,"UBERON:skin of forehead"))))</f>
        <v>0</v>
      </c>
      <c r="T496">
        <f>AND(IF(Metadata!E496="",FALSE,TRUE),exact(Metadata!E496,"human skin metagenome"))</f>
        <v>0</v>
      </c>
      <c r="U496">
        <f>AND(IF(Metadata!F496="",FALSE,TRUE),exact(Metadata!F496,"539655"))</f>
        <v>0</v>
      </c>
    </row>
    <row r="497" spans="1:21">
      <c r="A497" s="4">
        <f>IF(B497=" "," ",HYPERLINK(CONCATENATE("#metadata!",ADDRESS(INDEX($L$2:$L$1001,MATCH(ROWS($J$2:J497),$J$2:$J$1001,0),0),1)),INDEX($O$2:$O$1001,MATCH(ROWS($J$2:J497),$J$2:$J$1001,0),0)))</f>
        <v>0</v>
      </c>
      <c r="B497" s="3">
        <f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>0</v>
      </c>
      <c r="C497" s="3">
        <f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>0</v>
      </c>
      <c r="D497" s="3">
        <f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>0</v>
      </c>
      <c r="E497" s="3">
        <f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>0</v>
      </c>
      <c r="F497" s="3">
        <f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>0</v>
      </c>
      <c r="J497">
        <v>0</v>
      </c>
      <c r="K497">
        <v>0</v>
      </c>
      <c r="L497">
        <v>0</v>
      </c>
      <c r="M497">
        <f>IF(N497,TRUE,AND(Q497:U497))</f>
        <v>0</v>
      </c>
      <c r="N497">
        <f>COUNTBLANK(Metadata!B497:F497)=COLUMNS(Metadata!B497:F497)</f>
        <v>0</v>
      </c>
      <c r="O497">
        <v>0</v>
      </c>
      <c r="Q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>
        <f>AND(IF(Metadata!C497="",FALSE,TRUE),exact(Metadata!C497,"human-skin"))</f>
        <v>0</v>
      </c>
      <c r="S497">
        <f>OR(AND(IF(Metadata!D497="",FALSE,TRUE),OR(exact(Metadata!D497,"missing: not collected"),exact(Metadata!D497,"missing: not provided"))),AND(IF(Metadata!D497="",FALSE,TRUE),OR(exact(Metadata!D497,"UBERON:zone of skin"),exact(Metadata!D497,"UBERON:skin of hand"),exact(Metadata!D497,"UBERON:skin of forehead"))))</f>
        <v>0</v>
      </c>
      <c r="T497">
        <f>AND(IF(Metadata!E497="",FALSE,TRUE),exact(Metadata!E497,"human skin metagenome"))</f>
        <v>0</v>
      </c>
      <c r="U497">
        <f>AND(IF(Metadata!F497="",FALSE,TRUE),exact(Metadata!F497,"539655"))</f>
        <v>0</v>
      </c>
    </row>
    <row r="498" spans="1:21">
      <c r="A498" s="4">
        <f>IF(B498=" "," ",HYPERLINK(CONCATENATE("#metadata!",ADDRESS(INDEX($L$2:$L$1001,MATCH(ROWS($J$2:J498),$J$2:$J$1001,0),0),1)),INDEX($O$2:$O$1001,MATCH(ROWS($J$2:J498),$J$2:$J$1001,0),0)))</f>
        <v>0</v>
      </c>
      <c r="B498" s="3">
        <f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>0</v>
      </c>
      <c r="C498" s="3">
        <f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>0</v>
      </c>
      <c r="D498" s="3">
        <f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>0</v>
      </c>
      <c r="E498" s="3">
        <f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>0</v>
      </c>
      <c r="F498" s="3">
        <f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>0</v>
      </c>
      <c r="J498">
        <v>0</v>
      </c>
      <c r="K498">
        <v>0</v>
      </c>
      <c r="L498">
        <v>0</v>
      </c>
      <c r="M498">
        <f>IF(N498,TRUE,AND(Q498:U498))</f>
        <v>0</v>
      </c>
      <c r="N498">
        <f>COUNTBLANK(Metadata!B498:F498)=COLUMNS(Metadata!B498:F498)</f>
        <v>0</v>
      </c>
      <c r="O498">
        <v>0</v>
      </c>
      <c r="Q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>
        <f>AND(IF(Metadata!C498="",FALSE,TRUE),exact(Metadata!C498,"human-skin"))</f>
        <v>0</v>
      </c>
      <c r="S498">
        <f>OR(AND(IF(Metadata!D498="",FALSE,TRUE),OR(exact(Metadata!D498,"missing: not collected"),exact(Metadata!D498,"missing: not provided"))),AND(IF(Metadata!D498="",FALSE,TRUE),OR(exact(Metadata!D498,"UBERON:zone of skin"),exact(Metadata!D498,"UBERON:skin of hand"),exact(Metadata!D498,"UBERON:skin of forehead"))))</f>
        <v>0</v>
      </c>
      <c r="T498">
        <f>AND(IF(Metadata!E498="",FALSE,TRUE),exact(Metadata!E498,"human skin metagenome"))</f>
        <v>0</v>
      </c>
      <c r="U498">
        <f>AND(IF(Metadata!F498="",FALSE,TRUE),exact(Metadata!F498,"539655"))</f>
        <v>0</v>
      </c>
    </row>
    <row r="499" spans="1:21">
      <c r="A499" s="4">
        <f>IF(B499=" "," ",HYPERLINK(CONCATENATE("#metadata!",ADDRESS(INDEX($L$2:$L$1001,MATCH(ROWS($J$2:J499),$J$2:$J$1001,0),0),1)),INDEX($O$2:$O$1001,MATCH(ROWS($J$2:J499),$J$2:$J$1001,0),0)))</f>
        <v>0</v>
      </c>
      <c r="B499" s="3">
        <f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>0</v>
      </c>
      <c r="C499" s="3">
        <f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>0</v>
      </c>
      <c r="D499" s="3">
        <f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>0</v>
      </c>
      <c r="E499" s="3">
        <f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>0</v>
      </c>
      <c r="F499" s="3">
        <f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>0</v>
      </c>
      <c r="J499">
        <v>0</v>
      </c>
      <c r="K499">
        <v>0</v>
      </c>
      <c r="L499">
        <v>0</v>
      </c>
      <c r="M499">
        <f>IF(N499,TRUE,AND(Q499:U499))</f>
        <v>0</v>
      </c>
      <c r="N499">
        <f>COUNTBLANK(Metadata!B499:F499)=COLUMNS(Metadata!B499:F499)</f>
        <v>0</v>
      </c>
      <c r="O499">
        <v>0</v>
      </c>
      <c r="Q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>
        <f>AND(IF(Metadata!C499="",FALSE,TRUE),exact(Metadata!C499,"human-skin"))</f>
        <v>0</v>
      </c>
      <c r="S499">
        <f>OR(AND(IF(Metadata!D499="",FALSE,TRUE),OR(exact(Metadata!D499,"missing: not collected"),exact(Metadata!D499,"missing: not provided"))),AND(IF(Metadata!D499="",FALSE,TRUE),OR(exact(Metadata!D499,"UBERON:zone of skin"),exact(Metadata!D499,"UBERON:skin of hand"),exact(Metadata!D499,"UBERON:skin of forehead"))))</f>
        <v>0</v>
      </c>
      <c r="T499">
        <f>AND(IF(Metadata!E499="",FALSE,TRUE),exact(Metadata!E499,"human skin metagenome"))</f>
        <v>0</v>
      </c>
      <c r="U499">
        <f>AND(IF(Metadata!F499="",FALSE,TRUE),exact(Metadata!F499,"539655"))</f>
        <v>0</v>
      </c>
    </row>
    <row r="500" spans="1:21">
      <c r="A500" s="4">
        <f>IF(B500=" "," ",HYPERLINK(CONCATENATE("#metadata!",ADDRESS(INDEX($L$2:$L$1001,MATCH(ROWS($J$2:J500),$J$2:$J$1001,0),0),1)),INDEX($O$2:$O$1001,MATCH(ROWS($J$2:J500),$J$2:$J$1001,0),0)))</f>
        <v>0</v>
      </c>
      <c r="B500" s="3">
        <f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>0</v>
      </c>
      <c r="C500" s="3">
        <f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>0</v>
      </c>
      <c r="D500" s="3">
        <f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>0</v>
      </c>
      <c r="E500" s="3">
        <f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>0</v>
      </c>
      <c r="F500" s="3">
        <f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>0</v>
      </c>
      <c r="J500">
        <v>0</v>
      </c>
      <c r="K500">
        <v>0</v>
      </c>
      <c r="L500">
        <v>0</v>
      </c>
      <c r="M500">
        <f>IF(N500,TRUE,AND(Q500:U500))</f>
        <v>0</v>
      </c>
      <c r="N500">
        <f>COUNTBLANK(Metadata!B500:F500)=COLUMNS(Metadata!B500:F500)</f>
        <v>0</v>
      </c>
      <c r="O500">
        <v>0</v>
      </c>
      <c r="Q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>
        <f>AND(IF(Metadata!C500="",FALSE,TRUE),exact(Metadata!C500,"human-skin"))</f>
        <v>0</v>
      </c>
      <c r="S500">
        <f>OR(AND(IF(Metadata!D500="",FALSE,TRUE),OR(exact(Metadata!D500,"missing: not collected"),exact(Metadata!D500,"missing: not provided"))),AND(IF(Metadata!D500="",FALSE,TRUE),OR(exact(Metadata!D500,"UBERON:zone of skin"),exact(Metadata!D500,"UBERON:skin of hand"),exact(Metadata!D500,"UBERON:skin of forehead"))))</f>
        <v>0</v>
      </c>
      <c r="T500">
        <f>AND(IF(Metadata!E500="",FALSE,TRUE),exact(Metadata!E500,"human skin metagenome"))</f>
        <v>0</v>
      </c>
      <c r="U500">
        <f>AND(IF(Metadata!F500="",FALSE,TRUE),exact(Metadata!F500,"539655"))</f>
        <v>0</v>
      </c>
    </row>
    <row r="501" spans="1:21">
      <c r="A501" s="4">
        <f>IF(B501=" "," ",HYPERLINK(CONCATENATE("#metadata!",ADDRESS(INDEX($L$2:$L$1001,MATCH(ROWS($J$2:J501),$J$2:$J$1001,0),0),1)),INDEX($O$2:$O$1001,MATCH(ROWS($J$2:J501),$J$2:$J$1001,0),0)))</f>
        <v>0</v>
      </c>
      <c r="B501" s="3">
        <f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>0</v>
      </c>
      <c r="C501" s="3">
        <f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>0</v>
      </c>
      <c r="D501" s="3">
        <f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>0</v>
      </c>
      <c r="E501" s="3">
        <f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>0</v>
      </c>
      <c r="F501" s="3">
        <f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>0</v>
      </c>
      <c r="J501">
        <v>0</v>
      </c>
      <c r="K501">
        <v>0</v>
      </c>
      <c r="L501">
        <v>0</v>
      </c>
      <c r="M501">
        <f>IF(N501,TRUE,AND(Q501:U501))</f>
        <v>0</v>
      </c>
      <c r="N501">
        <f>COUNTBLANK(Metadata!B501:F501)=COLUMNS(Metadata!B501:F501)</f>
        <v>0</v>
      </c>
      <c r="O501">
        <v>0</v>
      </c>
      <c r="Q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>
        <f>AND(IF(Metadata!C501="",FALSE,TRUE),exact(Metadata!C501,"human-skin"))</f>
        <v>0</v>
      </c>
      <c r="S501">
        <f>OR(AND(IF(Metadata!D501="",FALSE,TRUE),OR(exact(Metadata!D501,"missing: not collected"),exact(Metadata!D501,"missing: not provided"))),AND(IF(Metadata!D501="",FALSE,TRUE),OR(exact(Metadata!D501,"UBERON:zone of skin"),exact(Metadata!D501,"UBERON:skin of hand"),exact(Metadata!D501,"UBERON:skin of forehead"))))</f>
        <v>0</v>
      </c>
      <c r="T501">
        <f>AND(IF(Metadata!E501="",FALSE,TRUE),exact(Metadata!E501,"human skin metagenome"))</f>
        <v>0</v>
      </c>
      <c r="U501">
        <f>AND(IF(Metadata!F501="",FALSE,TRUE),exact(Metadata!F501,"539655"))</f>
        <v>0</v>
      </c>
    </row>
    <row r="502" spans="1:21">
      <c r="A502" s="4">
        <f>IF(B502=" "," ",HYPERLINK(CONCATENATE("#metadata!",ADDRESS(INDEX($L$2:$L$1001,MATCH(ROWS($J$2:J502),$J$2:$J$1001,0),0),1)),INDEX($O$2:$O$1001,MATCH(ROWS($J$2:J502),$J$2:$J$1001,0),0)))</f>
        <v>0</v>
      </c>
      <c r="B502" s="3">
        <f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>0</v>
      </c>
      <c r="C502" s="3">
        <f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>0</v>
      </c>
      <c r="D502" s="3">
        <f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>0</v>
      </c>
      <c r="E502" s="3">
        <f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>0</v>
      </c>
      <c r="F502" s="3">
        <f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>0</v>
      </c>
      <c r="J502">
        <v>0</v>
      </c>
      <c r="K502">
        <v>0</v>
      </c>
      <c r="L502">
        <v>0</v>
      </c>
      <c r="M502">
        <f>IF(N502,TRUE,AND(Q502:U502))</f>
        <v>0</v>
      </c>
      <c r="N502">
        <f>COUNTBLANK(Metadata!B502:F502)=COLUMNS(Metadata!B502:F502)</f>
        <v>0</v>
      </c>
      <c r="O502">
        <v>0</v>
      </c>
      <c r="Q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>
        <f>AND(IF(Metadata!C502="",FALSE,TRUE),exact(Metadata!C502,"human-skin"))</f>
        <v>0</v>
      </c>
      <c r="S502">
        <f>OR(AND(IF(Metadata!D502="",FALSE,TRUE),OR(exact(Metadata!D502,"missing: not collected"),exact(Metadata!D502,"missing: not provided"))),AND(IF(Metadata!D502="",FALSE,TRUE),OR(exact(Metadata!D502,"UBERON:zone of skin"),exact(Metadata!D502,"UBERON:skin of hand"),exact(Metadata!D502,"UBERON:skin of forehead"))))</f>
        <v>0</v>
      </c>
      <c r="T502">
        <f>AND(IF(Metadata!E502="",FALSE,TRUE),exact(Metadata!E502,"human skin metagenome"))</f>
        <v>0</v>
      </c>
      <c r="U502">
        <f>AND(IF(Metadata!F502="",FALSE,TRUE),exact(Metadata!F502,"539655"))</f>
        <v>0</v>
      </c>
    </row>
    <row r="503" spans="1:21">
      <c r="A503" s="4">
        <f>IF(B503=" "," ",HYPERLINK(CONCATENATE("#metadata!",ADDRESS(INDEX($L$2:$L$1001,MATCH(ROWS($J$2:J503),$J$2:$J$1001,0),0),1)),INDEX($O$2:$O$1001,MATCH(ROWS($J$2:J503),$J$2:$J$1001,0),0)))</f>
        <v>0</v>
      </c>
      <c r="B503" s="3">
        <f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>0</v>
      </c>
      <c r="C503" s="3">
        <f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>0</v>
      </c>
      <c r="D503" s="3">
        <f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>0</v>
      </c>
      <c r="E503" s="3">
        <f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>0</v>
      </c>
      <c r="F503" s="3">
        <f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>0</v>
      </c>
      <c r="J503">
        <v>0</v>
      </c>
      <c r="K503">
        <v>0</v>
      </c>
      <c r="L503">
        <v>0</v>
      </c>
      <c r="M503">
        <f>IF(N503,TRUE,AND(Q503:U503))</f>
        <v>0</v>
      </c>
      <c r="N503">
        <f>COUNTBLANK(Metadata!B503:F503)=COLUMNS(Metadata!B503:F503)</f>
        <v>0</v>
      </c>
      <c r="O503">
        <v>0</v>
      </c>
      <c r="Q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>
        <f>AND(IF(Metadata!C503="",FALSE,TRUE),exact(Metadata!C503,"human-skin"))</f>
        <v>0</v>
      </c>
      <c r="S503">
        <f>OR(AND(IF(Metadata!D503="",FALSE,TRUE),OR(exact(Metadata!D503,"missing: not collected"),exact(Metadata!D503,"missing: not provided"))),AND(IF(Metadata!D503="",FALSE,TRUE),OR(exact(Metadata!D503,"UBERON:zone of skin"),exact(Metadata!D503,"UBERON:skin of hand"),exact(Metadata!D503,"UBERON:skin of forehead"))))</f>
        <v>0</v>
      </c>
      <c r="T503">
        <f>AND(IF(Metadata!E503="",FALSE,TRUE),exact(Metadata!E503,"human skin metagenome"))</f>
        <v>0</v>
      </c>
      <c r="U503">
        <f>AND(IF(Metadata!F503="",FALSE,TRUE),exact(Metadata!F503,"539655"))</f>
        <v>0</v>
      </c>
    </row>
    <row r="504" spans="1:21">
      <c r="A504" s="4">
        <f>IF(B504=" "," ",HYPERLINK(CONCATENATE("#metadata!",ADDRESS(INDEX($L$2:$L$1001,MATCH(ROWS($J$2:J504),$J$2:$J$1001,0),0),1)),INDEX($O$2:$O$1001,MATCH(ROWS($J$2:J504),$J$2:$J$1001,0),0)))</f>
        <v>0</v>
      </c>
      <c r="B504" s="3">
        <f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>0</v>
      </c>
      <c r="C504" s="3">
        <f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>0</v>
      </c>
      <c r="D504" s="3">
        <f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>0</v>
      </c>
      <c r="E504" s="3">
        <f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>0</v>
      </c>
      <c r="F504" s="3">
        <f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>0</v>
      </c>
      <c r="J504">
        <v>0</v>
      </c>
      <c r="K504">
        <v>0</v>
      </c>
      <c r="L504">
        <v>0</v>
      </c>
      <c r="M504">
        <f>IF(N504,TRUE,AND(Q504:U504))</f>
        <v>0</v>
      </c>
      <c r="N504">
        <f>COUNTBLANK(Metadata!B504:F504)=COLUMNS(Metadata!B504:F504)</f>
        <v>0</v>
      </c>
      <c r="O504">
        <v>0</v>
      </c>
      <c r="Q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>
        <f>AND(IF(Metadata!C504="",FALSE,TRUE),exact(Metadata!C504,"human-skin"))</f>
        <v>0</v>
      </c>
      <c r="S504">
        <f>OR(AND(IF(Metadata!D504="",FALSE,TRUE),OR(exact(Metadata!D504,"missing: not collected"),exact(Metadata!D504,"missing: not provided"))),AND(IF(Metadata!D504="",FALSE,TRUE),OR(exact(Metadata!D504,"UBERON:zone of skin"),exact(Metadata!D504,"UBERON:skin of hand"),exact(Metadata!D504,"UBERON:skin of forehead"))))</f>
        <v>0</v>
      </c>
      <c r="T504">
        <f>AND(IF(Metadata!E504="",FALSE,TRUE),exact(Metadata!E504,"human skin metagenome"))</f>
        <v>0</v>
      </c>
      <c r="U504">
        <f>AND(IF(Metadata!F504="",FALSE,TRUE),exact(Metadata!F504,"539655"))</f>
        <v>0</v>
      </c>
    </row>
    <row r="505" spans="1:21">
      <c r="A505" s="4">
        <f>IF(B505=" "," ",HYPERLINK(CONCATENATE("#metadata!",ADDRESS(INDEX($L$2:$L$1001,MATCH(ROWS($J$2:J505),$J$2:$J$1001,0),0),1)),INDEX($O$2:$O$1001,MATCH(ROWS($J$2:J505),$J$2:$J$1001,0),0)))</f>
        <v>0</v>
      </c>
      <c r="B505" s="3">
        <f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>0</v>
      </c>
      <c r="C505" s="3">
        <f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>0</v>
      </c>
      <c r="D505" s="3">
        <f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>0</v>
      </c>
      <c r="E505" s="3">
        <f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>0</v>
      </c>
      <c r="F505" s="3">
        <f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>0</v>
      </c>
      <c r="J505">
        <v>0</v>
      </c>
      <c r="K505">
        <v>0</v>
      </c>
      <c r="L505">
        <v>0</v>
      </c>
      <c r="M505">
        <f>IF(N505,TRUE,AND(Q505:U505))</f>
        <v>0</v>
      </c>
      <c r="N505">
        <f>COUNTBLANK(Metadata!B505:F505)=COLUMNS(Metadata!B505:F505)</f>
        <v>0</v>
      </c>
      <c r="O505">
        <v>0</v>
      </c>
      <c r="Q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>
        <f>AND(IF(Metadata!C505="",FALSE,TRUE),exact(Metadata!C505,"human-skin"))</f>
        <v>0</v>
      </c>
      <c r="S505">
        <f>OR(AND(IF(Metadata!D505="",FALSE,TRUE),OR(exact(Metadata!D505,"missing: not collected"),exact(Metadata!D505,"missing: not provided"))),AND(IF(Metadata!D505="",FALSE,TRUE),OR(exact(Metadata!D505,"UBERON:zone of skin"),exact(Metadata!D505,"UBERON:skin of hand"),exact(Metadata!D505,"UBERON:skin of forehead"))))</f>
        <v>0</v>
      </c>
      <c r="T505">
        <f>AND(IF(Metadata!E505="",FALSE,TRUE),exact(Metadata!E505,"human skin metagenome"))</f>
        <v>0</v>
      </c>
      <c r="U505">
        <f>AND(IF(Metadata!F505="",FALSE,TRUE),exact(Metadata!F505,"539655"))</f>
        <v>0</v>
      </c>
    </row>
    <row r="506" spans="1:21">
      <c r="A506" s="4">
        <f>IF(B506=" "," ",HYPERLINK(CONCATENATE("#metadata!",ADDRESS(INDEX($L$2:$L$1001,MATCH(ROWS($J$2:J506),$J$2:$J$1001,0),0),1)),INDEX($O$2:$O$1001,MATCH(ROWS($J$2:J506),$J$2:$J$1001,0),0)))</f>
        <v>0</v>
      </c>
      <c r="B506" s="3">
        <f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>0</v>
      </c>
      <c r="C506" s="3">
        <f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>0</v>
      </c>
      <c r="D506" s="3">
        <f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>0</v>
      </c>
      <c r="E506" s="3">
        <f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>0</v>
      </c>
      <c r="F506" s="3">
        <f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>0</v>
      </c>
      <c r="J506">
        <v>0</v>
      </c>
      <c r="K506">
        <v>0</v>
      </c>
      <c r="L506">
        <v>0</v>
      </c>
      <c r="M506">
        <f>IF(N506,TRUE,AND(Q506:U506))</f>
        <v>0</v>
      </c>
      <c r="N506">
        <f>COUNTBLANK(Metadata!B506:F506)=COLUMNS(Metadata!B506:F506)</f>
        <v>0</v>
      </c>
      <c r="O506">
        <v>0</v>
      </c>
      <c r="Q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>
        <f>AND(IF(Metadata!C506="",FALSE,TRUE),exact(Metadata!C506,"human-skin"))</f>
        <v>0</v>
      </c>
      <c r="S506">
        <f>OR(AND(IF(Metadata!D506="",FALSE,TRUE),OR(exact(Metadata!D506,"missing: not collected"),exact(Metadata!D506,"missing: not provided"))),AND(IF(Metadata!D506="",FALSE,TRUE),OR(exact(Metadata!D506,"UBERON:zone of skin"),exact(Metadata!D506,"UBERON:skin of hand"),exact(Metadata!D506,"UBERON:skin of forehead"))))</f>
        <v>0</v>
      </c>
      <c r="T506">
        <f>AND(IF(Metadata!E506="",FALSE,TRUE),exact(Metadata!E506,"human skin metagenome"))</f>
        <v>0</v>
      </c>
      <c r="U506">
        <f>AND(IF(Metadata!F506="",FALSE,TRUE),exact(Metadata!F506,"539655"))</f>
        <v>0</v>
      </c>
    </row>
    <row r="507" spans="1:21">
      <c r="A507" s="4">
        <f>IF(B507=" "," ",HYPERLINK(CONCATENATE("#metadata!",ADDRESS(INDEX($L$2:$L$1001,MATCH(ROWS($J$2:J507),$J$2:$J$1001,0),0),1)),INDEX($O$2:$O$1001,MATCH(ROWS($J$2:J507),$J$2:$J$1001,0),0)))</f>
        <v>0</v>
      </c>
      <c r="B507" s="3">
        <f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>0</v>
      </c>
      <c r="C507" s="3">
        <f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>0</v>
      </c>
      <c r="D507" s="3">
        <f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>0</v>
      </c>
      <c r="E507" s="3">
        <f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>0</v>
      </c>
      <c r="F507" s="3">
        <f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>0</v>
      </c>
      <c r="J507">
        <v>0</v>
      </c>
      <c r="K507">
        <v>0</v>
      </c>
      <c r="L507">
        <v>0</v>
      </c>
      <c r="M507">
        <f>IF(N507,TRUE,AND(Q507:U507))</f>
        <v>0</v>
      </c>
      <c r="N507">
        <f>COUNTBLANK(Metadata!B507:F507)=COLUMNS(Metadata!B507:F507)</f>
        <v>0</v>
      </c>
      <c r="O507">
        <v>0</v>
      </c>
      <c r="Q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>
        <f>AND(IF(Metadata!C507="",FALSE,TRUE),exact(Metadata!C507,"human-skin"))</f>
        <v>0</v>
      </c>
      <c r="S507">
        <f>OR(AND(IF(Metadata!D507="",FALSE,TRUE),OR(exact(Metadata!D507,"missing: not collected"),exact(Metadata!D507,"missing: not provided"))),AND(IF(Metadata!D507="",FALSE,TRUE),OR(exact(Metadata!D507,"UBERON:zone of skin"),exact(Metadata!D507,"UBERON:skin of hand"),exact(Metadata!D507,"UBERON:skin of forehead"))))</f>
        <v>0</v>
      </c>
      <c r="T507">
        <f>AND(IF(Metadata!E507="",FALSE,TRUE),exact(Metadata!E507,"human skin metagenome"))</f>
        <v>0</v>
      </c>
      <c r="U507">
        <f>AND(IF(Metadata!F507="",FALSE,TRUE),exact(Metadata!F507,"539655"))</f>
        <v>0</v>
      </c>
    </row>
    <row r="508" spans="1:21">
      <c r="A508" s="4">
        <f>IF(B508=" "," ",HYPERLINK(CONCATENATE("#metadata!",ADDRESS(INDEX($L$2:$L$1001,MATCH(ROWS($J$2:J508),$J$2:$J$1001,0),0),1)),INDEX($O$2:$O$1001,MATCH(ROWS($J$2:J508),$J$2:$J$1001,0),0)))</f>
        <v>0</v>
      </c>
      <c r="B508" s="3">
        <f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>0</v>
      </c>
      <c r="C508" s="3">
        <f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>0</v>
      </c>
      <c r="D508" s="3">
        <f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>0</v>
      </c>
      <c r="E508" s="3">
        <f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>0</v>
      </c>
      <c r="F508" s="3">
        <f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>0</v>
      </c>
      <c r="J508">
        <v>0</v>
      </c>
      <c r="K508">
        <v>0</v>
      </c>
      <c r="L508">
        <v>0</v>
      </c>
      <c r="M508">
        <f>IF(N508,TRUE,AND(Q508:U508))</f>
        <v>0</v>
      </c>
      <c r="N508">
        <f>COUNTBLANK(Metadata!B508:F508)=COLUMNS(Metadata!B508:F508)</f>
        <v>0</v>
      </c>
      <c r="O508">
        <v>0</v>
      </c>
      <c r="Q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>
        <f>AND(IF(Metadata!C508="",FALSE,TRUE),exact(Metadata!C508,"human-skin"))</f>
        <v>0</v>
      </c>
      <c r="S508">
        <f>OR(AND(IF(Metadata!D508="",FALSE,TRUE),OR(exact(Metadata!D508,"missing: not collected"),exact(Metadata!D508,"missing: not provided"))),AND(IF(Metadata!D508="",FALSE,TRUE),OR(exact(Metadata!D508,"UBERON:zone of skin"),exact(Metadata!D508,"UBERON:skin of hand"),exact(Metadata!D508,"UBERON:skin of forehead"))))</f>
        <v>0</v>
      </c>
      <c r="T508">
        <f>AND(IF(Metadata!E508="",FALSE,TRUE),exact(Metadata!E508,"human skin metagenome"))</f>
        <v>0</v>
      </c>
      <c r="U508">
        <f>AND(IF(Metadata!F508="",FALSE,TRUE),exact(Metadata!F508,"539655"))</f>
        <v>0</v>
      </c>
    </row>
    <row r="509" spans="1:21">
      <c r="A509" s="4">
        <f>IF(B509=" "," ",HYPERLINK(CONCATENATE("#metadata!",ADDRESS(INDEX($L$2:$L$1001,MATCH(ROWS($J$2:J509),$J$2:$J$1001,0),0),1)),INDEX($O$2:$O$1001,MATCH(ROWS($J$2:J509),$J$2:$J$1001,0),0)))</f>
        <v>0</v>
      </c>
      <c r="B509" s="3">
        <f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>0</v>
      </c>
      <c r="C509" s="3">
        <f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>0</v>
      </c>
      <c r="D509" s="3">
        <f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>0</v>
      </c>
      <c r="E509" s="3">
        <f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>0</v>
      </c>
      <c r="F509" s="3">
        <f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>0</v>
      </c>
      <c r="J509">
        <v>0</v>
      </c>
      <c r="K509">
        <v>0</v>
      </c>
      <c r="L509">
        <v>0</v>
      </c>
      <c r="M509">
        <f>IF(N509,TRUE,AND(Q509:U509))</f>
        <v>0</v>
      </c>
      <c r="N509">
        <f>COUNTBLANK(Metadata!B509:F509)=COLUMNS(Metadata!B509:F509)</f>
        <v>0</v>
      </c>
      <c r="O509">
        <v>0</v>
      </c>
      <c r="Q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>
        <f>AND(IF(Metadata!C509="",FALSE,TRUE),exact(Metadata!C509,"human-skin"))</f>
        <v>0</v>
      </c>
      <c r="S509">
        <f>OR(AND(IF(Metadata!D509="",FALSE,TRUE),OR(exact(Metadata!D509,"missing: not collected"),exact(Metadata!D509,"missing: not provided"))),AND(IF(Metadata!D509="",FALSE,TRUE),OR(exact(Metadata!D509,"UBERON:zone of skin"),exact(Metadata!D509,"UBERON:skin of hand"),exact(Metadata!D509,"UBERON:skin of forehead"))))</f>
        <v>0</v>
      </c>
      <c r="T509">
        <f>AND(IF(Metadata!E509="",FALSE,TRUE),exact(Metadata!E509,"human skin metagenome"))</f>
        <v>0</v>
      </c>
      <c r="U509">
        <f>AND(IF(Metadata!F509="",FALSE,TRUE),exact(Metadata!F509,"539655"))</f>
        <v>0</v>
      </c>
    </row>
    <row r="510" spans="1:21">
      <c r="A510" s="4">
        <f>IF(B510=" "," ",HYPERLINK(CONCATENATE("#metadata!",ADDRESS(INDEX($L$2:$L$1001,MATCH(ROWS($J$2:J510),$J$2:$J$1001,0),0),1)),INDEX($O$2:$O$1001,MATCH(ROWS($J$2:J510),$J$2:$J$1001,0),0)))</f>
        <v>0</v>
      </c>
      <c r="B510" s="3">
        <f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>0</v>
      </c>
      <c r="C510" s="3">
        <f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>0</v>
      </c>
      <c r="D510" s="3">
        <f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>0</v>
      </c>
      <c r="E510" s="3">
        <f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>0</v>
      </c>
      <c r="F510" s="3">
        <f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>0</v>
      </c>
      <c r="J510">
        <v>0</v>
      </c>
      <c r="K510">
        <v>0</v>
      </c>
      <c r="L510">
        <v>0</v>
      </c>
      <c r="M510">
        <f>IF(N510,TRUE,AND(Q510:U510))</f>
        <v>0</v>
      </c>
      <c r="N510">
        <f>COUNTBLANK(Metadata!B510:F510)=COLUMNS(Metadata!B510:F510)</f>
        <v>0</v>
      </c>
      <c r="O510">
        <v>0</v>
      </c>
      <c r="Q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>
        <f>AND(IF(Metadata!C510="",FALSE,TRUE),exact(Metadata!C510,"human-skin"))</f>
        <v>0</v>
      </c>
      <c r="S510">
        <f>OR(AND(IF(Metadata!D510="",FALSE,TRUE),OR(exact(Metadata!D510,"missing: not collected"),exact(Metadata!D510,"missing: not provided"))),AND(IF(Metadata!D510="",FALSE,TRUE),OR(exact(Metadata!D510,"UBERON:zone of skin"),exact(Metadata!D510,"UBERON:skin of hand"),exact(Metadata!D510,"UBERON:skin of forehead"))))</f>
        <v>0</v>
      </c>
      <c r="T510">
        <f>AND(IF(Metadata!E510="",FALSE,TRUE),exact(Metadata!E510,"human skin metagenome"))</f>
        <v>0</v>
      </c>
      <c r="U510">
        <f>AND(IF(Metadata!F510="",FALSE,TRUE),exact(Metadata!F510,"539655"))</f>
        <v>0</v>
      </c>
    </row>
    <row r="511" spans="1:21">
      <c r="A511" s="4">
        <f>IF(B511=" "," ",HYPERLINK(CONCATENATE("#metadata!",ADDRESS(INDEX($L$2:$L$1001,MATCH(ROWS($J$2:J511),$J$2:$J$1001,0),0),1)),INDEX($O$2:$O$1001,MATCH(ROWS($J$2:J511),$J$2:$J$1001,0),0)))</f>
        <v>0</v>
      </c>
      <c r="B511" s="3">
        <f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>0</v>
      </c>
      <c r="C511" s="3">
        <f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>0</v>
      </c>
      <c r="D511" s="3">
        <f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>0</v>
      </c>
      <c r="E511" s="3">
        <f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>0</v>
      </c>
      <c r="F511" s="3">
        <f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>0</v>
      </c>
      <c r="J511">
        <v>0</v>
      </c>
      <c r="K511">
        <v>0</v>
      </c>
      <c r="L511">
        <v>0</v>
      </c>
      <c r="M511">
        <f>IF(N511,TRUE,AND(Q511:U511))</f>
        <v>0</v>
      </c>
      <c r="N511">
        <f>COUNTBLANK(Metadata!B511:F511)=COLUMNS(Metadata!B511:F511)</f>
        <v>0</v>
      </c>
      <c r="O511">
        <v>0</v>
      </c>
      <c r="Q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>
        <f>AND(IF(Metadata!C511="",FALSE,TRUE),exact(Metadata!C511,"human-skin"))</f>
        <v>0</v>
      </c>
      <c r="S511">
        <f>OR(AND(IF(Metadata!D511="",FALSE,TRUE),OR(exact(Metadata!D511,"missing: not collected"),exact(Metadata!D511,"missing: not provided"))),AND(IF(Metadata!D511="",FALSE,TRUE),OR(exact(Metadata!D511,"UBERON:zone of skin"),exact(Metadata!D511,"UBERON:skin of hand"),exact(Metadata!D511,"UBERON:skin of forehead"))))</f>
        <v>0</v>
      </c>
      <c r="T511">
        <f>AND(IF(Metadata!E511="",FALSE,TRUE),exact(Metadata!E511,"human skin metagenome"))</f>
        <v>0</v>
      </c>
      <c r="U511">
        <f>AND(IF(Metadata!F511="",FALSE,TRUE),exact(Metadata!F511,"539655"))</f>
        <v>0</v>
      </c>
    </row>
    <row r="512" spans="1:21">
      <c r="A512" s="4">
        <f>IF(B512=" "," ",HYPERLINK(CONCATENATE("#metadata!",ADDRESS(INDEX($L$2:$L$1001,MATCH(ROWS($J$2:J512),$J$2:$J$1001,0),0),1)),INDEX($O$2:$O$1001,MATCH(ROWS($J$2:J512),$J$2:$J$1001,0),0)))</f>
        <v>0</v>
      </c>
      <c r="B512" s="3">
        <f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>0</v>
      </c>
      <c r="C512" s="3">
        <f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>0</v>
      </c>
      <c r="D512" s="3">
        <f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>0</v>
      </c>
      <c r="E512" s="3">
        <f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>0</v>
      </c>
      <c r="F512" s="3">
        <f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>0</v>
      </c>
      <c r="J512">
        <v>0</v>
      </c>
      <c r="K512">
        <v>0</v>
      </c>
      <c r="L512">
        <v>0</v>
      </c>
      <c r="M512">
        <f>IF(N512,TRUE,AND(Q512:U512))</f>
        <v>0</v>
      </c>
      <c r="N512">
        <f>COUNTBLANK(Metadata!B512:F512)=COLUMNS(Metadata!B512:F512)</f>
        <v>0</v>
      </c>
      <c r="O512">
        <v>0</v>
      </c>
      <c r="Q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>
        <f>AND(IF(Metadata!C512="",FALSE,TRUE),exact(Metadata!C512,"human-skin"))</f>
        <v>0</v>
      </c>
      <c r="S512">
        <f>OR(AND(IF(Metadata!D512="",FALSE,TRUE),OR(exact(Metadata!D512,"missing: not collected"),exact(Metadata!D512,"missing: not provided"))),AND(IF(Metadata!D512="",FALSE,TRUE),OR(exact(Metadata!D512,"UBERON:zone of skin"),exact(Metadata!D512,"UBERON:skin of hand"),exact(Metadata!D512,"UBERON:skin of forehead"))))</f>
        <v>0</v>
      </c>
      <c r="T512">
        <f>AND(IF(Metadata!E512="",FALSE,TRUE),exact(Metadata!E512,"human skin metagenome"))</f>
        <v>0</v>
      </c>
      <c r="U512">
        <f>AND(IF(Metadata!F512="",FALSE,TRUE),exact(Metadata!F512,"539655"))</f>
        <v>0</v>
      </c>
    </row>
    <row r="513" spans="1:21">
      <c r="A513" s="4">
        <f>IF(B513=" "," ",HYPERLINK(CONCATENATE("#metadata!",ADDRESS(INDEX($L$2:$L$1001,MATCH(ROWS($J$2:J513),$J$2:$J$1001,0),0),1)),INDEX($O$2:$O$1001,MATCH(ROWS($J$2:J513),$J$2:$J$1001,0),0)))</f>
        <v>0</v>
      </c>
      <c r="B513" s="3">
        <f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>0</v>
      </c>
      <c r="C513" s="3">
        <f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>0</v>
      </c>
      <c r="D513" s="3">
        <f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>0</v>
      </c>
      <c r="E513" s="3">
        <f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>0</v>
      </c>
      <c r="F513" s="3">
        <f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>0</v>
      </c>
      <c r="J513">
        <v>0</v>
      </c>
      <c r="K513">
        <v>0</v>
      </c>
      <c r="L513">
        <v>0</v>
      </c>
      <c r="M513">
        <f>IF(N513,TRUE,AND(Q513:U513))</f>
        <v>0</v>
      </c>
      <c r="N513">
        <f>COUNTBLANK(Metadata!B513:F513)=COLUMNS(Metadata!B513:F513)</f>
        <v>0</v>
      </c>
      <c r="O513">
        <v>0</v>
      </c>
      <c r="Q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>
        <f>AND(IF(Metadata!C513="",FALSE,TRUE),exact(Metadata!C513,"human-skin"))</f>
        <v>0</v>
      </c>
      <c r="S513">
        <f>OR(AND(IF(Metadata!D513="",FALSE,TRUE),OR(exact(Metadata!D513,"missing: not collected"),exact(Metadata!D513,"missing: not provided"))),AND(IF(Metadata!D513="",FALSE,TRUE),OR(exact(Metadata!D513,"UBERON:zone of skin"),exact(Metadata!D513,"UBERON:skin of hand"),exact(Metadata!D513,"UBERON:skin of forehead"))))</f>
        <v>0</v>
      </c>
      <c r="T513">
        <f>AND(IF(Metadata!E513="",FALSE,TRUE),exact(Metadata!E513,"human skin metagenome"))</f>
        <v>0</v>
      </c>
      <c r="U513">
        <f>AND(IF(Metadata!F513="",FALSE,TRUE),exact(Metadata!F513,"539655"))</f>
        <v>0</v>
      </c>
    </row>
    <row r="514" spans="1:21">
      <c r="A514" s="4">
        <f>IF(B514=" "," ",HYPERLINK(CONCATENATE("#metadata!",ADDRESS(INDEX($L$2:$L$1001,MATCH(ROWS($J$2:J514),$J$2:$J$1001,0),0),1)),INDEX($O$2:$O$1001,MATCH(ROWS($J$2:J514),$J$2:$J$1001,0),0)))</f>
        <v>0</v>
      </c>
      <c r="B514" s="3">
        <f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>0</v>
      </c>
      <c r="C514" s="3">
        <f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>0</v>
      </c>
      <c r="D514" s="3">
        <f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>0</v>
      </c>
      <c r="E514" s="3">
        <f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>0</v>
      </c>
      <c r="F514" s="3">
        <f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>0</v>
      </c>
      <c r="J514">
        <v>0</v>
      </c>
      <c r="K514">
        <v>0</v>
      </c>
      <c r="L514">
        <v>0</v>
      </c>
      <c r="M514">
        <f>IF(N514,TRUE,AND(Q514:U514))</f>
        <v>0</v>
      </c>
      <c r="N514">
        <f>COUNTBLANK(Metadata!B514:F514)=COLUMNS(Metadata!B514:F514)</f>
        <v>0</v>
      </c>
      <c r="O514">
        <v>0</v>
      </c>
      <c r="Q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>
        <f>AND(IF(Metadata!C514="",FALSE,TRUE),exact(Metadata!C514,"human-skin"))</f>
        <v>0</v>
      </c>
      <c r="S514">
        <f>OR(AND(IF(Metadata!D514="",FALSE,TRUE),OR(exact(Metadata!D514,"missing: not collected"),exact(Metadata!D514,"missing: not provided"))),AND(IF(Metadata!D514="",FALSE,TRUE),OR(exact(Metadata!D514,"UBERON:zone of skin"),exact(Metadata!D514,"UBERON:skin of hand"),exact(Metadata!D514,"UBERON:skin of forehead"))))</f>
        <v>0</v>
      </c>
      <c r="T514">
        <f>AND(IF(Metadata!E514="",FALSE,TRUE),exact(Metadata!E514,"human skin metagenome"))</f>
        <v>0</v>
      </c>
      <c r="U514">
        <f>AND(IF(Metadata!F514="",FALSE,TRUE),exact(Metadata!F514,"539655"))</f>
        <v>0</v>
      </c>
    </row>
    <row r="515" spans="1:21">
      <c r="A515" s="4">
        <f>IF(B515=" "," ",HYPERLINK(CONCATENATE("#metadata!",ADDRESS(INDEX($L$2:$L$1001,MATCH(ROWS($J$2:J515),$J$2:$J$1001,0),0),1)),INDEX($O$2:$O$1001,MATCH(ROWS($J$2:J515),$J$2:$J$1001,0),0)))</f>
        <v>0</v>
      </c>
      <c r="B515" s="3">
        <f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>0</v>
      </c>
      <c r="C515" s="3">
        <f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>0</v>
      </c>
      <c r="D515" s="3">
        <f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>0</v>
      </c>
      <c r="E515" s="3">
        <f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>0</v>
      </c>
      <c r="F515" s="3">
        <f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>0</v>
      </c>
      <c r="J515">
        <v>0</v>
      </c>
      <c r="K515">
        <v>0</v>
      </c>
      <c r="L515">
        <v>0</v>
      </c>
      <c r="M515">
        <f>IF(N515,TRUE,AND(Q515:U515))</f>
        <v>0</v>
      </c>
      <c r="N515">
        <f>COUNTBLANK(Metadata!B515:F515)=COLUMNS(Metadata!B515:F515)</f>
        <v>0</v>
      </c>
      <c r="O515">
        <v>0</v>
      </c>
      <c r="Q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>
        <f>AND(IF(Metadata!C515="",FALSE,TRUE),exact(Metadata!C515,"human-skin"))</f>
        <v>0</v>
      </c>
      <c r="S515">
        <f>OR(AND(IF(Metadata!D515="",FALSE,TRUE),OR(exact(Metadata!D515,"missing: not collected"),exact(Metadata!D515,"missing: not provided"))),AND(IF(Metadata!D515="",FALSE,TRUE),OR(exact(Metadata!D515,"UBERON:zone of skin"),exact(Metadata!D515,"UBERON:skin of hand"),exact(Metadata!D515,"UBERON:skin of forehead"))))</f>
        <v>0</v>
      </c>
      <c r="T515">
        <f>AND(IF(Metadata!E515="",FALSE,TRUE),exact(Metadata!E515,"human skin metagenome"))</f>
        <v>0</v>
      </c>
      <c r="U515">
        <f>AND(IF(Metadata!F515="",FALSE,TRUE),exact(Metadata!F515,"539655"))</f>
        <v>0</v>
      </c>
    </row>
    <row r="516" spans="1:21">
      <c r="A516" s="4">
        <f>IF(B516=" "," ",HYPERLINK(CONCATENATE("#metadata!",ADDRESS(INDEX($L$2:$L$1001,MATCH(ROWS($J$2:J516),$J$2:$J$1001,0),0),1)),INDEX($O$2:$O$1001,MATCH(ROWS($J$2:J516),$J$2:$J$1001,0),0)))</f>
        <v>0</v>
      </c>
      <c r="B516" s="3">
        <f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>0</v>
      </c>
      <c r="C516" s="3">
        <f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>0</v>
      </c>
      <c r="D516" s="3">
        <f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>0</v>
      </c>
      <c r="E516" s="3">
        <f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>0</v>
      </c>
      <c r="F516" s="3">
        <f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>0</v>
      </c>
      <c r="J516">
        <v>0</v>
      </c>
      <c r="K516">
        <v>0</v>
      </c>
      <c r="L516">
        <v>0</v>
      </c>
      <c r="M516">
        <f>IF(N516,TRUE,AND(Q516:U516))</f>
        <v>0</v>
      </c>
      <c r="N516">
        <f>COUNTBLANK(Metadata!B516:F516)=COLUMNS(Metadata!B516:F516)</f>
        <v>0</v>
      </c>
      <c r="O516">
        <v>0</v>
      </c>
      <c r="Q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>
        <f>AND(IF(Metadata!C516="",FALSE,TRUE),exact(Metadata!C516,"human-skin"))</f>
        <v>0</v>
      </c>
      <c r="S516">
        <f>OR(AND(IF(Metadata!D516="",FALSE,TRUE),OR(exact(Metadata!D516,"missing: not collected"),exact(Metadata!D516,"missing: not provided"))),AND(IF(Metadata!D516="",FALSE,TRUE),OR(exact(Metadata!D516,"UBERON:zone of skin"),exact(Metadata!D516,"UBERON:skin of hand"),exact(Metadata!D516,"UBERON:skin of forehead"))))</f>
        <v>0</v>
      </c>
      <c r="T516">
        <f>AND(IF(Metadata!E516="",FALSE,TRUE),exact(Metadata!E516,"human skin metagenome"))</f>
        <v>0</v>
      </c>
      <c r="U516">
        <f>AND(IF(Metadata!F516="",FALSE,TRUE),exact(Metadata!F516,"539655"))</f>
        <v>0</v>
      </c>
    </row>
    <row r="517" spans="1:21">
      <c r="A517" s="4">
        <f>IF(B517=" "," ",HYPERLINK(CONCATENATE("#metadata!",ADDRESS(INDEX($L$2:$L$1001,MATCH(ROWS($J$2:J517),$J$2:$J$1001,0),0),1)),INDEX($O$2:$O$1001,MATCH(ROWS($J$2:J517),$J$2:$J$1001,0),0)))</f>
        <v>0</v>
      </c>
      <c r="B517" s="3">
        <f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>0</v>
      </c>
      <c r="C517" s="3">
        <f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>0</v>
      </c>
      <c r="D517" s="3">
        <f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>0</v>
      </c>
      <c r="E517" s="3">
        <f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>0</v>
      </c>
      <c r="F517" s="3">
        <f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>0</v>
      </c>
      <c r="J517">
        <v>0</v>
      </c>
      <c r="K517">
        <v>0</v>
      </c>
      <c r="L517">
        <v>0</v>
      </c>
      <c r="M517">
        <f>IF(N517,TRUE,AND(Q517:U517))</f>
        <v>0</v>
      </c>
      <c r="N517">
        <f>COUNTBLANK(Metadata!B517:F517)=COLUMNS(Metadata!B517:F517)</f>
        <v>0</v>
      </c>
      <c r="O517">
        <v>0</v>
      </c>
      <c r="Q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>
        <f>AND(IF(Metadata!C517="",FALSE,TRUE),exact(Metadata!C517,"human-skin"))</f>
        <v>0</v>
      </c>
      <c r="S517">
        <f>OR(AND(IF(Metadata!D517="",FALSE,TRUE),OR(exact(Metadata!D517,"missing: not collected"),exact(Metadata!D517,"missing: not provided"))),AND(IF(Metadata!D517="",FALSE,TRUE),OR(exact(Metadata!D517,"UBERON:zone of skin"),exact(Metadata!D517,"UBERON:skin of hand"),exact(Metadata!D517,"UBERON:skin of forehead"))))</f>
        <v>0</v>
      </c>
      <c r="T517">
        <f>AND(IF(Metadata!E517="",FALSE,TRUE),exact(Metadata!E517,"human skin metagenome"))</f>
        <v>0</v>
      </c>
      <c r="U517">
        <f>AND(IF(Metadata!F517="",FALSE,TRUE),exact(Metadata!F517,"539655"))</f>
        <v>0</v>
      </c>
    </row>
    <row r="518" spans="1:21">
      <c r="A518" s="4">
        <f>IF(B518=" "," ",HYPERLINK(CONCATENATE("#metadata!",ADDRESS(INDEX($L$2:$L$1001,MATCH(ROWS($J$2:J518),$J$2:$J$1001,0),0),1)),INDEX($O$2:$O$1001,MATCH(ROWS($J$2:J518),$J$2:$J$1001,0),0)))</f>
        <v>0</v>
      </c>
      <c r="B518" s="3">
        <f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>0</v>
      </c>
      <c r="C518" s="3">
        <f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>0</v>
      </c>
      <c r="D518" s="3">
        <f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>0</v>
      </c>
      <c r="E518" s="3">
        <f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>0</v>
      </c>
      <c r="F518" s="3">
        <f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>0</v>
      </c>
      <c r="J518">
        <v>0</v>
      </c>
      <c r="K518">
        <v>0</v>
      </c>
      <c r="L518">
        <v>0</v>
      </c>
      <c r="M518">
        <f>IF(N518,TRUE,AND(Q518:U518))</f>
        <v>0</v>
      </c>
      <c r="N518">
        <f>COUNTBLANK(Metadata!B518:F518)=COLUMNS(Metadata!B518:F518)</f>
        <v>0</v>
      </c>
      <c r="O518">
        <v>0</v>
      </c>
      <c r="Q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>
        <f>AND(IF(Metadata!C518="",FALSE,TRUE),exact(Metadata!C518,"human-skin"))</f>
        <v>0</v>
      </c>
      <c r="S518">
        <f>OR(AND(IF(Metadata!D518="",FALSE,TRUE),OR(exact(Metadata!D518,"missing: not collected"),exact(Metadata!D518,"missing: not provided"))),AND(IF(Metadata!D518="",FALSE,TRUE),OR(exact(Metadata!D518,"UBERON:zone of skin"),exact(Metadata!D518,"UBERON:skin of hand"),exact(Metadata!D518,"UBERON:skin of forehead"))))</f>
        <v>0</v>
      </c>
      <c r="T518">
        <f>AND(IF(Metadata!E518="",FALSE,TRUE),exact(Metadata!E518,"human skin metagenome"))</f>
        <v>0</v>
      </c>
      <c r="U518">
        <f>AND(IF(Metadata!F518="",FALSE,TRUE),exact(Metadata!F518,"539655"))</f>
        <v>0</v>
      </c>
    </row>
    <row r="519" spans="1:21">
      <c r="A519" s="4">
        <f>IF(B519=" "," ",HYPERLINK(CONCATENATE("#metadata!",ADDRESS(INDEX($L$2:$L$1001,MATCH(ROWS($J$2:J519),$J$2:$J$1001,0),0),1)),INDEX($O$2:$O$1001,MATCH(ROWS($J$2:J519),$J$2:$J$1001,0),0)))</f>
        <v>0</v>
      </c>
      <c r="B519" s="3">
        <f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>0</v>
      </c>
      <c r="C519" s="3">
        <f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>0</v>
      </c>
      <c r="D519" s="3">
        <f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>0</v>
      </c>
      <c r="E519" s="3">
        <f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>0</v>
      </c>
      <c r="F519" s="3">
        <f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>0</v>
      </c>
      <c r="J519">
        <v>0</v>
      </c>
      <c r="K519">
        <v>0</v>
      </c>
      <c r="L519">
        <v>0</v>
      </c>
      <c r="M519">
        <f>IF(N519,TRUE,AND(Q519:U519))</f>
        <v>0</v>
      </c>
      <c r="N519">
        <f>COUNTBLANK(Metadata!B519:F519)=COLUMNS(Metadata!B519:F519)</f>
        <v>0</v>
      </c>
      <c r="O519">
        <v>0</v>
      </c>
      <c r="Q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>
        <f>AND(IF(Metadata!C519="",FALSE,TRUE),exact(Metadata!C519,"human-skin"))</f>
        <v>0</v>
      </c>
      <c r="S519">
        <f>OR(AND(IF(Metadata!D519="",FALSE,TRUE),OR(exact(Metadata!D519,"missing: not collected"),exact(Metadata!D519,"missing: not provided"))),AND(IF(Metadata!D519="",FALSE,TRUE),OR(exact(Metadata!D519,"UBERON:zone of skin"),exact(Metadata!D519,"UBERON:skin of hand"),exact(Metadata!D519,"UBERON:skin of forehead"))))</f>
        <v>0</v>
      </c>
      <c r="T519">
        <f>AND(IF(Metadata!E519="",FALSE,TRUE),exact(Metadata!E519,"human skin metagenome"))</f>
        <v>0</v>
      </c>
      <c r="U519">
        <f>AND(IF(Metadata!F519="",FALSE,TRUE),exact(Metadata!F519,"539655"))</f>
        <v>0</v>
      </c>
    </row>
    <row r="520" spans="1:21">
      <c r="A520" s="4">
        <f>IF(B520=" "," ",HYPERLINK(CONCATENATE("#metadata!",ADDRESS(INDEX($L$2:$L$1001,MATCH(ROWS($J$2:J520),$J$2:$J$1001,0),0),1)),INDEX($O$2:$O$1001,MATCH(ROWS($J$2:J520),$J$2:$J$1001,0),0)))</f>
        <v>0</v>
      </c>
      <c r="B520" s="3">
        <f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>0</v>
      </c>
      <c r="C520" s="3">
        <f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>0</v>
      </c>
      <c r="D520" s="3">
        <f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>0</v>
      </c>
      <c r="E520" s="3">
        <f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>0</v>
      </c>
      <c r="F520" s="3">
        <f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>0</v>
      </c>
      <c r="J520">
        <v>0</v>
      </c>
      <c r="K520">
        <v>0</v>
      </c>
      <c r="L520">
        <v>0</v>
      </c>
      <c r="M520">
        <f>IF(N520,TRUE,AND(Q520:U520))</f>
        <v>0</v>
      </c>
      <c r="N520">
        <f>COUNTBLANK(Metadata!B520:F520)=COLUMNS(Metadata!B520:F520)</f>
        <v>0</v>
      </c>
      <c r="O520">
        <v>0</v>
      </c>
      <c r="Q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>
        <f>AND(IF(Metadata!C520="",FALSE,TRUE),exact(Metadata!C520,"human-skin"))</f>
        <v>0</v>
      </c>
      <c r="S520">
        <f>OR(AND(IF(Metadata!D520="",FALSE,TRUE),OR(exact(Metadata!D520,"missing: not collected"),exact(Metadata!D520,"missing: not provided"))),AND(IF(Metadata!D520="",FALSE,TRUE),OR(exact(Metadata!D520,"UBERON:zone of skin"),exact(Metadata!D520,"UBERON:skin of hand"),exact(Metadata!D520,"UBERON:skin of forehead"))))</f>
        <v>0</v>
      </c>
      <c r="T520">
        <f>AND(IF(Metadata!E520="",FALSE,TRUE),exact(Metadata!E520,"human skin metagenome"))</f>
        <v>0</v>
      </c>
      <c r="U520">
        <f>AND(IF(Metadata!F520="",FALSE,TRUE),exact(Metadata!F520,"539655"))</f>
        <v>0</v>
      </c>
    </row>
    <row r="521" spans="1:21">
      <c r="A521" s="4">
        <f>IF(B521=" "," ",HYPERLINK(CONCATENATE("#metadata!",ADDRESS(INDEX($L$2:$L$1001,MATCH(ROWS($J$2:J521),$J$2:$J$1001,0),0),1)),INDEX($O$2:$O$1001,MATCH(ROWS($J$2:J521),$J$2:$J$1001,0),0)))</f>
        <v>0</v>
      </c>
      <c r="B521" s="3">
        <f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>0</v>
      </c>
      <c r="C521" s="3">
        <f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>0</v>
      </c>
      <c r="D521" s="3">
        <f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>0</v>
      </c>
      <c r="E521" s="3">
        <f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>0</v>
      </c>
      <c r="F521" s="3">
        <f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>0</v>
      </c>
      <c r="J521">
        <v>0</v>
      </c>
      <c r="K521">
        <v>0</v>
      </c>
      <c r="L521">
        <v>0</v>
      </c>
      <c r="M521">
        <f>IF(N521,TRUE,AND(Q521:U521))</f>
        <v>0</v>
      </c>
      <c r="N521">
        <f>COUNTBLANK(Metadata!B521:F521)=COLUMNS(Metadata!B521:F521)</f>
        <v>0</v>
      </c>
      <c r="O521">
        <v>0</v>
      </c>
      <c r="Q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>
        <f>AND(IF(Metadata!C521="",FALSE,TRUE),exact(Metadata!C521,"human-skin"))</f>
        <v>0</v>
      </c>
      <c r="S521">
        <f>OR(AND(IF(Metadata!D521="",FALSE,TRUE),OR(exact(Metadata!D521,"missing: not collected"),exact(Metadata!D521,"missing: not provided"))),AND(IF(Metadata!D521="",FALSE,TRUE),OR(exact(Metadata!D521,"UBERON:zone of skin"),exact(Metadata!D521,"UBERON:skin of hand"),exact(Metadata!D521,"UBERON:skin of forehead"))))</f>
        <v>0</v>
      </c>
      <c r="T521">
        <f>AND(IF(Metadata!E521="",FALSE,TRUE),exact(Metadata!E521,"human skin metagenome"))</f>
        <v>0</v>
      </c>
      <c r="U521">
        <f>AND(IF(Metadata!F521="",FALSE,TRUE),exact(Metadata!F521,"539655"))</f>
        <v>0</v>
      </c>
    </row>
    <row r="522" spans="1:21">
      <c r="A522" s="4">
        <f>IF(B522=" "," ",HYPERLINK(CONCATENATE("#metadata!",ADDRESS(INDEX($L$2:$L$1001,MATCH(ROWS($J$2:J522),$J$2:$J$1001,0),0),1)),INDEX($O$2:$O$1001,MATCH(ROWS($J$2:J522),$J$2:$J$1001,0),0)))</f>
        <v>0</v>
      </c>
      <c r="B522" s="3">
        <f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>0</v>
      </c>
      <c r="C522" s="3">
        <f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>0</v>
      </c>
      <c r="D522" s="3">
        <f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>0</v>
      </c>
      <c r="E522" s="3">
        <f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>0</v>
      </c>
      <c r="F522" s="3">
        <f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>0</v>
      </c>
      <c r="J522">
        <v>0</v>
      </c>
      <c r="K522">
        <v>0</v>
      </c>
      <c r="L522">
        <v>0</v>
      </c>
      <c r="M522">
        <f>IF(N522,TRUE,AND(Q522:U522))</f>
        <v>0</v>
      </c>
      <c r="N522">
        <f>COUNTBLANK(Metadata!B522:F522)=COLUMNS(Metadata!B522:F522)</f>
        <v>0</v>
      </c>
      <c r="O522">
        <v>0</v>
      </c>
      <c r="Q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>
        <f>AND(IF(Metadata!C522="",FALSE,TRUE),exact(Metadata!C522,"human-skin"))</f>
        <v>0</v>
      </c>
      <c r="S522">
        <f>OR(AND(IF(Metadata!D522="",FALSE,TRUE),OR(exact(Metadata!D522,"missing: not collected"),exact(Metadata!D522,"missing: not provided"))),AND(IF(Metadata!D522="",FALSE,TRUE),OR(exact(Metadata!D522,"UBERON:zone of skin"),exact(Metadata!D522,"UBERON:skin of hand"),exact(Metadata!D522,"UBERON:skin of forehead"))))</f>
        <v>0</v>
      </c>
      <c r="T522">
        <f>AND(IF(Metadata!E522="",FALSE,TRUE),exact(Metadata!E522,"human skin metagenome"))</f>
        <v>0</v>
      </c>
      <c r="U522">
        <f>AND(IF(Metadata!F522="",FALSE,TRUE),exact(Metadata!F522,"539655"))</f>
        <v>0</v>
      </c>
    </row>
    <row r="523" spans="1:21">
      <c r="A523" s="4">
        <f>IF(B523=" "," ",HYPERLINK(CONCATENATE("#metadata!",ADDRESS(INDEX($L$2:$L$1001,MATCH(ROWS($J$2:J523),$J$2:$J$1001,0),0),1)),INDEX($O$2:$O$1001,MATCH(ROWS($J$2:J523),$J$2:$J$1001,0),0)))</f>
        <v>0</v>
      </c>
      <c r="B523" s="3">
        <f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>0</v>
      </c>
      <c r="C523" s="3">
        <f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>0</v>
      </c>
      <c r="D523" s="3">
        <f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>0</v>
      </c>
      <c r="E523" s="3">
        <f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>0</v>
      </c>
      <c r="F523" s="3">
        <f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>0</v>
      </c>
      <c r="J523">
        <v>0</v>
      </c>
      <c r="K523">
        <v>0</v>
      </c>
      <c r="L523">
        <v>0</v>
      </c>
      <c r="M523">
        <f>IF(N523,TRUE,AND(Q523:U523))</f>
        <v>0</v>
      </c>
      <c r="N523">
        <f>COUNTBLANK(Metadata!B523:F523)=COLUMNS(Metadata!B523:F523)</f>
        <v>0</v>
      </c>
      <c r="O523">
        <v>0</v>
      </c>
      <c r="Q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>
        <f>AND(IF(Metadata!C523="",FALSE,TRUE),exact(Metadata!C523,"human-skin"))</f>
        <v>0</v>
      </c>
      <c r="S523">
        <f>OR(AND(IF(Metadata!D523="",FALSE,TRUE),OR(exact(Metadata!D523,"missing: not collected"),exact(Metadata!D523,"missing: not provided"))),AND(IF(Metadata!D523="",FALSE,TRUE),OR(exact(Metadata!D523,"UBERON:zone of skin"),exact(Metadata!D523,"UBERON:skin of hand"),exact(Metadata!D523,"UBERON:skin of forehead"))))</f>
        <v>0</v>
      </c>
      <c r="T523">
        <f>AND(IF(Metadata!E523="",FALSE,TRUE),exact(Metadata!E523,"human skin metagenome"))</f>
        <v>0</v>
      </c>
      <c r="U523">
        <f>AND(IF(Metadata!F523="",FALSE,TRUE),exact(Metadata!F523,"539655"))</f>
        <v>0</v>
      </c>
    </row>
    <row r="524" spans="1:21">
      <c r="A524" s="4">
        <f>IF(B524=" "," ",HYPERLINK(CONCATENATE("#metadata!",ADDRESS(INDEX($L$2:$L$1001,MATCH(ROWS($J$2:J524),$J$2:$J$1001,0),0),1)),INDEX($O$2:$O$1001,MATCH(ROWS($J$2:J524),$J$2:$J$1001,0),0)))</f>
        <v>0</v>
      </c>
      <c r="B524" s="3">
        <f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>0</v>
      </c>
      <c r="C524" s="3">
        <f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>0</v>
      </c>
      <c r="D524" s="3">
        <f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>0</v>
      </c>
      <c r="E524" s="3">
        <f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>0</v>
      </c>
      <c r="F524" s="3">
        <f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>0</v>
      </c>
      <c r="J524">
        <v>0</v>
      </c>
      <c r="K524">
        <v>0</v>
      </c>
      <c r="L524">
        <v>0</v>
      </c>
      <c r="M524">
        <f>IF(N524,TRUE,AND(Q524:U524))</f>
        <v>0</v>
      </c>
      <c r="N524">
        <f>COUNTBLANK(Metadata!B524:F524)=COLUMNS(Metadata!B524:F524)</f>
        <v>0</v>
      </c>
      <c r="O524">
        <v>0</v>
      </c>
      <c r="Q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>
        <f>AND(IF(Metadata!C524="",FALSE,TRUE),exact(Metadata!C524,"human-skin"))</f>
        <v>0</v>
      </c>
      <c r="S524">
        <f>OR(AND(IF(Metadata!D524="",FALSE,TRUE),OR(exact(Metadata!D524,"missing: not collected"),exact(Metadata!D524,"missing: not provided"))),AND(IF(Metadata!D524="",FALSE,TRUE),OR(exact(Metadata!D524,"UBERON:zone of skin"),exact(Metadata!D524,"UBERON:skin of hand"),exact(Metadata!D524,"UBERON:skin of forehead"))))</f>
        <v>0</v>
      </c>
      <c r="T524">
        <f>AND(IF(Metadata!E524="",FALSE,TRUE),exact(Metadata!E524,"human skin metagenome"))</f>
        <v>0</v>
      </c>
      <c r="U524">
        <f>AND(IF(Metadata!F524="",FALSE,TRUE),exact(Metadata!F524,"539655"))</f>
        <v>0</v>
      </c>
    </row>
    <row r="525" spans="1:21">
      <c r="A525" s="4">
        <f>IF(B525=" "," ",HYPERLINK(CONCATENATE("#metadata!",ADDRESS(INDEX($L$2:$L$1001,MATCH(ROWS($J$2:J525),$J$2:$J$1001,0),0),1)),INDEX($O$2:$O$1001,MATCH(ROWS($J$2:J525),$J$2:$J$1001,0),0)))</f>
        <v>0</v>
      </c>
      <c r="B525" s="3">
        <f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>0</v>
      </c>
      <c r="C525" s="3">
        <f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>0</v>
      </c>
      <c r="D525" s="3">
        <f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>0</v>
      </c>
      <c r="E525" s="3">
        <f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>0</v>
      </c>
      <c r="F525" s="3">
        <f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>0</v>
      </c>
      <c r="J525">
        <v>0</v>
      </c>
      <c r="K525">
        <v>0</v>
      </c>
      <c r="L525">
        <v>0</v>
      </c>
      <c r="M525">
        <f>IF(N525,TRUE,AND(Q525:U525))</f>
        <v>0</v>
      </c>
      <c r="N525">
        <f>COUNTBLANK(Metadata!B525:F525)=COLUMNS(Metadata!B525:F525)</f>
        <v>0</v>
      </c>
      <c r="O525">
        <v>0</v>
      </c>
      <c r="Q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>
        <f>AND(IF(Metadata!C525="",FALSE,TRUE),exact(Metadata!C525,"human-skin"))</f>
        <v>0</v>
      </c>
      <c r="S525">
        <f>OR(AND(IF(Metadata!D525="",FALSE,TRUE),OR(exact(Metadata!D525,"missing: not collected"),exact(Metadata!D525,"missing: not provided"))),AND(IF(Metadata!D525="",FALSE,TRUE),OR(exact(Metadata!D525,"UBERON:zone of skin"),exact(Metadata!D525,"UBERON:skin of hand"),exact(Metadata!D525,"UBERON:skin of forehead"))))</f>
        <v>0</v>
      </c>
      <c r="T525">
        <f>AND(IF(Metadata!E525="",FALSE,TRUE),exact(Metadata!E525,"human skin metagenome"))</f>
        <v>0</v>
      </c>
      <c r="U525">
        <f>AND(IF(Metadata!F525="",FALSE,TRUE),exact(Metadata!F525,"539655"))</f>
        <v>0</v>
      </c>
    </row>
    <row r="526" spans="1:21">
      <c r="A526" s="4">
        <f>IF(B526=" "," ",HYPERLINK(CONCATENATE("#metadata!",ADDRESS(INDEX($L$2:$L$1001,MATCH(ROWS($J$2:J526),$J$2:$J$1001,0),0),1)),INDEX($O$2:$O$1001,MATCH(ROWS($J$2:J526),$J$2:$J$1001,0),0)))</f>
        <v>0</v>
      </c>
      <c r="B526" s="3">
        <f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>0</v>
      </c>
      <c r="C526" s="3">
        <f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>0</v>
      </c>
      <c r="D526" s="3">
        <f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>0</v>
      </c>
      <c r="E526" s="3">
        <f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>0</v>
      </c>
      <c r="F526" s="3">
        <f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>0</v>
      </c>
      <c r="J526">
        <v>0</v>
      </c>
      <c r="K526">
        <v>0</v>
      </c>
      <c r="L526">
        <v>0</v>
      </c>
      <c r="M526">
        <f>IF(N526,TRUE,AND(Q526:U526))</f>
        <v>0</v>
      </c>
      <c r="N526">
        <f>COUNTBLANK(Metadata!B526:F526)=COLUMNS(Metadata!B526:F526)</f>
        <v>0</v>
      </c>
      <c r="O526">
        <v>0</v>
      </c>
      <c r="Q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>
        <f>AND(IF(Metadata!C526="",FALSE,TRUE),exact(Metadata!C526,"human-skin"))</f>
        <v>0</v>
      </c>
      <c r="S526">
        <f>OR(AND(IF(Metadata!D526="",FALSE,TRUE),OR(exact(Metadata!D526,"missing: not collected"),exact(Metadata!D526,"missing: not provided"))),AND(IF(Metadata!D526="",FALSE,TRUE),OR(exact(Metadata!D526,"UBERON:zone of skin"),exact(Metadata!D526,"UBERON:skin of hand"),exact(Metadata!D526,"UBERON:skin of forehead"))))</f>
        <v>0</v>
      </c>
      <c r="T526">
        <f>AND(IF(Metadata!E526="",FALSE,TRUE),exact(Metadata!E526,"human skin metagenome"))</f>
        <v>0</v>
      </c>
      <c r="U526">
        <f>AND(IF(Metadata!F526="",FALSE,TRUE),exact(Metadata!F526,"539655"))</f>
        <v>0</v>
      </c>
    </row>
    <row r="527" spans="1:21">
      <c r="A527" s="4">
        <f>IF(B527=" "," ",HYPERLINK(CONCATENATE("#metadata!",ADDRESS(INDEX($L$2:$L$1001,MATCH(ROWS($J$2:J527),$J$2:$J$1001,0),0),1)),INDEX($O$2:$O$1001,MATCH(ROWS($J$2:J527),$J$2:$J$1001,0),0)))</f>
        <v>0</v>
      </c>
      <c r="B527" s="3">
        <f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>0</v>
      </c>
      <c r="C527" s="3">
        <f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>0</v>
      </c>
      <c r="D527" s="3">
        <f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>0</v>
      </c>
      <c r="E527" s="3">
        <f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>0</v>
      </c>
      <c r="F527" s="3">
        <f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>0</v>
      </c>
      <c r="J527">
        <v>0</v>
      </c>
      <c r="K527">
        <v>0</v>
      </c>
      <c r="L527">
        <v>0</v>
      </c>
      <c r="M527">
        <f>IF(N527,TRUE,AND(Q527:U527))</f>
        <v>0</v>
      </c>
      <c r="N527">
        <f>COUNTBLANK(Metadata!B527:F527)=COLUMNS(Metadata!B527:F527)</f>
        <v>0</v>
      </c>
      <c r="O527">
        <v>0</v>
      </c>
      <c r="Q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>
        <f>AND(IF(Metadata!C527="",FALSE,TRUE),exact(Metadata!C527,"human-skin"))</f>
        <v>0</v>
      </c>
      <c r="S527">
        <f>OR(AND(IF(Metadata!D527="",FALSE,TRUE),OR(exact(Metadata!D527,"missing: not collected"),exact(Metadata!D527,"missing: not provided"))),AND(IF(Metadata!D527="",FALSE,TRUE),OR(exact(Metadata!D527,"UBERON:zone of skin"),exact(Metadata!D527,"UBERON:skin of hand"),exact(Metadata!D527,"UBERON:skin of forehead"))))</f>
        <v>0</v>
      </c>
      <c r="T527">
        <f>AND(IF(Metadata!E527="",FALSE,TRUE),exact(Metadata!E527,"human skin metagenome"))</f>
        <v>0</v>
      </c>
      <c r="U527">
        <f>AND(IF(Metadata!F527="",FALSE,TRUE),exact(Metadata!F527,"539655"))</f>
        <v>0</v>
      </c>
    </row>
    <row r="528" spans="1:21">
      <c r="A528" s="4">
        <f>IF(B528=" "," ",HYPERLINK(CONCATENATE("#metadata!",ADDRESS(INDEX($L$2:$L$1001,MATCH(ROWS($J$2:J528),$J$2:$J$1001,0),0),1)),INDEX($O$2:$O$1001,MATCH(ROWS($J$2:J528),$J$2:$J$1001,0),0)))</f>
        <v>0</v>
      </c>
      <c r="B528" s="3">
        <f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>0</v>
      </c>
      <c r="C528" s="3">
        <f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>0</v>
      </c>
      <c r="D528" s="3">
        <f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>0</v>
      </c>
      <c r="E528" s="3">
        <f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>0</v>
      </c>
      <c r="F528" s="3">
        <f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>0</v>
      </c>
      <c r="J528">
        <v>0</v>
      </c>
      <c r="K528">
        <v>0</v>
      </c>
      <c r="L528">
        <v>0</v>
      </c>
      <c r="M528">
        <f>IF(N528,TRUE,AND(Q528:U528))</f>
        <v>0</v>
      </c>
      <c r="N528">
        <f>COUNTBLANK(Metadata!B528:F528)=COLUMNS(Metadata!B528:F528)</f>
        <v>0</v>
      </c>
      <c r="O528">
        <v>0</v>
      </c>
      <c r="Q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>
        <f>AND(IF(Metadata!C528="",FALSE,TRUE),exact(Metadata!C528,"human-skin"))</f>
        <v>0</v>
      </c>
      <c r="S528">
        <f>OR(AND(IF(Metadata!D528="",FALSE,TRUE),OR(exact(Metadata!D528,"missing: not collected"),exact(Metadata!D528,"missing: not provided"))),AND(IF(Metadata!D528="",FALSE,TRUE),OR(exact(Metadata!D528,"UBERON:zone of skin"),exact(Metadata!D528,"UBERON:skin of hand"),exact(Metadata!D528,"UBERON:skin of forehead"))))</f>
        <v>0</v>
      </c>
      <c r="T528">
        <f>AND(IF(Metadata!E528="",FALSE,TRUE),exact(Metadata!E528,"human skin metagenome"))</f>
        <v>0</v>
      </c>
      <c r="U528">
        <f>AND(IF(Metadata!F528="",FALSE,TRUE),exact(Metadata!F528,"539655"))</f>
        <v>0</v>
      </c>
    </row>
    <row r="529" spans="1:21">
      <c r="A529" s="4">
        <f>IF(B529=" "," ",HYPERLINK(CONCATENATE("#metadata!",ADDRESS(INDEX($L$2:$L$1001,MATCH(ROWS($J$2:J529),$J$2:$J$1001,0),0),1)),INDEX($O$2:$O$1001,MATCH(ROWS($J$2:J529),$J$2:$J$1001,0),0)))</f>
        <v>0</v>
      </c>
      <c r="B529" s="3">
        <f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>0</v>
      </c>
      <c r="C529" s="3">
        <f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>0</v>
      </c>
      <c r="D529" s="3">
        <f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>0</v>
      </c>
      <c r="E529" s="3">
        <f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>0</v>
      </c>
      <c r="F529" s="3">
        <f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>0</v>
      </c>
      <c r="J529">
        <v>0</v>
      </c>
      <c r="K529">
        <v>0</v>
      </c>
      <c r="L529">
        <v>0</v>
      </c>
      <c r="M529">
        <f>IF(N529,TRUE,AND(Q529:U529))</f>
        <v>0</v>
      </c>
      <c r="N529">
        <f>COUNTBLANK(Metadata!B529:F529)=COLUMNS(Metadata!B529:F529)</f>
        <v>0</v>
      </c>
      <c r="O529">
        <v>0</v>
      </c>
      <c r="Q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>
        <f>AND(IF(Metadata!C529="",FALSE,TRUE),exact(Metadata!C529,"human-skin"))</f>
        <v>0</v>
      </c>
      <c r="S529">
        <f>OR(AND(IF(Metadata!D529="",FALSE,TRUE),OR(exact(Metadata!D529,"missing: not collected"),exact(Metadata!D529,"missing: not provided"))),AND(IF(Metadata!D529="",FALSE,TRUE),OR(exact(Metadata!D529,"UBERON:zone of skin"),exact(Metadata!D529,"UBERON:skin of hand"),exact(Metadata!D529,"UBERON:skin of forehead"))))</f>
        <v>0</v>
      </c>
      <c r="T529">
        <f>AND(IF(Metadata!E529="",FALSE,TRUE),exact(Metadata!E529,"human skin metagenome"))</f>
        <v>0</v>
      </c>
      <c r="U529">
        <f>AND(IF(Metadata!F529="",FALSE,TRUE),exact(Metadata!F529,"539655"))</f>
        <v>0</v>
      </c>
    </row>
    <row r="530" spans="1:21">
      <c r="A530" s="4">
        <f>IF(B530=" "," ",HYPERLINK(CONCATENATE("#metadata!",ADDRESS(INDEX($L$2:$L$1001,MATCH(ROWS($J$2:J530),$J$2:$J$1001,0),0),1)),INDEX($O$2:$O$1001,MATCH(ROWS($J$2:J530),$J$2:$J$1001,0),0)))</f>
        <v>0</v>
      </c>
      <c r="B530" s="3">
        <f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>0</v>
      </c>
      <c r="C530" s="3">
        <f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>0</v>
      </c>
      <c r="D530" s="3">
        <f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>0</v>
      </c>
      <c r="E530" s="3">
        <f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>0</v>
      </c>
      <c r="F530" s="3">
        <f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>0</v>
      </c>
      <c r="J530">
        <v>0</v>
      </c>
      <c r="K530">
        <v>0</v>
      </c>
      <c r="L530">
        <v>0</v>
      </c>
      <c r="M530">
        <f>IF(N530,TRUE,AND(Q530:U530))</f>
        <v>0</v>
      </c>
      <c r="N530">
        <f>COUNTBLANK(Metadata!B530:F530)=COLUMNS(Metadata!B530:F530)</f>
        <v>0</v>
      </c>
      <c r="O530">
        <v>0</v>
      </c>
      <c r="Q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>
        <f>AND(IF(Metadata!C530="",FALSE,TRUE),exact(Metadata!C530,"human-skin"))</f>
        <v>0</v>
      </c>
      <c r="S530">
        <f>OR(AND(IF(Metadata!D530="",FALSE,TRUE),OR(exact(Metadata!D530,"missing: not collected"),exact(Metadata!D530,"missing: not provided"))),AND(IF(Metadata!D530="",FALSE,TRUE),OR(exact(Metadata!D530,"UBERON:zone of skin"),exact(Metadata!D530,"UBERON:skin of hand"),exact(Metadata!D530,"UBERON:skin of forehead"))))</f>
        <v>0</v>
      </c>
      <c r="T530">
        <f>AND(IF(Metadata!E530="",FALSE,TRUE),exact(Metadata!E530,"human skin metagenome"))</f>
        <v>0</v>
      </c>
      <c r="U530">
        <f>AND(IF(Metadata!F530="",FALSE,TRUE),exact(Metadata!F530,"539655"))</f>
        <v>0</v>
      </c>
    </row>
    <row r="531" spans="1:21">
      <c r="A531" s="4">
        <f>IF(B531=" "," ",HYPERLINK(CONCATENATE("#metadata!",ADDRESS(INDEX($L$2:$L$1001,MATCH(ROWS($J$2:J531),$J$2:$J$1001,0),0),1)),INDEX($O$2:$O$1001,MATCH(ROWS($J$2:J531),$J$2:$J$1001,0),0)))</f>
        <v>0</v>
      </c>
      <c r="B531" s="3">
        <f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>0</v>
      </c>
      <c r="C531" s="3">
        <f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>0</v>
      </c>
      <c r="D531" s="3">
        <f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>0</v>
      </c>
      <c r="E531" s="3">
        <f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>0</v>
      </c>
      <c r="F531" s="3">
        <f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>0</v>
      </c>
      <c r="J531">
        <v>0</v>
      </c>
      <c r="K531">
        <v>0</v>
      </c>
      <c r="L531">
        <v>0</v>
      </c>
      <c r="M531">
        <f>IF(N531,TRUE,AND(Q531:U531))</f>
        <v>0</v>
      </c>
      <c r="N531">
        <f>COUNTBLANK(Metadata!B531:F531)=COLUMNS(Metadata!B531:F531)</f>
        <v>0</v>
      </c>
      <c r="O531">
        <v>0</v>
      </c>
      <c r="Q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>
        <f>AND(IF(Metadata!C531="",FALSE,TRUE),exact(Metadata!C531,"human-skin"))</f>
        <v>0</v>
      </c>
      <c r="S531">
        <f>OR(AND(IF(Metadata!D531="",FALSE,TRUE),OR(exact(Metadata!D531,"missing: not collected"),exact(Metadata!D531,"missing: not provided"))),AND(IF(Metadata!D531="",FALSE,TRUE),OR(exact(Metadata!D531,"UBERON:zone of skin"),exact(Metadata!D531,"UBERON:skin of hand"),exact(Metadata!D531,"UBERON:skin of forehead"))))</f>
        <v>0</v>
      </c>
      <c r="T531">
        <f>AND(IF(Metadata!E531="",FALSE,TRUE),exact(Metadata!E531,"human skin metagenome"))</f>
        <v>0</v>
      </c>
      <c r="U531">
        <f>AND(IF(Metadata!F531="",FALSE,TRUE),exact(Metadata!F531,"539655"))</f>
        <v>0</v>
      </c>
    </row>
    <row r="532" spans="1:21">
      <c r="A532" s="4">
        <f>IF(B532=" "," ",HYPERLINK(CONCATENATE("#metadata!",ADDRESS(INDEX($L$2:$L$1001,MATCH(ROWS($J$2:J532),$J$2:$J$1001,0),0),1)),INDEX($O$2:$O$1001,MATCH(ROWS($J$2:J532),$J$2:$J$1001,0),0)))</f>
        <v>0</v>
      </c>
      <c r="B532" s="3">
        <f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>0</v>
      </c>
      <c r="C532" s="3">
        <f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>0</v>
      </c>
      <c r="D532" s="3">
        <f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>0</v>
      </c>
      <c r="E532" s="3">
        <f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>0</v>
      </c>
      <c r="F532" s="3">
        <f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>0</v>
      </c>
      <c r="J532">
        <v>0</v>
      </c>
      <c r="K532">
        <v>0</v>
      </c>
      <c r="L532">
        <v>0</v>
      </c>
      <c r="M532">
        <f>IF(N532,TRUE,AND(Q532:U532))</f>
        <v>0</v>
      </c>
      <c r="N532">
        <f>COUNTBLANK(Metadata!B532:F532)=COLUMNS(Metadata!B532:F532)</f>
        <v>0</v>
      </c>
      <c r="O532">
        <v>0</v>
      </c>
      <c r="Q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>
        <f>AND(IF(Metadata!C532="",FALSE,TRUE),exact(Metadata!C532,"human-skin"))</f>
        <v>0</v>
      </c>
      <c r="S532">
        <f>OR(AND(IF(Metadata!D532="",FALSE,TRUE),OR(exact(Metadata!D532,"missing: not collected"),exact(Metadata!D532,"missing: not provided"))),AND(IF(Metadata!D532="",FALSE,TRUE),OR(exact(Metadata!D532,"UBERON:zone of skin"),exact(Metadata!D532,"UBERON:skin of hand"),exact(Metadata!D532,"UBERON:skin of forehead"))))</f>
        <v>0</v>
      </c>
      <c r="T532">
        <f>AND(IF(Metadata!E532="",FALSE,TRUE),exact(Metadata!E532,"human skin metagenome"))</f>
        <v>0</v>
      </c>
      <c r="U532">
        <f>AND(IF(Metadata!F532="",FALSE,TRUE),exact(Metadata!F532,"539655"))</f>
        <v>0</v>
      </c>
    </row>
    <row r="533" spans="1:21">
      <c r="A533" s="4">
        <f>IF(B533=" "," ",HYPERLINK(CONCATENATE("#metadata!",ADDRESS(INDEX($L$2:$L$1001,MATCH(ROWS($J$2:J533),$J$2:$J$1001,0),0),1)),INDEX($O$2:$O$1001,MATCH(ROWS($J$2:J533),$J$2:$J$1001,0),0)))</f>
        <v>0</v>
      </c>
      <c r="B533" s="3">
        <f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>0</v>
      </c>
      <c r="C533" s="3">
        <f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>0</v>
      </c>
      <c r="D533" s="3">
        <f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>0</v>
      </c>
      <c r="E533" s="3">
        <f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>0</v>
      </c>
      <c r="F533" s="3">
        <f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>0</v>
      </c>
      <c r="J533">
        <v>0</v>
      </c>
      <c r="K533">
        <v>0</v>
      </c>
      <c r="L533">
        <v>0</v>
      </c>
      <c r="M533">
        <f>IF(N533,TRUE,AND(Q533:U533))</f>
        <v>0</v>
      </c>
      <c r="N533">
        <f>COUNTBLANK(Metadata!B533:F533)=COLUMNS(Metadata!B533:F533)</f>
        <v>0</v>
      </c>
      <c r="O533">
        <v>0</v>
      </c>
      <c r="Q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>
        <f>AND(IF(Metadata!C533="",FALSE,TRUE),exact(Metadata!C533,"human-skin"))</f>
        <v>0</v>
      </c>
      <c r="S533">
        <f>OR(AND(IF(Metadata!D533="",FALSE,TRUE),OR(exact(Metadata!D533,"missing: not collected"),exact(Metadata!D533,"missing: not provided"))),AND(IF(Metadata!D533="",FALSE,TRUE),OR(exact(Metadata!D533,"UBERON:zone of skin"),exact(Metadata!D533,"UBERON:skin of hand"),exact(Metadata!D533,"UBERON:skin of forehead"))))</f>
        <v>0</v>
      </c>
      <c r="T533">
        <f>AND(IF(Metadata!E533="",FALSE,TRUE),exact(Metadata!E533,"human skin metagenome"))</f>
        <v>0</v>
      </c>
      <c r="U533">
        <f>AND(IF(Metadata!F533="",FALSE,TRUE),exact(Metadata!F533,"539655"))</f>
        <v>0</v>
      </c>
    </row>
    <row r="534" spans="1:21">
      <c r="A534" s="4">
        <f>IF(B534=" "," ",HYPERLINK(CONCATENATE("#metadata!",ADDRESS(INDEX($L$2:$L$1001,MATCH(ROWS($J$2:J534),$J$2:$J$1001,0),0),1)),INDEX($O$2:$O$1001,MATCH(ROWS($J$2:J534),$J$2:$J$1001,0),0)))</f>
        <v>0</v>
      </c>
      <c r="B534" s="3">
        <f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>0</v>
      </c>
      <c r="C534" s="3">
        <f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>0</v>
      </c>
      <c r="D534" s="3">
        <f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>0</v>
      </c>
      <c r="E534" s="3">
        <f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>0</v>
      </c>
      <c r="F534" s="3">
        <f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>0</v>
      </c>
      <c r="J534">
        <v>0</v>
      </c>
      <c r="K534">
        <v>0</v>
      </c>
      <c r="L534">
        <v>0</v>
      </c>
      <c r="M534">
        <f>IF(N534,TRUE,AND(Q534:U534))</f>
        <v>0</v>
      </c>
      <c r="N534">
        <f>COUNTBLANK(Metadata!B534:F534)=COLUMNS(Metadata!B534:F534)</f>
        <v>0</v>
      </c>
      <c r="O534">
        <v>0</v>
      </c>
      <c r="Q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>
        <f>AND(IF(Metadata!C534="",FALSE,TRUE),exact(Metadata!C534,"human-skin"))</f>
        <v>0</v>
      </c>
      <c r="S534">
        <f>OR(AND(IF(Metadata!D534="",FALSE,TRUE),OR(exact(Metadata!D534,"missing: not collected"),exact(Metadata!D534,"missing: not provided"))),AND(IF(Metadata!D534="",FALSE,TRUE),OR(exact(Metadata!D534,"UBERON:zone of skin"),exact(Metadata!D534,"UBERON:skin of hand"),exact(Metadata!D534,"UBERON:skin of forehead"))))</f>
        <v>0</v>
      </c>
      <c r="T534">
        <f>AND(IF(Metadata!E534="",FALSE,TRUE),exact(Metadata!E534,"human skin metagenome"))</f>
        <v>0</v>
      </c>
      <c r="U534">
        <f>AND(IF(Metadata!F534="",FALSE,TRUE),exact(Metadata!F534,"539655"))</f>
        <v>0</v>
      </c>
    </row>
    <row r="535" spans="1:21">
      <c r="A535" s="4">
        <f>IF(B535=" "," ",HYPERLINK(CONCATENATE("#metadata!",ADDRESS(INDEX($L$2:$L$1001,MATCH(ROWS($J$2:J535),$J$2:$J$1001,0),0),1)),INDEX($O$2:$O$1001,MATCH(ROWS($J$2:J535),$J$2:$J$1001,0),0)))</f>
        <v>0</v>
      </c>
      <c r="B535" s="3">
        <f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>0</v>
      </c>
      <c r="C535" s="3">
        <f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>0</v>
      </c>
      <c r="D535" s="3">
        <f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>0</v>
      </c>
      <c r="E535" s="3">
        <f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>0</v>
      </c>
      <c r="F535" s="3">
        <f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>0</v>
      </c>
      <c r="J535">
        <v>0</v>
      </c>
      <c r="K535">
        <v>0</v>
      </c>
      <c r="L535">
        <v>0</v>
      </c>
      <c r="M535">
        <f>IF(N535,TRUE,AND(Q535:U535))</f>
        <v>0</v>
      </c>
      <c r="N535">
        <f>COUNTBLANK(Metadata!B535:F535)=COLUMNS(Metadata!B535:F535)</f>
        <v>0</v>
      </c>
      <c r="O535">
        <v>0</v>
      </c>
      <c r="Q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>
        <f>AND(IF(Metadata!C535="",FALSE,TRUE),exact(Metadata!C535,"human-skin"))</f>
        <v>0</v>
      </c>
      <c r="S535">
        <f>OR(AND(IF(Metadata!D535="",FALSE,TRUE),OR(exact(Metadata!D535,"missing: not collected"),exact(Metadata!D535,"missing: not provided"))),AND(IF(Metadata!D535="",FALSE,TRUE),OR(exact(Metadata!D535,"UBERON:zone of skin"),exact(Metadata!D535,"UBERON:skin of hand"),exact(Metadata!D535,"UBERON:skin of forehead"))))</f>
        <v>0</v>
      </c>
      <c r="T535">
        <f>AND(IF(Metadata!E535="",FALSE,TRUE),exact(Metadata!E535,"human skin metagenome"))</f>
        <v>0</v>
      </c>
      <c r="U535">
        <f>AND(IF(Metadata!F535="",FALSE,TRUE),exact(Metadata!F535,"539655"))</f>
        <v>0</v>
      </c>
    </row>
    <row r="536" spans="1:21">
      <c r="A536" s="4">
        <f>IF(B536=" "," ",HYPERLINK(CONCATENATE("#metadata!",ADDRESS(INDEX($L$2:$L$1001,MATCH(ROWS($J$2:J536),$J$2:$J$1001,0),0),1)),INDEX($O$2:$O$1001,MATCH(ROWS($J$2:J536),$J$2:$J$1001,0),0)))</f>
        <v>0</v>
      </c>
      <c r="B536" s="3">
        <f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>0</v>
      </c>
      <c r="C536" s="3">
        <f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>0</v>
      </c>
      <c r="D536" s="3">
        <f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>0</v>
      </c>
      <c r="E536" s="3">
        <f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>0</v>
      </c>
      <c r="F536" s="3">
        <f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>0</v>
      </c>
      <c r="J536">
        <v>0</v>
      </c>
      <c r="K536">
        <v>0</v>
      </c>
      <c r="L536">
        <v>0</v>
      </c>
      <c r="M536">
        <f>IF(N536,TRUE,AND(Q536:U536))</f>
        <v>0</v>
      </c>
      <c r="N536">
        <f>COUNTBLANK(Metadata!B536:F536)=COLUMNS(Metadata!B536:F536)</f>
        <v>0</v>
      </c>
      <c r="O536">
        <v>0</v>
      </c>
      <c r="Q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>
        <f>AND(IF(Metadata!C536="",FALSE,TRUE),exact(Metadata!C536,"human-skin"))</f>
        <v>0</v>
      </c>
      <c r="S536">
        <f>OR(AND(IF(Metadata!D536="",FALSE,TRUE),OR(exact(Metadata!D536,"missing: not collected"),exact(Metadata!D536,"missing: not provided"))),AND(IF(Metadata!D536="",FALSE,TRUE),OR(exact(Metadata!D536,"UBERON:zone of skin"),exact(Metadata!D536,"UBERON:skin of hand"),exact(Metadata!D536,"UBERON:skin of forehead"))))</f>
        <v>0</v>
      </c>
      <c r="T536">
        <f>AND(IF(Metadata!E536="",FALSE,TRUE),exact(Metadata!E536,"human skin metagenome"))</f>
        <v>0</v>
      </c>
      <c r="U536">
        <f>AND(IF(Metadata!F536="",FALSE,TRUE),exact(Metadata!F536,"539655"))</f>
        <v>0</v>
      </c>
    </row>
    <row r="537" spans="1:21">
      <c r="A537" s="4">
        <f>IF(B537=" "," ",HYPERLINK(CONCATENATE("#metadata!",ADDRESS(INDEX($L$2:$L$1001,MATCH(ROWS($J$2:J537),$J$2:$J$1001,0),0),1)),INDEX($O$2:$O$1001,MATCH(ROWS($J$2:J537),$J$2:$J$1001,0),0)))</f>
        <v>0</v>
      </c>
      <c r="B537" s="3">
        <f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>0</v>
      </c>
      <c r="C537" s="3">
        <f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>0</v>
      </c>
      <c r="D537" s="3">
        <f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>0</v>
      </c>
      <c r="E537" s="3">
        <f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>0</v>
      </c>
      <c r="F537" s="3">
        <f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>0</v>
      </c>
      <c r="J537">
        <v>0</v>
      </c>
      <c r="K537">
        <v>0</v>
      </c>
      <c r="L537">
        <v>0</v>
      </c>
      <c r="M537">
        <f>IF(N537,TRUE,AND(Q537:U537))</f>
        <v>0</v>
      </c>
      <c r="N537">
        <f>COUNTBLANK(Metadata!B537:F537)=COLUMNS(Metadata!B537:F537)</f>
        <v>0</v>
      </c>
      <c r="O537">
        <v>0</v>
      </c>
      <c r="Q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>
        <f>AND(IF(Metadata!C537="",FALSE,TRUE),exact(Metadata!C537,"human-skin"))</f>
        <v>0</v>
      </c>
      <c r="S537">
        <f>OR(AND(IF(Metadata!D537="",FALSE,TRUE),OR(exact(Metadata!D537,"missing: not collected"),exact(Metadata!D537,"missing: not provided"))),AND(IF(Metadata!D537="",FALSE,TRUE),OR(exact(Metadata!D537,"UBERON:zone of skin"),exact(Metadata!D537,"UBERON:skin of hand"),exact(Metadata!D537,"UBERON:skin of forehead"))))</f>
        <v>0</v>
      </c>
      <c r="T537">
        <f>AND(IF(Metadata!E537="",FALSE,TRUE),exact(Metadata!E537,"human skin metagenome"))</f>
        <v>0</v>
      </c>
      <c r="U537">
        <f>AND(IF(Metadata!F537="",FALSE,TRUE),exact(Metadata!F537,"539655"))</f>
        <v>0</v>
      </c>
    </row>
    <row r="538" spans="1:21">
      <c r="A538" s="4">
        <f>IF(B538=" "," ",HYPERLINK(CONCATENATE("#metadata!",ADDRESS(INDEX($L$2:$L$1001,MATCH(ROWS($J$2:J538),$J$2:$J$1001,0),0),1)),INDEX($O$2:$O$1001,MATCH(ROWS($J$2:J538),$J$2:$J$1001,0),0)))</f>
        <v>0</v>
      </c>
      <c r="B538" s="3">
        <f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>0</v>
      </c>
      <c r="C538" s="3">
        <f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>0</v>
      </c>
      <c r="D538" s="3">
        <f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>0</v>
      </c>
      <c r="E538" s="3">
        <f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>0</v>
      </c>
      <c r="F538" s="3">
        <f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>0</v>
      </c>
      <c r="J538">
        <v>0</v>
      </c>
      <c r="K538">
        <v>0</v>
      </c>
      <c r="L538">
        <v>0</v>
      </c>
      <c r="M538">
        <f>IF(N538,TRUE,AND(Q538:U538))</f>
        <v>0</v>
      </c>
      <c r="N538">
        <f>COUNTBLANK(Metadata!B538:F538)=COLUMNS(Metadata!B538:F538)</f>
        <v>0</v>
      </c>
      <c r="O538">
        <v>0</v>
      </c>
      <c r="Q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>
        <f>AND(IF(Metadata!C538="",FALSE,TRUE),exact(Metadata!C538,"human-skin"))</f>
        <v>0</v>
      </c>
      <c r="S538">
        <f>OR(AND(IF(Metadata!D538="",FALSE,TRUE),OR(exact(Metadata!D538,"missing: not collected"),exact(Metadata!D538,"missing: not provided"))),AND(IF(Metadata!D538="",FALSE,TRUE),OR(exact(Metadata!D538,"UBERON:zone of skin"),exact(Metadata!D538,"UBERON:skin of hand"),exact(Metadata!D538,"UBERON:skin of forehead"))))</f>
        <v>0</v>
      </c>
      <c r="T538">
        <f>AND(IF(Metadata!E538="",FALSE,TRUE),exact(Metadata!E538,"human skin metagenome"))</f>
        <v>0</v>
      </c>
      <c r="U538">
        <f>AND(IF(Metadata!F538="",FALSE,TRUE),exact(Metadata!F538,"539655"))</f>
        <v>0</v>
      </c>
    </row>
    <row r="539" spans="1:21">
      <c r="A539" s="4">
        <f>IF(B539=" "," ",HYPERLINK(CONCATENATE("#metadata!",ADDRESS(INDEX($L$2:$L$1001,MATCH(ROWS($J$2:J539),$J$2:$J$1001,0),0),1)),INDEX($O$2:$O$1001,MATCH(ROWS($J$2:J539),$J$2:$J$1001,0),0)))</f>
        <v>0</v>
      </c>
      <c r="B539" s="3">
        <f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>0</v>
      </c>
      <c r="C539" s="3">
        <f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>0</v>
      </c>
      <c r="D539" s="3">
        <f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>0</v>
      </c>
      <c r="E539" s="3">
        <f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>0</v>
      </c>
      <c r="F539" s="3">
        <f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>0</v>
      </c>
      <c r="J539">
        <v>0</v>
      </c>
      <c r="K539">
        <v>0</v>
      </c>
      <c r="L539">
        <v>0</v>
      </c>
      <c r="M539">
        <f>IF(N539,TRUE,AND(Q539:U539))</f>
        <v>0</v>
      </c>
      <c r="N539">
        <f>COUNTBLANK(Metadata!B539:F539)=COLUMNS(Metadata!B539:F539)</f>
        <v>0</v>
      </c>
      <c r="O539">
        <v>0</v>
      </c>
      <c r="Q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>
        <f>AND(IF(Metadata!C539="",FALSE,TRUE),exact(Metadata!C539,"human-skin"))</f>
        <v>0</v>
      </c>
      <c r="S539">
        <f>OR(AND(IF(Metadata!D539="",FALSE,TRUE),OR(exact(Metadata!D539,"missing: not collected"),exact(Metadata!D539,"missing: not provided"))),AND(IF(Metadata!D539="",FALSE,TRUE),OR(exact(Metadata!D539,"UBERON:zone of skin"),exact(Metadata!D539,"UBERON:skin of hand"),exact(Metadata!D539,"UBERON:skin of forehead"))))</f>
        <v>0</v>
      </c>
      <c r="T539">
        <f>AND(IF(Metadata!E539="",FALSE,TRUE),exact(Metadata!E539,"human skin metagenome"))</f>
        <v>0</v>
      </c>
      <c r="U539">
        <f>AND(IF(Metadata!F539="",FALSE,TRUE),exact(Metadata!F539,"539655"))</f>
        <v>0</v>
      </c>
    </row>
    <row r="540" spans="1:21">
      <c r="A540" s="4">
        <f>IF(B540=" "," ",HYPERLINK(CONCATENATE("#metadata!",ADDRESS(INDEX($L$2:$L$1001,MATCH(ROWS($J$2:J540),$J$2:$J$1001,0),0),1)),INDEX($O$2:$O$1001,MATCH(ROWS($J$2:J540),$J$2:$J$1001,0),0)))</f>
        <v>0</v>
      </c>
      <c r="B540" s="3">
        <f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>0</v>
      </c>
      <c r="C540" s="3">
        <f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>0</v>
      </c>
      <c r="D540" s="3">
        <f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>0</v>
      </c>
      <c r="E540" s="3">
        <f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>0</v>
      </c>
      <c r="F540" s="3">
        <f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>0</v>
      </c>
      <c r="J540">
        <v>0</v>
      </c>
      <c r="K540">
        <v>0</v>
      </c>
      <c r="L540">
        <v>0</v>
      </c>
      <c r="M540">
        <f>IF(N540,TRUE,AND(Q540:U540))</f>
        <v>0</v>
      </c>
      <c r="N540">
        <f>COUNTBLANK(Metadata!B540:F540)=COLUMNS(Metadata!B540:F540)</f>
        <v>0</v>
      </c>
      <c r="O540">
        <v>0</v>
      </c>
      <c r="Q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>
        <f>AND(IF(Metadata!C540="",FALSE,TRUE),exact(Metadata!C540,"human-skin"))</f>
        <v>0</v>
      </c>
      <c r="S540">
        <f>OR(AND(IF(Metadata!D540="",FALSE,TRUE),OR(exact(Metadata!D540,"missing: not collected"),exact(Metadata!D540,"missing: not provided"))),AND(IF(Metadata!D540="",FALSE,TRUE),OR(exact(Metadata!D540,"UBERON:zone of skin"),exact(Metadata!D540,"UBERON:skin of hand"),exact(Metadata!D540,"UBERON:skin of forehead"))))</f>
        <v>0</v>
      </c>
      <c r="T540">
        <f>AND(IF(Metadata!E540="",FALSE,TRUE),exact(Metadata!E540,"human skin metagenome"))</f>
        <v>0</v>
      </c>
      <c r="U540">
        <f>AND(IF(Metadata!F540="",FALSE,TRUE),exact(Metadata!F540,"539655"))</f>
        <v>0</v>
      </c>
    </row>
    <row r="541" spans="1:21">
      <c r="A541" s="4">
        <f>IF(B541=" "," ",HYPERLINK(CONCATENATE("#metadata!",ADDRESS(INDEX($L$2:$L$1001,MATCH(ROWS($J$2:J541),$J$2:$J$1001,0),0),1)),INDEX($O$2:$O$1001,MATCH(ROWS($J$2:J541),$J$2:$J$1001,0),0)))</f>
        <v>0</v>
      </c>
      <c r="B541" s="3">
        <f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>0</v>
      </c>
      <c r="C541" s="3">
        <f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>0</v>
      </c>
      <c r="D541" s="3">
        <f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>0</v>
      </c>
      <c r="E541" s="3">
        <f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>0</v>
      </c>
      <c r="F541" s="3">
        <f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>0</v>
      </c>
      <c r="J541">
        <v>0</v>
      </c>
      <c r="K541">
        <v>0</v>
      </c>
      <c r="L541">
        <v>0</v>
      </c>
      <c r="M541">
        <f>IF(N541,TRUE,AND(Q541:U541))</f>
        <v>0</v>
      </c>
      <c r="N541">
        <f>COUNTBLANK(Metadata!B541:F541)=COLUMNS(Metadata!B541:F541)</f>
        <v>0</v>
      </c>
      <c r="O541">
        <v>0</v>
      </c>
      <c r="Q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>
        <f>AND(IF(Metadata!C541="",FALSE,TRUE),exact(Metadata!C541,"human-skin"))</f>
        <v>0</v>
      </c>
      <c r="S541">
        <f>OR(AND(IF(Metadata!D541="",FALSE,TRUE),OR(exact(Metadata!D541,"missing: not collected"),exact(Metadata!D541,"missing: not provided"))),AND(IF(Metadata!D541="",FALSE,TRUE),OR(exact(Metadata!D541,"UBERON:zone of skin"),exact(Metadata!D541,"UBERON:skin of hand"),exact(Metadata!D541,"UBERON:skin of forehead"))))</f>
        <v>0</v>
      </c>
      <c r="T541">
        <f>AND(IF(Metadata!E541="",FALSE,TRUE),exact(Metadata!E541,"human skin metagenome"))</f>
        <v>0</v>
      </c>
      <c r="U541">
        <f>AND(IF(Metadata!F541="",FALSE,TRUE),exact(Metadata!F541,"539655"))</f>
        <v>0</v>
      </c>
    </row>
    <row r="542" spans="1:21">
      <c r="A542" s="4">
        <f>IF(B542=" "," ",HYPERLINK(CONCATENATE("#metadata!",ADDRESS(INDEX($L$2:$L$1001,MATCH(ROWS($J$2:J542),$J$2:$J$1001,0),0),1)),INDEX($O$2:$O$1001,MATCH(ROWS($J$2:J542),$J$2:$J$1001,0),0)))</f>
        <v>0</v>
      </c>
      <c r="B542" s="3">
        <f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>0</v>
      </c>
      <c r="C542" s="3">
        <f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>0</v>
      </c>
      <c r="D542" s="3">
        <f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>0</v>
      </c>
      <c r="E542" s="3">
        <f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>0</v>
      </c>
      <c r="F542" s="3">
        <f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>0</v>
      </c>
      <c r="J542">
        <v>0</v>
      </c>
      <c r="K542">
        <v>0</v>
      </c>
      <c r="L542">
        <v>0</v>
      </c>
      <c r="M542">
        <f>IF(N542,TRUE,AND(Q542:U542))</f>
        <v>0</v>
      </c>
      <c r="N542">
        <f>COUNTBLANK(Metadata!B542:F542)=COLUMNS(Metadata!B542:F542)</f>
        <v>0</v>
      </c>
      <c r="O542">
        <v>0</v>
      </c>
      <c r="Q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>
        <f>AND(IF(Metadata!C542="",FALSE,TRUE),exact(Metadata!C542,"human-skin"))</f>
        <v>0</v>
      </c>
      <c r="S542">
        <f>OR(AND(IF(Metadata!D542="",FALSE,TRUE),OR(exact(Metadata!D542,"missing: not collected"),exact(Metadata!D542,"missing: not provided"))),AND(IF(Metadata!D542="",FALSE,TRUE),OR(exact(Metadata!D542,"UBERON:zone of skin"),exact(Metadata!D542,"UBERON:skin of hand"),exact(Metadata!D542,"UBERON:skin of forehead"))))</f>
        <v>0</v>
      </c>
      <c r="T542">
        <f>AND(IF(Metadata!E542="",FALSE,TRUE),exact(Metadata!E542,"human skin metagenome"))</f>
        <v>0</v>
      </c>
      <c r="U542">
        <f>AND(IF(Metadata!F542="",FALSE,TRUE),exact(Metadata!F542,"539655"))</f>
        <v>0</v>
      </c>
    </row>
    <row r="543" spans="1:21">
      <c r="A543" s="4">
        <f>IF(B543=" "," ",HYPERLINK(CONCATENATE("#metadata!",ADDRESS(INDEX($L$2:$L$1001,MATCH(ROWS($J$2:J543),$J$2:$J$1001,0),0),1)),INDEX($O$2:$O$1001,MATCH(ROWS($J$2:J543),$J$2:$J$1001,0),0)))</f>
        <v>0</v>
      </c>
      <c r="B543" s="3">
        <f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>0</v>
      </c>
      <c r="C543" s="3">
        <f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>0</v>
      </c>
      <c r="D543" s="3">
        <f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>0</v>
      </c>
      <c r="E543" s="3">
        <f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>0</v>
      </c>
      <c r="F543" s="3">
        <f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>0</v>
      </c>
      <c r="J543">
        <v>0</v>
      </c>
      <c r="K543">
        <v>0</v>
      </c>
      <c r="L543">
        <v>0</v>
      </c>
      <c r="M543">
        <f>IF(N543,TRUE,AND(Q543:U543))</f>
        <v>0</v>
      </c>
      <c r="N543">
        <f>COUNTBLANK(Metadata!B543:F543)=COLUMNS(Metadata!B543:F543)</f>
        <v>0</v>
      </c>
      <c r="O543">
        <v>0</v>
      </c>
      <c r="Q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>
        <f>AND(IF(Metadata!C543="",FALSE,TRUE),exact(Metadata!C543,"human-skin"))</f>
        <v>0</v>
      </c>
      <c r="S543">
        <f>OR(AND(IF(Metadata!D543="",FALSE,TRUE),OR(exact(Metadata!D543,"missing: not collected"),exact(Metadata!D543,"missing: not provided"))),AND(IF(Metadata!D543="",FALSE,TRUE),OR(exact(Metadata!D543,"UBERON:zone of skin"),exact(Metadata!D543,"UBERON:skin of hand"),exact(Metadata!D543,"UBERON:skin of forehead"))))</f>
        <v>0</v>
      </c>
      <c r="T543">
        <f>AND(IF(Metadata!E543="",FALSE,TRUE),exact(Metadata!E543,"human skin metagenome"))</f>
        <v>0</v>
      </c>
      <c r="U543">
        <f>AND(IF(Metadata!F543="",FALSE,TRUE),exact(Metadata!F543,"539655"))</f>
        <v>0</v>
      </c>
    </row>
    <row r="544" spans="1:21">
      <c r="A544" s="4">
        <f>IF(B544=" "," ",HYPERLINK(CONCATENATE("#metadata!",ADDRESS(INDEX($L$2:$L$1001,MATCH(ROWS($J$2:J544),$J$2:$J$1001,0),0),1)),INDEX($O$2:$O$1001,MATCH(ROWS($J$2:J544),$J$2:$J$1001,0),0)))</f>
        <v>0</v>
      </c>
      <c r="B544" s="3">
        <f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>0</v>
      </c>
      <c r="C544" s="3">
        <f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>0</v>
      </c>
      <c r="D544" s="3">
        <f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>0</v>
      </c>
      <c r="E544" s="3">
        <f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>0</v>
      </c>
      <c r="F544" s="3">
        <f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>0</v>
      </c>
      <c r="J544">
        <v>0</v>
      </c>
      <c r="K544">
        <v>0</v>
      </c>
      <c r="L544">
        <v>0</v>
      </c>
      <c r="M544">
        <f>IF(N544,TRUE,AND(Q544:U544))</f>
        <v>0</v>
      </c>
      <c r="N544">
        <f>COUNTBLANK(Metadata!B544:F544)=COLUMNS(Metadata!B544:F544)</f>
        <v>0</v>
      </c>
      <c r="O544">
        <v>0</v>
      </c>
      <c r="Q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>
        <f>AND(IF(Metadata!C544="",FALSE,TRUE),exact(Metadata!C544,"human-skin"))</f>
        <v>0</v>
      </c>
      <c r="S544">
        <f>OR(AND(IF(Metadata!D544="",FALSE,TRUE),OR(exact(Metadata!D544,"missing: not collected"),exact(Metadata!D544,"missing: not provided"))),AND(IF(Metadata!D544="",FALSE,TRUE),OR(exact(Metadata!D544,"UBERON:zone of skin"),exact(Metadata!D544,"UBERON:skin of hand"),exact(Metadata!D544,"UBERON:skin of forehead"))))</f>
        <v>0</v>
      </c>
      <c r="T544">
        <f>AND(IF(Metadata!E544="",FALSE,TRUE),exact(Metadata!E544,"human skin metagenome"))</f>
        <v>0</v>
      </c>
      <c r="U544">
        <f>AND(IF(Metadata!F544="",FALSE,TRUE),exact(Metadata!F544,"539655"))</f>
        <v>0</v>
      </c>
    </row>
    <row r="545" spans="1:21">
      <c r="A545" s="4">
        <f>IF(B545=" "," ",HYPERLINK(CONCATENATE("#metadata!",ADDRESS(INDEX($L$2:$L$1001,MATCH(ROWS($J$2:J545),$J$2:$J$1001,0),0),1)),INDEX($O$2:$O$1001,MATCH(ROWS($J$2:J545),$J$2:$J$1001,0),0)))</f>
        <v>0</v>
      </c>
      <c r="B545" s="3">
        <f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>0</v>
      </c>
      <c r="C545" s="3">
        <f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>0</v>
      </c>
      <c r="D545" s="3">
        <f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>0</v>
      </c>
      <c r="E545" s="3">
        <f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>0</v>
      </c>
      <c r="F545" s="3">
        <f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>0</v>
      </c>
      <c r="J545">
        <v>0</v>
      </c>
      <c r="K545">
        <v>0</v>
      </c>
      <c r="L545">
        <v>0</v>
      </c>
      <c r="M545">
        <f>IF(N545,TRUE,AND(Q545:U545))</f>
        <v>0</v>
      </c>
      <c r="N545">
        <f>COUNTBLANK(Metadata!B545:F545)=COLUMNS(Metadata!B545:F545)</f>
        <v>0</v>
      </c>
      <c r="O545">
        <v>0</v>
      </c>
      <c r="Q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>
        <f>AND(IF(Metadata!C545="",FALSE,TRUE),exact(Metadata!C545,"human-skin"))</f>
        <v>0</v>
      </c>
      <c r="S545">
        <f>OR(AND(IF(Metadata!D545="",FALSE,TRUE),OR(exact(Metadata!D545,"missing: not collected"),exact(Metadata!D545,"missing: not provided"))),AND(IF(Metadata!D545="",FALSE,TRUE),OR(exact(Metadata!D545,"UBERON:zone of skin"),exact(Metadata!D545,"UBERON:skin of hand"),exact(Metadata!D545,"UBERON:skin of forehead"))))</f>
        <v>0</v>
      </c>
      <c r="T545">
        <f>AND(IF(Metadata!E545="",FALSE,TRUE),exact(Metadata!E545,"human skin metagenome"))</f>
        <v>0</v>
      </c>
      <c r="U545">
        <f>AND(IF(Metadata!F545="",FALSE,TRUE),exact(Metadata!F545,"539655"))</f>
        <v>0</v>
      </c>
    </row>
    <row r="546" spans="1:21">
      <c r="A546" s="4">
        <f>IF(B546=" "," ",HYPERLINK(CONCATENATE("#metadata!",ADDRESS(INDEX($L$2:$L$1001,MATCH(ROWS($J$2:J546),$J$2:$J$1001,0),0),1)),INDEX($O$2:$O$1001,MATCH(ROWS($J$2:J546),$J$2:$J$1001,0),0)))</f>
        <v>0</v>
      </c>
      <c r="B546" s="3">
        <f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>0</v>
      </c>
      <c r="C546" s="3">
        <f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>0</v>
      </c>
      <c r="D546" s="3">
        <f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>0</v>
      </c>
      <c r="E546" s="3">
        <f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>0</v>
      </c>
      <c r="F546" s="3">
        <f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>0</v>
      </c>
      <c r="J546">
        <v>0</v>
      </c>
      <c r="K546">
        <v>0</v>
      </c>
      <c r="L546">
        <v>0</v>
      </c>
      <c r="M546">
        <f>IF(N546,TRUE,AND(Q546:U546))</f>
        <v>0</v>
      </c>
      <c r="N546">
        <f>COUNTBLANK(Metadata!B546:F546)=COLUMNS(Metadata!B546:F546)</f>
        <v>0</v>
      </c>
      <c r="O546">
        <v>0</v>
      </c>
      <c r="Q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>
        <f>AND(IF(Metadata!C546="",FALSE,TRUE),exact(Metadata!C546,"human-skin"))</f>
        <v>0</v>
      </c>
      <c r="S546">
        <f>OR(AND(IF(Metadata!D546="",FALSE,TRUE),OR(exact(Metadata!D546,"missing: not collected"),exact(Metadata!D546,"missing: not provided"))),AND(IF(Metadata!D546="",FALSE,TRUE),OR(exact(Metadata!D546,"UBERON:zone of skin"),exact(Metadata!D546,"UBERON:skin of hand"),exact(Metadata!D546,"UBERON:skin of forehead"))))</f>
        <v>0</v>
      </c>
      <c r="T546">
        <f>AND(IF(Metadata!E546="",FALSE,TRUE),exact(Metadata!E546,"human skin metagenome"))</f>
        <v>0</v>
      </c>
      <c r="U546">
        <f>AND(IF(Metadata!F546="",FALSE,TRUE),exact(Metadata!F546,"539655"))</f>
        <v>0</v>
      </c>
    </row>
    <row r="547" spans="1:21">
      <c r="A547" s="4">
        <f>IF(B547=" "," ",HYPERLINK(CONCATENATE("#metadata!",ADDRESS(INDEX($L$2:$L$1001,MATCH(ROWS($J$2:J547),$J$2:$J$1001,0),0),1)),INDEX($O$2:$O$1001,MATCH(ROWS($J$2:J547),$J$2:$J$1001,0),0)))</f>
        <v>0</v>
      </c>
      <c r="B547" s="3">
        <f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>0</v>
      </c>
      <c r="C547" s="3">
        <f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>0</v>
      </c>
      <c r="D547" s="3">
        <f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>0</v>
      </c>
      <c r="E547" s="3">
        <f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>0</v>
      </c>
      <c r="F547" s="3">
        <f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>0</v>
      </c>
      <c r="J547">
        <v>0</v>
      </c>
      <c r="K547">
        <v>0</v>
      </c>
      <c r="L547">
        <v>0</v>
      </c>
      <c r="M547">
        <f>IF(N547,TRUE,AND(Q547:U547))</f>
        <v>0</v>
      </c>
      <c r="N547">
        <f>COUNTBLANK(Metadata!B547:F547)=COLUMNS(Metadata!B547:F547)</f>
        <v>0</v>
      </c>
      <c r="O547">
        <v>0</v>
      </c>
      <c r="Q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>
        <f>AND(IF(Metadata!C547="",FALSE,TRUE),exact(Metadata!C547,"human-skin"))</f>
        <v>0</v>
      </c>
      <c r="S547">
        <f>OR(AND(IF(Metadata!D547="",FALSE,TRUE),OR(exact(Metadata!D547,"missing: not collected"),exact(Metadata!D547,"missing: not provided"))),AND(IF(Metadata!D547="",FALSE,TRUE),OR(exact(Metadata!D547,"UBERON:zone of skin"),exact(Metadata!D547,"UBERON:skin of hand"),exact(Metadata!D547,"UBERON:skin of forehead"))))</f>
        <v>0</v>
      </c>
      <c r="T547">
        <f>AND(IF(Metadata!E547="",FALSE,TRUE),exact(Metadata!E547,"human skin metagenome"))</f>
        <v>0</v>
      </c>
      <c r="U547">
        <f>AND(IF(Metadata!F547="",FALSE,TRUE),exact(Metadata!F547,"539655"))</f>
        <v>0</v>
      </c>
    </row>
    <row r="548" spans="1:21">
      <c r="A548" s="4">
        <f>IF(B548=" "," ",HYPERLINK(CONCATENATE("#metadata!",ADDRESS(INDEX($L$2:$L$1001,MATCH(ROWS($J$2:J548),$J$2:$J$1001,0),0),1)),INDEX($O$2:$O$1001,MATCH(ROWS($J$2:J548),$J$2:$J$1001,0),0)))</f>
        <v>0</v>
      </c>
      <c r="B548" s="3">
        <f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>0</v>
      </c>
      <c r="C548" s="3">
        <f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>0</v>
      </c>
      <c r="D548" s="3">
        <f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>0</v>
      </c>
      <c r="E548" s="3">
        <f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>0</v>
      </c>
      <c r="F548" s="3">
        <f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>0</v>
      </c>
      <c r="J548">
        <v>0</v>
      </c>
      <c r="K548">
        <v>0</v>
      </c>
      <c r="L548">
        <v>0</v>
      </c>
      <c r="M548">
        <f>IF(N548,TRUE,AND(Q548:U548))</f>
        <v>0</v>
      </c>
      <c r="N548">
        <f>COUNTBLANK(Metadata!B548:F548)=COLUMNS(Metadata!B548:F548)</f>
        <v>0</v>
      </c>
      <c r="O548">
        <v>0</v>
      </c>
      <c r="Q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>
        <f>AND(IF(Metadata!C548="",FALSE,TRUE),exact(Metadata!C548,"human-skin"))</f>
        <v>0</v>
      </c>
      <c r="S548">
        <f>OR(AND(IF(Metadata!D548="",FALSE,TRUE),OR(exact(Metadata!D548,"missing: not collected"),exact(Metadata!D548,"missing: not provided"))),AND(IF(Metadata!D548="",FALSE,TRUE),OR(exact(Metadata!D548,"UBERON:zone of skin"),exact(Metadata!D548,"UBERON:skin of hand"),exact(Metadata!D548,"UBERON:skin of forehead"))))</f>
        <v>0</v>
      </c>
      <c r="T548">
        <f>AND(IF(Metadata!E548="",FALSE,TRUE),exact(Metadata!E548,"human skin metagenome"))</f>
        <v>0</v>
      </c>
      <c r="U548">
        <f>AND(IF(Metadata!F548="",FALSE,TRUE),exact(Metadata!F548,"539655"))</f>
        <v>0</v>
      </c>
    </row>
    <row r="549" spans="1:21">
      <c r="A549" s="4">
        <f>IF(B549=" "," ",HYPERLINK(CONCATENATE("#metadata!",ADDRESS(INDEX($L$2:$L$1001,MATCH(ROWS($J$2:J549),$J$2:$J$1001,0),0),1)),INDEX($O$2:$O$1001,MATCH(ROWS($J$2:J549),$J$2:$J$1001,0),0)))</f>
        <v>0</v>
      </c>
      <c r="B549" s="3">
        <f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>0</v>
      </c>
      <c r="C549" s="3">
        <f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>0</v>
      </c>
      <c r="D549" s="3">
        <f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>0</v>
      </c>
      <c r="E549" s="3">
        <f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>0</v>
      </c>
      <c r="F549" s="3">
        <f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>0</v>
      </c>
      <c r="J549">
        <v>0</v>
      </c>
      <c r="K549">
        <v>0</v>
      </c>
      <c r="L549">
        <v>0</v>
      </c>
      <c r="M549">
        <f>IF(N549,TRUE,AND(Q549:U549))</f>
        <v>0</v>
      </c>
      <c r="N549">
        <f>COUNTBLANK(Metadata!B549:F549)=COLUMNS(Metadata!B549:F549)</f>
        <v>0</v>
      </c>
      <c r="O549">
        <v>0</v>
      </c>
      <c r="Q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>
        <f>AND(IF(Metadata!C549="",FALSE,TRUE),exact(Metadata!C549,"human-skin"))</f>
        <v>0</v>
      </c>
      <c r="S549">
        <f>OR(AND(IF(Metadata!D549="",FALSE,TRUE),OR(exact(Metadata!D549,"missing: not collected"),exact(Metadata!D549,"missing: not provided"))),AND(IF(Metadata!D549="",FALSE,TRUE),OR(exact(Metadata!D549,"UBERON:zone of skin"),exact(Metadata!D549,"UBERON:skin of hand"),exact(Metadata!D549,"UBERON:skin of forehead"))))</f>
        <v>0</v>
      </c>
      <c r="T549">
        <f>AND(IF(Metadata!E549="",FALSE,TRUE),exact(Metadata!E549,"human skin metagenome"))</f>
        <v>0</v>
      </c>
      <c r="U549">
        <f>AND(IF(Metadata!F549="",FALSE,TRUE),exact(Metadata!F549,"539655"))</f>
        <v>0</v>
      </c>
    </row>
    <row r="550" spans="1:21">
      <c r="A550" s="4">
        <f>IF(B550=" "," ",HYPERLINK(CONCATENATE("#metadata!",ADDRESS(INDEX($L$2:$L$1001,MATCH(ROWS($J$2:J550),$J$2:$J$1001,0),0),1)),INDEX($O$2:$O$1001,MATCH(ROWS($J$2:J550),$J$2:$J$1001,0),0)))</f>
        <v>0</v>
      </c>
      <c r="B550" s="3">
        <f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>0</v>
      </c>
      <c r="C550" s="3">
        <f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>0</v>
      </c>
      <c r="D550" s="3">
        <f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>0</v>
      </c>
      <c r="E550" s="3">
        <f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>0</v>
      </c>
      <c r="F550" s="3">
        <f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>0</v>
      </c>
      <c r="J550">
        <v>0</v>
      </c>
      <c r="K550">
        <v>0</v>
      </c>
      <c r="L550">
        <v>0</v>
      </c>
      <c r="M550">
        <f>IF(N550,TRUE,AND(Q550:U550))</f>
        <v>0</v>
      </c>
      <c r="N550">
        <f>COUNTBLANK(Metadata!B550:F550)=COLUMNS(Metadata!B550:F550)</f>
        <v>0</v>
      </c>
      <c r="O550">
        <v>0</v>
      </c>
      <c r="Q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>
        <f>AND(IF(Metadata!C550="",FALSE,TRUE),exact(Metadata!C550,"human-skin"))</f>
        <v>0</v>
      </c>
      <c r="S550">
        <f>OR(AND(IF(Metadata!D550="",FALSE,TRUE),OR(exact(Metadata!D550,"missing: not collected"),exact(Metadata!D550,"missing: not provided"))),AND(IF(Metadata!D550="",FALSE,TRUE),OR(exact(Metadata!D550,"UBERON:zone of skin"),exact(Metadata!D550,"UBERON:skin of hand"),exact(Metadata!D550,"UBERON:skin of forehead"))))</f>
        <v>0</v>
      </c>
      <c r="T550">
        <f>AND(IF(Metadata!E550="",FALSE,TRUE),exact(Metadata!E550,"human skin metagenome"))</f>
        <v>0</v>
      </c>
      <c r="U550">
        <f>AND(IF(Metadata!F550="",FALSE,TRUE),exact(Metadata!F550,"539655"))</f>
        <v>0</v>
      </c>
    </row>
    <row r="551" spans="1:21">
      <c r="A551" s="4">
        <f>IF(B551=" "," ",HYPERLINK(CONCATENATE("#metadata!",ADDRESS(INDEX($L$2:$L$1001,MATCH(ROWS($J$2:J551),$J$2:$J$1001,0),0),1)),INDEX($O$2:$O$1001,MATCH(ROWS($J$2:J551),$J$2:$J$1001,0),0)))</f>
        <v>0</v>
      </c>
      <c r="B551" s="3">
        <f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>0</v>
      </c>
      <c r="C551" s="3">
        <f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>0</v>
      </c>
      <c r="D551" s="3">
        <f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>0</v>
      </c>
      <c r="E551" s="3">
        <f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>0</v>
      </c>
      <c r="F551" s="3">
        <f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>0</v>
      </c>
      <c r="J551">
        <v>0</v>
      </c>
      <c r="K551">
        <v>0</v>
      </c>
      <c r="L551">
        <v>0</v>
      </c>
      <c r="M551">
        <f>IF(N551,TRUE,AND(Q551:U551))</f>
        <v>0</v>
      </c>
      <c r="N551">
        <f>COUNTBLANK(Metadata!B551:F551)=COLUMNS(Metadata!B551:F551)</f>
        <v>0</v>
      </c>
      <c r="O551">
        <v>0</v>
      </c>
      <c r="Q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>
        <f>AND(IF(Metadata!C551="",FALSE,TRUE),exact(Metadata!C551,"human-skin"))</f>
        <v>0</v>
      </c>
      <c r="S551">
        <f>OR(AND(IF(Metadata!D551="",FALSE,TRUE),OR(exact(Metadata!D551,"missing: not collected"),exact(Metadata!D551,"missing: not provided"))),AND(IF(Metadata!D551="",FALSE,TRUE),OR(exact(Metadata!D551,"UBERON:zone of skin"),exact(Metadata!D551,"UBERON:skin of hand"),exact(Metadata!D551,"UBERON:skin of forehead"))))</f>
        <v>0</v>
      </c>
      <c r="T551">
        <f>AND(IF(Metadata!E551="",FALSE,TRUE),exact(Metadata!E551,"human skin metagenome"))</f>
        <v>0</v>
      </c>
      <c r="U551">
        <f>AND(IF(Metadata!F551="",FALSE,TRUE),exact(Metadata!F551,"539655"))</f>
        <v>0</v>
      </c>
    </row>
    <row r="552" spans="1:21">
      <c r="A552" s="4">
        <f>IF(B552=" "," ",HYPERLINK(CONCATENATE("#metadata!",ADDRESS(INDEX($L$2:$L$1001,MATCH(ROWS($J$2:J552),$J$2:$J$1001,0),0),1)),INDEX($O$2:$O$1001,MATCH(ROWS($J$2:J552),$J$2:$J$1001,0),0)))</f>
        <v>0</v>
      </c>
      <c r="B552" s="3">
        <f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>0</v>
      </c>
      <c r="C552" s="3">
        <f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>0</v>
      </c>
      <c r="D552" s="3">
        <f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>0</v>
      </c>
      <c r="E552" s="3">
        <f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>0</v>
      </c>
      <c r="F552" s="3">
        <f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>0</v>
      </c>
      <c r="J552">
        <v>0</v>
      </c>
      <c r="K552">
        <v>0</v>
      </c>
      <c r="L552">
        <v>0</v>
      </c>
      <c r="M552">
        <f>IF(N552,TRUE,AND(Q552:U552))</f>
        <v>0</v>
      </c>
      <c r="N552">
        <f>COUNTBLANK(Metadata!B552:F552)=COLUMNS(Metadata!B552:F552)</f>
        <v>0</v>
      </c>
      <c r="O552">
        <v>0</v>
      </c>
      <c r="Q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>
        <f>AND(IF(Metadata!C552="",FALSE,TRUE),exact(Metadata!C552,"human-skin"))</f>
        <v>0</v>
      </c>
      <c r="S552">
        <f>OR(AND(IF(Metadata!D552="",FALSE,TRUE),OR(exact(Metadata!D552,"missing: not collected"),exact(Metadata!D552,"missing: not provided"))),AND(IF(Metadata!D552="",FALSE,TRUE),OR(exact(Metadata!D552,"UBERON:zone of skin"),exact(Metadata!D552,"UBERON:skin of hand"),exact(Metadata!D552,"UBERON:skin of forehead"))))</f>
        <v>0</v>
      </c>
      <c r="T552">
        <f>AND(IF(Metadata!E552="",FALSE,TRUE),exact(Metadata!E552,"human skin metagenome"))</f>
        <v>0</v>
      </c>
      <c r="U552">
        <f>AND(IF(Metadata!F552="",FALSE,TRUE),exact(Metadata!F552,"539655"))</f>
        <v>0</v>
      </c>
    </row>
    <row r="553" spans="1:21">
      <c r="A553" s="4">
        <f>IF(B553=" "," ",HYPERLINK(CONCATENATE("#metadata!",ADDRESS(INDEX($L$2:$L$1001,MATCH(ROWS($J$2:J553),$J$2:$J$1001,0),0),1)),INDEX($O$2:$O$1001,MATCH(ROWS($J$2:J553),$J$2:$J$1001,0),0)))</f>
        <v>0</v>
      </c>
      <c r="B553" s="3">
        <f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>0</v>
      </c>
      <c r="C553" s="3">
        <f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>0</v>
      </c>
      <c r="D553" s="3">
        <f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>0</v>
      </c>
      <c r="E553" s="3">
        <f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>0</v>
      </c>
      <c r="F553" s="3">
        <f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>0</v>
      </c>
      <c r="J553">
        <v>0</v>
      </c>
      <c r="K553">
        <v>0</v>
      </c>
      <c r="L553">
        <v>0</v>
      </c>
      <c r="M553">
        <f>IF(N553,TRUE,AND(Q553:U553))</f>
        <v>0</v>
      </c>
      <c r="N553">
        <f>COUNTBLANK(Metadata!B553:F553)=COLUMNS(Metadata!B553:F553)</f>
        <v>0</v>
      </c>
      <c r="O553">
        <v>0</v>
      </c>
      <c r="Q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>
        <f>AND(IF(Metadata!C553="",FALSE,TRUE),exact(Metadata!C553,"human-skin"))</f>
        <v>0</v>
      </c>
      <c r="S553">
        <f>OR(AND(IF(Metadata!D553="",FALSE,TRUE),OR(exact(Metadata!D553,"missing: not collected"),exact(Metadata!D553,"missing: not provided"))),AND(IF(Metadata!D553="",FALSE,TRUE),OR(exact(Metadata!D553,"UBERON:zone of skin"),exact(Metadata!D553,"UBERON:skin of hand"),exact(Metadata!D553,"UBERON:skin of forehead"))))</f>
        <v>0</v>
      </c>
      <c r="T553">
        <f>AND(IF(Metadata!E553="",FALSE,TRUE),exact(Metadata!E553,"human skin metagenome"))</f>
        <v>0</v>
      </c>
      <c r="U553">
        <f>AND(IF(Metadata!F553="",FALSE,TRUE),exact(Metadata!F553,"539655"))</f>
        <v>0</v>
      </c>
    </row>
    <row r="554" spans="1:21">
      <c r="A554" s="4">
        <f>IF(B554=" "," ",HYPERLINK(CONCATENATE("#metadata!",ADDRESS(INDEX($L$2:$L$1001,MATCH(ROWS($J$2:J554),$J$2:$J$1001,0),0),1)),INDEX($O$2:$O$1001,MATCH(ROWS($J$2:J554),$J$2:$J$1001,0),0)))</f>
        <v>0</v>
      </c>
      <c r="B554" s="3">
        <f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>0</v>
      </c>
      <c r="C554" s="3">
        <f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>0</v>
      </c>
      <c r="D554" s="3">
        <f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>0</v>
      </c>
      <c r="E554" s="3">
        <f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>0</v>
      </c>
      <c r="F554" s="3">
        <f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>0</v>
      </c>
      <c r="J554">
        <v>0</v>
      </c>
      <c r="K554">
        <v>0</v>
      </c>
      <c r="L554">
        <v>0</v>
      </c>
      <c r="M554">
        <f>IF(N554,TRUE,AND(Q554:U554))</f>
        <v>0</v>
      </c>
      <c r="N554">
        <f>COUNTBLANK(Metadata!B554:F554)=COLUMNS(Metadata!B554:F554)</f>
        <v>0</v>
      </c>
      <c r="O554">
        <v>0</v>
      </c>
      <c r="Q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>
        <f>AND(IF(Metadata!C554="",FALSE,TRUE),exact(Metadata!C554,"human-skin"))</f>
        <v>0</v>
      </c>
      <c r="S554">
        <f>OR(AND(IF(Metadata!D554="",FALSE,TRUE),OR(exact(Metadata!D554,"missing: not collected"),exact(Metadata!D554,"missing: not provided"))),AND(IF(Metadata!D554="",FALSE,TRUE),OR(exact(Metadata!D554,"UBERON:zone of skin"),exact(Metadata!D554,"UBERON:skin of hand"),exact(Metadata!D554,"UBERON:skin of forehead"))))</f>
        <v>0</v>
      </c>
      <c r="T554">
        <f>AND(IF(Metadata!E554="",FALSE,TRUE),exact(Metadata!E554,"human skin metagenome"))</f>
        <v>0</v>
      </c>
      <c r="U554">
        <f>AND(IF(Metadata!F554="",FALSE,TRUE),exact(Metadata!F554,"539655"))</f>
        <v>0</v>
      </c>
    </row>
    <row r="555" spans="1:21">
      <c r="A555" s="4">
        <f>IF(B555=" "," ",HYPERLINK(CONCATENATE("#metadata!",ADDRESS(INDEX($L$2:$L$1001,MATCH(ROWS($J$2:J555),$J$2:$J$1001,0),0),1)),INDEX($O$2:$O$1001,MATCH(ROWS($J$2:J555),$J$2:$J$1001,0),0)))</f>
        <v>0</v>
      </c>
      <c r="B555" s="3">
        <f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>0</v>
      </c>
      <c r="C555" s="3">
        <f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>0</v>
      </c>
      <c r="D555" s="3">
        <f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>0</v>
      </c>
      <c r="E555" s="3">
        <f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>0</v>
      </c>
      <c r="F555" s="3">
        <f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>0</v>
      </c>
      <c r="J555">
        <v>0</v>
      </c>
      <c r="K555">
        <v>0</v>
      </c>
      <c r="L555">
        <v>0</v>
      </c>
      <c r="M555">
        <f>IF(N555,TRUE,AND(Q555:U555))</f>
        <v>0</v>
      </c>
      <c r="N555">
        <f>COUNTBLANK(Metadata!B555:F555)=COLUMNS(Metadata!B555:F555)</f>
        <v>0</v>
      </c>
      <c r="O555">
        <v>0</v>
      </c>
      <c r="Q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>
        <f>AND(IF(Metadata!C555="",FALSE,TRUE),exact(Metadata!C555,"human-skin"))</f>
        <v>0</v>
      </c>
      <c r="S555">
        <f>OR(AND(IF(Metadata!D555="",FALSE,TRUE),OR(exact(Metadata!D555,"missing: not collected"),exact(Metadata!D555,"missing: not provided"))),AND(IF(Metadata!D555="",FALSE,TRUE),OR(exact(Metadata!D555,"UBERON:zone of skin"),exact(Metadata!D555,"UBERON:skin of hand"),exact(Metadata!D555,"UBERON:skin of forehead"))))</f>
        <v>0</v>
      </c>
      <c r="T555">
        <f>AND(IF(Metadata!E555="",FALSE,TRUE),exact(Metadata!E555,"human skin metagenome"))</f>
        <v>0</v>
      </c>
      <c r="U555">
        <f>AND(IF(Metadata!F555="",FALSE,TRUE),exact(Metadata!F555,"539655"))</f>
        <v>0</v>
      </c>
    </row>
    <row r="556" spans="1:21">
      <c r="A556" s="4">
        <f>IF(B556=" "," ",HYPERLINK(CONCATENATE("#metadata!",ADDRESS(INDEX($L$2:$L$1001,MATCH(ROWS($J$2:J556),$J$2:$J$1001,0),0),1)),INDEX($O$2:$O$1001,MATCH(ROWS($J$2:J556),$J$2:$J$1001,0),0)))</f>
        <v>0</v>
      </c>
      <c r="B556" s="3">
        <f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>0</v>
      </c>
      <c r="C556" s="3">
        <f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>0</v>
      </c>
      <c r="D556" s="3">
        <f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>0</v>
      </c>
      <c r="E556" s="3">
        <f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>0</v>
      </c>
      <c r="F556" s="3">
        <f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>0</v>
      </c>
      <c r="J556">
        <v>0</v>
      </c>
      <c r="K556">
        <v>0</v>
      </c>
      <c r="L556">
        <v>0</v>
      </c>
      <c r="M556">
        <f>IF(N556,TRUE,AND(Q556:U556))</f>
        <v>0</v>
      </c>
      <c r="N556">
        <f>COUNTBLANK(Metadata!B556:F556)=COLUMNS(Metadata!B556:F556)</f>
        <v>0</v>
      </c>
      <c r="O556">
        <v>0</v>
      </c>
      <c r="Q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>
        <f>AND(IF(Metadata!C556="",FALSE,TRUE),exact(Metadata!C556,"human-skin"))</f>
        <v>0</v>
      </c>
      <c r="S556">
        <f>OR(AND(IF(Metadata!D556="",FALSE,TRUE),OR(exact(Metadata!D556,"missing: not collected"),exact(Metadata!D556,"missing: not provided"))),AND(IF(Metadata!D556="",FALSE,TRUE),OR(exact(Metadata!D556,"UBERON:zone of skin"),exact(Metadata!D556,"UBERON:skin of hand"),exact(Metadata!D556,"UBERON:skin of forehead"))))</f>
        <v>0</v>
      </c>
      <c r="T556">
        <f>AND(IF(Metadata!E556="",FALSE,TRUE),exact(Metadata!E556,"human skin metagenome"))</f>
        <v>0</v>
      </c>
      <c r="U556">
        <f>AND(IF(Metadata!F556="",FALSE,TRUE),exact(Metadata!F556,"539655"))</f>
        <v>0</v>
      </c>
    </row>
    <row r="557" spans="1:21">
      <c r="A557" s="4">
        <f>IF(B557=" "," ",HYPERLINK(CONCATENATE("#metadata!",ADDRESS(INDEX($L$2:$L$1001,MATCH(ROWS($J$2:J557),$J$2:$J$1001,0),0),1)),INDEX($O$2:$O$1001,MATCH(ROWS($J$2:J557),$J$2:$J$1001,0),0)))</f>
        <v>0</v>
      </c>
      <c r="B557" s="3">
        <f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>0</v>
      </c>
      <c r="C557" s="3">
        <f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>0</v>
      </c>
      <c r="D557" s="3">
        <f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>0</v>
      </c>
      <c r="E557" s="3">
        <f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>0</v>
      </c>
      <c r="F557" s="3">
        <f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>0</v>
      </c>
      <c r="J557">
        <v>0</v>
      </c>
      <c r="K557">
        <v>0</v>
      </c>
      <c r="L557">
        <v>0</v>
      </c>
      <c r="M557">
        <f>IF(N557,TRUE,AND(Q557:U557))</f>
        <v>0</v>
      </c>
      <c r="N557">
        <f>COUNTBLANK(Metadata!B557:F557)=COLUMNS(Metadata!B557:F557)</f>
        <v>0</v>
      </c>
      <c r="O557">
        <v>0</v>
      </c>
      <c r="Q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>
        <f>AND(IF(Metadata!C557="",FALSE,TRUE),exact(Metadata!C557,"human-skin"))</f>
        <v>0</v>
      </c>
      <c r="S557">
        <f>OR(AND(IF(Metadata!D557="",FALSE,TRUE),OR(exact(Metadata!D557,"missing: not collected"),exact(Metadata!D557,"missing: not provided"))),AND(IF(Metadata!D557="",FALSE,TRUE),OR(exact(Metadata!D557,"UBERON:zone of skin"),exact(Metadata!D557,"UBERON:skin of hand"),exact(Metadata!D557,"UBERON:skin of forehead"))))</f>
        <v>0</v>
      </c>
      <c r="T557">
        <f>AND(IF(Metadata!E557="",FALSE,TRUE),exact(Metadata!E557,"human skin metagenome"))</f>
        <v>0</v>
      </c>
      <c r="U557">
        <f>AND(IF(Metadata!F557="",FALSE,TRUE),exact(Metadata!F557,"539655"))</f>
        <v>0</v>
      </c>
    </row>
    <row r="558" spans="1:21">
      <c r="A558" s="4">
        <f>IF(B558=" "," ",HYPERLINK(CONCATENATE("#metadata!",ADDRESS(INDEX($L$2:$L$1001,MATCH(ROWS($J$2:J558),$J$2:$J$1001,0),0),1)),INDEX($O$2:$O$1001,MATCH(ROWS($J$2:J558),$J$2:$J$1001,0),0)))</f>
        <v>0</v>
      </c>
      <c r="B558" s="3">
        <f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>0</v>
      </c>
      <c r="C558" s="3">
        <f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>0</v>
      </c>
      <c r="D558" s="3">
        <f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>0</v>
      </c>
      <c r="E558" s="3">
        <f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>0</v>
      </c>
      <c r="F558" s="3">
        <f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>0</v>
      </c>
      <c r="J558">
        <v>0</v>
      </c>
      <c r="K558">
        <v>0</v>
      </c>
      <c r="L558">
        <v>0</v>
      </c>
      <c r="M558">
        <f>IF(N558,TRUE,AND(Q558:U558))</f>
        <v>0</v>
      </c>
      <c r="N558">
        <f>COUNTBLANK(Metadata!B558:F558)=COLUMNS(Metadata!B558:F558)</f>
        <v>0</v>
      </c>
      <c r="O558">
        <v>0</v>
      </c>
      <c r="Q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>
        <f>AND(IF(Metadata!C558="",FALSE,TRUE),exact(Metadata!C558,"human-skin"))</f>
        <v>0</v>
      </c>
      <c r="S558">
        <f>OR(AND(IF(Metadata!D558="",FALSE,TRUE),OR(exact(Metadata!D558,"missing: not collected"),exact(Metadata!D558,"missing: not provided"))),AND(IF(Metadata!D558="",FALSE,TRUE),OR(exact(Metadata!D558,"UBERON:zone of skin"),exact(Metadata!D558,"UBERON:skin of hand"),exact(Metadata!D558,"UBERON:skin of forehead"))))</f>
        <v>0</v>
      </c>
      <c r="T558">
        <f>AND(IF(Metadata!E558="",FALSE,TRUE),exact(Metadata!E558,"human skin metagenome"))</f>
        <v>0</v>
      </c>
      <c r="U558">
        <f>AND(IF(Metadata!F558="",FALSE,TRUE),exact(Metadata!F558,"539655"))</f>
        <v>0</v>
      </c>
    </row>
    <row r="559" spans="1:21">
      <c r="A559" s="4">
        <f>IF(B559=" "," ",HYPERLINK(CONCATENATE("#metadata!",ADDRESS(INDEX($L$2:$L$1001,MATCH(ROWS($J$2:J559),$J$2:$J$1001,0),0),1)),INDEX($O$2:$O$1001,MATCH(ROWS($J$2:J559),$J$2:$J$1001,0),0)))</f>
        <v>0</v>
      </c>
      <c r="B559" s="3">
        <f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>0</v>
      </c>
      <c r="C559" s="3">
        <f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>0</v>
      </c>
      <c r="D559" s="3">
        <f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>0</v>
      </c>
      <c r="E559" s="3">
        <f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>0</v>
      </c>
      <c r="F559" s="3">
        <f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>0</v>
      </c>
      <c r="J559">
        <v>0</v>
      </c>
      <c r="K559">
        <v>0</v>
      </c>
      <c r="L559">
        <v>0</v>
      </c>
      <c r="M559">
        <f>IF(N559,TRUE,AND(Q559:U559))</f>
        <v>0</v>
      </c>
      <c r="N559">
        <f>COUNTBLANK(Metadata!B559:F559)=COLUMNS(Metadata!B559:F559)</f>
        <v>0</v>
      </c>
      <c r="O559">
        <v>0</v>
      </c>
      <c r="Q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>
        <f>AND(IF(Metadata!C559="",FALSE,TRUE),exact(Metadata!C559,"human-skin"))</f>
        <v>0</v>
      </c>
      <c r="S559">
        <f>OR(AND(IF(Metadata!D559="",FALSE,TRUE),OR(exact(Metadata!D559,"missing: not collected"),exact(Metadata!D559,"missing: not provided"))),AND(IF(Metadata!D559="",FALSE,TRUE),OR(exact(Metadata!D559,"UBERON:zone of skin"),exact(Metadata!D559,"UBERON:skin of hand"),exact(Metadata!D559,"UBERON:skin of forehead"))))</f>
        <v>0</v>
      </c>
      <c r="T559">
        <f>AND(IF(Metadata!E559="",FALSE,TRUE),exact(Metadata!E559,"human skin metagenome"))</f>
        <v>0</v>
      </c>
      <c r="U559">
        <f>AND(IF(Metadata!F559="",FALSE,TRUE),exact(Metadata!F559,"539655"))</f>
        <v>0</v>
      </c>
    </row>
    <row r="560" spans="1:21">
      <c r="A560" s="4">
        <f>IF(B560=" "," ",HYPERLINK(CONCATENATE("#metadata!",ADDRESS(INDEX($L$2:$L$1001,MATCH(ROWS($J$2:J560),$J$2:$J$1001,0),0),1)),INDEX($O$2:$O$1001,MATCH(ROWS($J$2:J560),$J$2:$J$1001,0),0)))</f>
        <v>0</v>
      </c>
      <c r="B560" s="3">
        <f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>0</v>
      </c>
      <c r="C560" s="3">
        <f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>0</v>
      </c>
      <c r="D560" s="3">
        <f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>0</v>
      </c>
      <c r="E560" s="3">
        <f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>0</v>
      </c>
      <c r="F560" s="3">
        <f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>0</v>
      </c>
      <c r="J560">
        <v>0</v>
      </c>
      <c r="K560">
        <v>0</v>
      </c>
      <c r="L560">
        <v>0</v>
      </c>
      <c r="M560">
        <f>IF(N560,TRUE,AND(Q560:U560))</f>
        <v>0</v>
      </c>
      <c r="N560">
        <f>COUNTBLANK(Metadata!B560:F560)=COLUMNS(Metadata!B560:F560)</f>
        <v>0</v>
      </c>
      <c r="O560">
        <v>0</v>
      </c>
      <c r="Q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>
        <f>AND(IF(Metadata!C560="",FALSE,TRUE),exact(Metadata!C560,"human-skin"))</f>
        <v>0</v>
      </c>
      <c r="S560">
        <f>OR(AND(IF(Metadata!D560="",FALSE,TRUE),OR(exact(Metadata!D560,"missing: not collected"),exact(Metadata!D560,"missing: not provided"))),AND(IF(Metadata!D560="",FALSE,TRUE),OR(exact(Metadata!D560,"UBERON:zone of skin"),exact(Metadata!D560,"UBERON:skin of hand"),exact(Metadata!D560,"UBERON:skin of forehead"))))</f>
        <v>0</v>
      </c>
      <c r="T560">
        <f>AND(IF(Metadata!E560="",FALSE,TRUE),exact(Metadata!E560,"human skin metagenome"))</f>
        <v>0</v>
      </c>
      <c r="U560">
        <f>AND(IF(Metadata!F560="",FALSE,TRUE),exact(Metadata!F560,"539655"))</f>
        <v>0</v>
      </c>
    </row>
    <row r="561" spans="1:21">
      <c r="A561" s="4">
        <f>IF(B561=" "," ",HYPERLINK(CONCATENATE("#metadata!",ADDRESS(INDEX($L$2:$L$1001,MATCH(ROWS($J$2:J561),$J$2:$J$1001,0),0),1)),INDEX($O$2:$O$1001,MATCH(ROWS($J$2:J561),$J$2:$J$1001,0),0)))</f>
        <v>0</v>
      </c>
      <c r="B561" s="3">
        <f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>0</v>
      </c>
      <c r="C561" s="3">
        <f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>0</v>
      </c>
      <c r="D561" s="3">
        <f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>0</v>
      </c>
      <c r="E561" s="3">
        <f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>0</v>
      </c>
      <c r="F561" s="3">
        <f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>0</v>
      </c>
      <c r="J561">
        <v>0</v>
      </c>
      <c r="K561">
        <v>0</v>
      </c>
      <c r="L561">
        <v>0</v>
      </c>
      <c r="M561">
        <f>IF(N561,TRUE,AND(Q561:U561))</f>
        <v>0</v>
      </c>
      <c r="N561">
        <f>COUNTBLANK(Metadata!B561:F561)=COLUMNS(Metadata!B561:F561)</f>
        <v>0</v>
      </c>
      <c r="O561">
        <v>0</v>
      </c>
      <c r="Q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>
        <f>AND(IF(Metadata!C561="",FALSE,TRUE),exact(Metadata!C561,"human-skin"))</f>
        <v>0</v>
      </c>
      <c r="S561">
        <f>OR(AND(IF(Metadata!D561="",FALSE,TRUE),OR(exact(Metadata!D561,"missing: not collected"),exact(Metadata!D561,"missing: not provided"))),AND(IF(Metadata!D561="",FALSE,TRUE),OR(exact(Metadata!D561,"UBERON:zone of skin"),exact(Metadata!D561,"UBERON:skin of hand"),exact(Metadata!D561,"UBERON:skin of forehead"))))</f>
        <v>0</v>
      </c>
      <c r="T561">
        <f>AND(IF(Metadata!E561="",FALSE,TRUE),exact(Metadata!E561,"human skin metagenome"))</f>
        <v>0</v>
      </c>
      <c r="U561">
        <f>AND(IF(Metadata!F561="",FALSE,TRUE),exact(Metadata!F561,"539655"))</f>
        <v>0</v>
      </c>
    </row>
    <row r="562" spans="1:21">
      <c r="A562" s="4">
        <f>IF(B562=" "," ",HYPERLINK(CONCATENATE("#metadata!",ADDRESS(INDEX($L$2:$L$1001,MATCH(ROWS($J$2:J562),$J$2:$J$1001,0),0),1)),INDEX($O$2:$O$1001,MATCH(ROWS($J$2:J562),$J$2:$J$1001,0),0)))</f>
        <v>0</v>
      </c>
      <c r="B562" s="3">
        <f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>0</v>
      </c>
      <c r="C562" s="3">
        <f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>0</v>
      </c>
      <c r="D562" s="3">
        <f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>0</v>
      </c>
      <c r="E562" s="3">
        <f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>0</v>
      </c>
      <c r="F562" s="3">
        <f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>0</v>
      </c>
      <c r="J562">
        <v>0</v>
      </c>
      <c r="K562">
        <v>0</v>
      </c>
      <c r="L562">
        <v>0</v>
      </c>
      <c r="M562">
        <f>IF(N562,TRUE,AND(Q562:U562))</f>
        <v>0</v>
      </c>
      <c r="N562">
        <f>COUNTBLANK(Metadata!B562:F562)=COLUMNS(Metadata!B562:F562)</f>
        <v>0</v>
      </c>
      <c r="O562">
        <v>0</v>
      </c>
      <c r="Q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>
        <f>AND(IF(Metadata!C562="",FALSE,TRUE),exact(Metadata!C562,"human-skin"))</f>
        <v>0</v>
      </c>
      <c r="S562">
        <f>OR(AND(IF(Metadata!D562="",FALSE,TRUE),OR(exact(Metadata!D562,"missing: not collected"),exact(Metadata!D562,"missing: not provided"))),AND(IF(Metadata!D562="",FALSE,TRUE),OR(exact(Metadata!D562,"UBERON:zone of skin"),exact(Metadata!D562,"UBERON:skin of hand"),exact(Metadata!D562,"UBERON:skin of forehead"))))</f>
        <v>0</v>
      </c>
      <c r="T562">
        <f>AND(IF(Metadata!E562="",FALSE,TRUE),exact(Metadata!E562,"human skin metagenome"))</f>
        <v>0</v>
      </c>
      <c r="U562">
        <f>AND(IF(Metadata!F562="",FALSE,TRUE),exact(Metadata!F562,"539655"))</f>
        <v>0</v>
      </c>
    </row>
    <row r="563" spans="1:21">
      <c r="A563" s="4">
        <f>IF(B563=" "," ",HYPERLINK(CONCATENATE("#metadata!",ADDRESS(INDEX($L$2:$L$1001,MATCH(ROWS($J$2:J563),$J$2:$J$1001,0),0),1)),INDEX($O$2:$O$1001,MATCH(ROWS($J$2:J563),$J$2:$J$1001,0),0)))</f>
        <v>0</v>
      </c>
      <c r="B563" s="3">
        <f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>0</v>
      </c>
      <c r="C563" s="3">
        <f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>0</v>
      </c>
      <c r="D563" s="3">
        <f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>0</v>
      </c>
      <c r="E563" s="3">
        <f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>0</v>
      </c>
      <c r="F563" s="3">
        <f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>0</v>
      </c>
      <c r="J563">
        <v>0</v>
      </c>
      <c r="K563">
        <v>0</v>
      </c>
      <c r="L563">
        <v>0</v>
      </c>
      <c r="M563">
        <f>IF(N563,TRUE,AND(Q563:U563))</f>
        <v>0</v>
      </c>
      <c r="N563">
        <f>COUNTBLANK(Metadata!B563:F563)=COLUMNS(Metadata!B563:F563)</f>
        <v>0</v>
      </c>
      <c r="O563">
        <v>0</v>
      </c>
      <c r="Q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>
        <f>AND(IF(Metadata!C563="",FALSE,TRUE),exact(Metadata!C563,"human-skin"))</f>
        <v>0</v>
      </c>
      <c r="S563">
        <f>OR(AND(IF(Metadata!D563="",FALSE,TRUE),OR(exact(Metadata!D563,"missing: not collected"),exact(Metadata!D563,"missing: not provided"))),AND(IF(Metadata!D563="",FALSE,TRUE),OR(exact(Metadata!D563,"UBERON:zone of skin"),exact(Metadata!D563,"UBERON:skin of hand"),exact(Metadata!D563,"UBERON:skin of forehead"))))</f>
        <v>0</v>
      </c>
      <c r="T563">
        <f>AND(IF(Metadata!E563="",FALSE,TRUE),exact(Metadata!E563,"human skin metagenome"))</f>
        <v>0</v>
      </c>
      <c r="U563">
        <f>AND(IF(Metadata!F563="",FALSE,TRUE),exact(Metadata!F563,"539655"))</f>
        <v>0</v>
      </c>
    </row>
    <row r="564" spans="1:21">
      <c r="A564" s="4">
        <f>IF(B564=" "," ",HYPERLINK(CONCATENATE("#metadata!",ADDRESS(INDEX($L$2:$L$1001,MATCH(ROWS($J$2:J564),$J$2:$J$1001,0),0),1)),INDEX($O$2:$O$1001,MATCH(ROWS($J$2:J564),$J$2:$J$1001,0),0)))</f>
        <v>0</v>
      </c>
      <c r="B564" s="3">
        <f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>0</v>
      </c>
      <c r="C564" s="3">
        <f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>0</v>
      </c>
      <c r="D564" s="3">
        <f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>0</v>
      </c>
      <c r="E564" s="3">
        <f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>0</v>
      </c>
      <c r="F564" s="3">
        <f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>0</v>
      </c>
      <c r="J564">
        <v>0</v>
      </c>
      <c r="K564">
        <v>0</v>
      </c>
      <c r="L564">
        <v>0</v>
      </c>
      <c r="M564">
        <f>IF(N564,TRUE,AND(Q564:U564))</f>
        <v>0</v>
      </c>
      <c r="N564">
        <f>COUNTBLANK(Metadata!B564:F564)=COLUMNS(Metadata!B564:F564)</f>
        <v>0</v>
      </c>
      <c r="O564">
        <v>0</v>
      </c>
      <c r="Q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>
        <f>AND(IF(Metadata!C564="",FALSE,TRUE),exact(Metadata!C564,"human-skin"))</f>
        <v>0</v>
      </c>
      <c r="S564">
        <f>OR(AND(IF(Metadata!D564="",FALSE,TRUE),OR(exact(Metadata!D564,"missing: not collected"),exact(Metadata!D564,"missing: not provided"))),AND(IF(Metadata!D564="",FALSE,TRUE),OR(exact(Metadata!D564,"UBERON:zone of skin"),exact(Metadata!D564,"UBERON:skin of hand"),exact(Metadata!D564,"UBERON:skin of forehead"))))</f>
        <v>0</v>
      </c>
      <c r="T564">
        <f>AND(IF(Metadata!E564="",FALSE,TRUE),exact(Metadata!E564,"human skin metagenome"))</f>
        <v>0</v>
      </c>
      <c r="U564">
        <f>AND(IF(Metadata!F564="",FALSE,TRUE),exact(Metadata!F564,"539655"))</f>
        <v>0</v>
      </c>
    </row>
    <row r="565" spans="1:21">
      <c r="A565" s="4">
        <f>IF(B565=" "," ",HYPERLINK(CONCATENATE("#metadata!",ADDRESS(INDEX($L$2:$L$1001,MATCH(ROWS($J$2:J565),$J$2:$J$1001,0),0),1)),INDEX($O$2:$O$1001,MATCH(ROWS($J$2:J565),$J$2:$J$1001,0),0)))</f>
        <v>0</v>
      </c>
      <c r="B565" s="3">
        <f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>0</v>
      </c>
      <c r="C565" s="3">
        <f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>0</v>
      </c>
      <c r="D565" s="3">
        <f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>0</v>
      </c>
      <c r="E565" s="3">
        <f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>0</v>
      </c>
      <c r="F565" s="3">
        <f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>0</v>
      </c>
      <c r="J565">
        <v>0</v>
      </c>
      <c r="K565">
        <v>0</v>
      </c>
      <c r="L565">
        <v>0</v>
      </c>
      <c r="M565">
        <f>IF(N565,TRUE,AND(Q565:U565))</f>
        <v>0</v>
      </c>
      <c r="N565">
        <f>COUNTBLANK(Metadata!B565:F565)=COLUMNS(Metadata!B565:F565)</f>
        <v>0</v>
      </c>
      <c r="O565">
        <v>0</v>
      </c>
      <c r="Q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>
        <f>AND(IF(Metadata!C565="",FALSE,TRUE),exact(Metadata!C565,"human-skin"))</f>
        <v>0</v>
      </c>
      <c r="S565">
        <f>OR(AND(IF(Metadata!D565="",FALSE,TRUE),OR(exact(Metadata!D565,"missing: not collected"),exact(Metadata!D565,"missing: not provided"))),AND(IF(Metadata!D565="",FALSE,TRUE),OR(exact(Metadata!D565,"UBERON:zone of skin"),exact(Metadata!D565,"UBERON:skin of hand"),exact(Metadata!D565,"UBERON:skin of forehead"))))</f>
        <v>0</v>
      </c>
      <c r="T565">
        <f>AND(IF(Metadata!E565="",FALSE,TRUE),exact(Metadata!E565,"human skin metagenome"))</f>
        <v>0</v>
      </c>
      <c r="U565">
        <f>AND(IF(Metadata!F565="",FALSE,TRUE),exact(Metadata!F565,"539655"))</f>
        <v>0</v>
      </c>
    </row>
    <row r="566" spans="1:21">
      <c r="A566" s="4">
        <f>IF(B566=" "," ",HYPERLINK(CONCATENATE("#metadata!",ADDRESS(INDEX($L$2:$L$1001,MATCH(ROWS($J$2:J566),$J$2:$J$1001,0),0),1)),INDEX($O$2:$O$1001,MATCH(ROWS($J$2:J566),$J$2:$J$1001,0),0)))</f>
        <v>0</v>
      </c>
      <c r="B566" s="3">
        <f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>0</v>
      </c>
      <c r="C566" s="3">
        <f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>0</v>
      </c>
      <c r="D566" s="3">
        <f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>0</v>
      </c>
      <c r="E566" s="3">
        <f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>0</v>
      </c>
      <c r="F566" s="3">
        <f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>0</v>
      </c>
      <c r="J566">
        <v>0</v>
      </c>
      <c r="K566">
        <v>0</v>
      </c>
      <c r="L566">
        <v>0</v>
      </c>
      <c r="M566">
        <f>IF(N566,TRUE,AND(Q566:U566))</f>
        <v>0</v>
      </c>
      <c r="N566">
        <f>COUNTBLANK(Metadata!B566:F566)=COLUMNS(Metadata!B566:F566)</f>
        <v>0</v>
      </c>
      <c r="O566">
        <v>0</v>
      </c>
      <c r="Q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>
        <f>AND(IF(Metadata!C566="",FALSE,TRUE),exact(Metadata!C566,"human-skin"))</f>
        <v>0</v>
      </c>
      <c r="S566">
        <f>OR(AND(IF(Metadata!D566="",FALSE,TRUE),OR(exact(Metadata!D566,"missing: not collected"),exact(Metadata!D566,"missing: not provided"))),AND(IF(Metadata!D566="",FALSE,TRUE),OR(exact(Metadata!D566,"UBERON:zone of skin"),exact(Metadata!D566,"UBERON:skin of hand"),exact(Metadata!D566,"UBERON:skin of forehead"))))</f>
        <v>0</v>
      </c>
      <c r="T566">
        <f>AND(IF(Metadata!E566="",FALSE,TRUE),exact(Metadata!E566,"human skin metagenome"))</f>
        <v>0</v>
      </c>
      <c r="U566">
        <f>AND(IF(Metadata!F566="",FALSE,TRUE),exact(Metadata!F566,"539655"))</f>
        <v>0</v>
      </c>
    </row>
    <row r="567" spans="1:21">
      <c r="A567" s="4">
        <f>IF(B567=" "," ",HYPERLINK(CONCATENATE("#metadata!",ADDRESS(INDEX($L$2:$L$1001,MATCH(ROWS($J$2:J567),$J$2:$J$1001,0),0),1)),INDEX($O$2:$O$1001,MATCH(ROWS($J$2:J567),$J$2:$J$1001,0),0)))</f>
        <v>0</v>
      </c>
      <c r="B567" s="3">
        <f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>0</v>
      </c>
      <c r="C567" s="3">
        <f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>0</v>
      </c>
      <c r="D567" s="3">
        <f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>0</v>
      </c>
      <c r="E567" s="3">
        <f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>0</v>
      </c>
      <c r="F567" s="3">
        <f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>0</v>
      </c>
      <c r="J567">
        <v>0</v>
      </c>
      <c r="K567">
        <v>0</v>
      </c>
      <c r="L567">
        <v>0</v>
      </c>
      <c r="M567">
        <f>IF(N567,TRUE,AND(Q567:U567))</f>
        <v>0</v>
      </c>
      <c r="N567">
        <f>COUNTBLANK(Metadata!B567:F567)=COLUMNS(Metadata!B567:F567)</f>
        <v>0</v>
      </c>
      <c r="O567">
        <v>0</v>
      </c>
      <c r="Q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>
        <f>AND(IF(Metadata!C567="",FALSE,TRUE),exact(Metadata!C567,"human-skin"))</f>
        <v>0</v>
      </c>
      <c r="S567">
        <f>OR(AND(IF(Metadata!D567="",FALSE,TRUE),OR(exact(Metadata!D567,"missing: not collected"),exact(Metadata!D567,"missing: not provided"))),AND(IF(Metadata!D567="",FALSE,TRUE),OR(exact(Metadata!D567,"UBERON:zone of skin"),exact(Metadata!D567,"UBERON:skin of hand"),exact(Metadata!D567,"UBERON:skin of forehead"))))</f>
        <v>0</v>
      </c>
      <c r="T567">
        <f>AND(IF(Metadata!E567="",FALSE,TRUE),exact(Metadata!E567,"human skin metagenome"))</f>
        <v>0</v>
      </c>
      <c r="U567">
        <f>AND(IF(Metadata!F567="",FALSE,TRUE),exact(Metadata!F567,"539655"))</f>
        <v>0</v>
      </c>
    </row>
    <row r="568" spans="1:21">
      <c r="A568" s="4">
        <f>IF(B568=" "," ",HYPERLINK(CONCATENATE("#metadata!",ADDRESS(INDEX($L$2:$L$1001,MATCH(ROWS($J$2:J568),$J$2:$J$1001,0),0),1)),INDEX($O$2:$O$1001,MATCH(ROWS($J$2:J568),$J$2:$J$1001,0),0)))</f>
        <v>0</v>
      </c>
      <c r="B568" s="3">
        <f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>0</v>
      </c>
      <c r="C568" s="3">
        <f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>0</v>
      </c>
      <c r="D568" s="3">
        <f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>0</v>
      </c>
      <c r="E568" s="3">
        <f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>0</v>
      </c>
      <c r="F568" s="3">
        <f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>0</v>
      </c>
      <c r="J568">
        <v>0</v>
      </c>
      <c r="K568">
        <v>0</v>
      </c>
      <c r="L568">
        <v>0</v>
      </c>
      <c r="M568">
        <f>IF(N568,TRUE,AND(Q568:U568))</f>
        <v>0</v>
      </c>
      <c r="N568">
        <f>COUNTBLANK(Metadata!B568:F568)=COLUMNS(Metadata!B568:F568)</f>
        <v>0</v>
      </c>
      <c r="O568">
        <v>0</v>
      </c>
      <c r="Q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>
        <f>AND(IF(Metadata!C568="",FALSE,TRUE),exact(Metadata!C568,"human-skin"))</f>
        <v>0</v>
      </c>
      <c r="S568">
        <f>OR(AND(IF(Metadata!D568="",FALSE,TRUE),OR(exact(Metadata!D568,"missing: not collected"),exact(Metadata!D568,"missing: not provided"))),AND(IF(Metadata!D568="",FALSE,TRUE),OR(exact(Metadata!D568,"UBERON:zone of skin"),exact(Metadata!D568,"UBERON:skin of hand"),exact(Metadata!D568,"UBERON:skin of forehead"))))</f>
        <v>0</v>
      </c>
      <c r="T568">
        <f>AND(IF(Metadata!E568="",FALSE,TRUE),exact(Metadata!E568,"human skin metagenome"))</f>
        <v>0</v>
      </c>
      <c r="U568">
        <f>AND(IF(Metadata!F568="",FALSE,TRUE),exact(Metadata!F568,"539655"))</f>
        <v>0</v>
      </c>
    </row>
    <row r="569" spans="1:21">
      <c r="A569" s="4">
        <f>IF(B569=" "," ",HYPERLINK(CONCATENATE("#metadata!",ADDRESS(INDEX($L$2:$L$1001,MATCH(ROWS($J$2:J569),$J$2:$J$1001,0),0),1)),INDEX($O$2:$O$1001,MATCH(ROWS($J$2:J569),$J$2:$J$1001,0),0)))</f>
        <v>0</v>
      </c>
      <c r="B569" s="3">
        <f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>0</v>
      </c>
      <c r="C569" s="3">
        <f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>0</v>
      </c>
      <c r="D569" s="3">
        <f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>0</v>
      </c>
      <c r="E569" s="3">
        <f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>0</v>
      </c>
      <c r="F569" s="3">
        <f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>0</v>
      </c>
      <c r="J569">
        <v>0</v>
      </c>
      <c r="K569">
        <v>0</v>
      </c>
      <c r="L569">
        <v>0</v>
      </c>
      <c r="M569">
        <f>IF(N569,TRUE,AND(Q569:U569))</f>
        <v>0</v>
      </c>
      <c r="N569">
        <f>COUNTBLANK(Metadata!B569:F569)=COLUMNS(Metadata!B569:F569)</f>
        <v>0</v>
      </c>
      <c r="O569">
        <v>0</v>
      </c>
      <c r="Q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>
        <f>AND(IF(Metadata!C569="",FALSE,TRUE),exact(Metadata!C569,"human-skin"))</f>
        <v>0</v>
      </c>
      <c r="S569">
        <f>OR(AND(IF(Metadata!D569="",FALSE,TRUE),OR(exact(Metadata!D569,"missing: not collected"),exact(Metadata!D569,"missing: not provided"))),AND(IF(Metadata!D569="",FALSE,TRUE),OR(exact(Metadata!D569,"UBERON:zone of skin"),exact(Metadata!D569,"UBERON:skin of hand"),exact(Metadata!D569,"UBERON:skin of forehead"))))</f>
        <v>0</v>
      </c>
      <c r="T569">
        <f>AND(IF(Metadata!E569="",FALSE,TRUE),exact(Metadata!E569,"human skin metagenome"))</f>
        <v>0</v>
      </c>
      <c r="U569">
        <f>AND(IF(Metadata!F569="",FALSE,TRUE),exact(Metadata!F569,"539655"))</f>
        <v>0</v>
      </c>
    </row>
    <row r="570" spans="1:21">
      <c r="A570" s="4">
        <f>IF(B570=" "," ",HYPERLINK(CONCATENATE("#metadata!",ADDRESS(INDEX($L$2:$L$1001,MATCH(ROWS($J$2:J570),$J$2:$J$1001,0),0),1)),INDEX($O$2:$O$1001,MATCH(ROWS($J$2:J570),$J$2:$J$1001,0),0)))</f>
        <v>0</v>
      </c>
      <c r="B570" s="3">
        <f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>0</v>
      </c>
      <c r="C570" s="3">
        <f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>0</v>
      </c>
      <c r="D570" s="3">
        <f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>0</v>
      </c>
      <c r="E570" s="3">
        <f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>0</v>
      </c>
      <c r="F570" s="3">
        <f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>0</v>
      </c>
      <c r="J570">
        <v>0</v>
      </c>
      <c r="K570">
        <v>0</v>
      </c>
      <c r="L570">
        <v>0</v>
      </c>
      <c r="M570">
        <f>IF(N570,TRUE,AND(Q570:U570))</f>
        <v>0</v>
      </c>
      <c r="N570">
        <f>COUNTBLANK(Metadata!B570:F570)=COLUMNS(Metadata!B570:F570)</f>
        <v>0</v>
      </c>
      <c r="O570">
        <v>0</v>
      </c>
      <c r="Q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>
        <f>AND(IF(Metadata!C570="",FALSE,TRUE),exact(Metadata!C570,"human-skin"))</f>
        <v>0</v>
      </c>
      <c r="S570">
        <f>OR(AND(IF(Metadata!D570="",FALSE,TRUE),OR(exact(Metadata!D570,"missing: not collected"),exact(Metadata!D570,"missing: not provided"))),AND(IF(Metadata!D570="",FALSE,TRUE),OR(exact(Metadata!D570,"UBERON:zone of skin"),exact(Metadata!D570,"UBERON:skin of hand"),exact(Metadata!D570,"UBERON:skin of forehead"))))</f>
        <v>0</v>
      </c>
      <c r="T570">
        <f>AND(IF(Metadata!E570="",FALSE,TRUE),exact(Metadata!E570,"human skin metagenome"))</f>
        <v>0</v>
      </c>
      <c r="U570">
        <f>AND(IF(Metadata!F570="",FALSE,TRUE),exact(Metadata!F570,"539655"))</f>
        <v>0</v>
      </c>
    </row>
    <row r="571" spans="1:21">
      <c r="A571" s="4">
        <f>IF(B571=" "," ",HYPERLINK(CONCATENATE("#metadata!",ADDRESS(INDEX($L$2:$L$1001,MATCH(ROWS($J$2:J571),$J$2:$J$1001,0),0),1)),INDEX($O$2:$O$1001,MATCH(ROWS($J$2:J571),$J$2:$J$1001,0),0)))</f>
        <v>0</v>
      </c>
      <c r="B571" s="3">
        <f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>0</v>
      </c>
      <c r="C571" s="3">
        <f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>0</v>
      </c>
      <c r="D571" s="3">
        <f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>0</v>
      </c>
      <c r="E571" s="3">
        <f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>0</v>
      </c>
      <c r="F571" s="3">
        <f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>0</v>
      </c>
      <c r="J571">
        <v>0</v>
      </c>
      <c r="K571">
        <v>0</v>
      </c>
      <c r="L571">
        <v>0</v>
      </c>
      <c r="M571">
        <f>IF(N571,TRUE,AND(Q571:U571))</f>
        <v>0</v>
      </c>
      <c r="N571">
        <f>COUNTBLANK(Metadata!B571:F571)=COLUMNS(Metadata!B571:F571)</f>
        <v>0</v>
      </c>
      <c r="O571">
        <v>0</v>
      </c>
      <c r="Q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>
        <f>AND(IF(Metadata!C571="",FALSE,TRUE),exact(Metadata!C571,"human-skin"))</f>
        <v>0</v>
      </c>
      <c r="S571">
        <f>OR(AND(IF(Metadata!D571="",FALSE,TRUE),OR(exact(Metadata!D571,"missing: not collected"),exact(Metadata!D571,"missing: not provided"))),AND(IF(Metadata!D571="",FALSE,TRUE),OR(exact(Metadata!D571,"UBERON:zone of skin"),exact(Metadata!D571,"UBERON:skin of hand"),exact(Metadata!D571,"UBERON:skin of forehead"))))</f>
        <v>0</v>
      </c>
      <c r="T571">
        <f>AND(IF(Metadata!E571="",FALSE,TRUE),exact(Metadata!E571,"human skin metagenome"))</f>
        <v>0</v>
      </c>
      <c r="U571">
        <f>AND(IF(Metadata!F571="",FALSE,TRUE),exact(Metadata!F571,"539655"))</f>
        <v>0</v>
      </c>
    </row>
    <row r="572" spans="1:21">
      <c r="A572" s="4">
        <f>IF(B572=" "," ",HYPERLINK(CONCATENATE("#metadata!",ADDRESS(INDEX($L$2:$L$1001,MATCH(ROWS($J$2:J572),$J$2:$J$1001,0),0),1)),INDEX($O$2:$O$1001,MATCH(ROWS($J$2:J572),$J$2:$J$1001,0),0)))</f>
        <v>0</v>
      </c>
      <c r="B572" s="3">
        <f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>0</v>
      </c>
      <c r="C572" s="3">
        <f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>0</v>
      </c>
      <c r="D572" s="3">
        <f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>0</v>
      </c>
      <c r="E572" s="3">
        <f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>0</v>
      </c>
      <c r="F572" s="3">
        <f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>0</v>
      </c>
      <c r="J572">
        <v>0</v>
      </c>
      <c r="K572">
        <v>0</v>
      </c>
      <c r="L572">
        <v>0</v>
      </c>
      <c r="M572">
        <f>IF(N572,TRUE,AND(Q572:U572))</f>
        <v>0</v>
      </c>
      <c r="N572">
        <f>COUNTBLANK(Metadata!B572:F572)=COLUMNS(Metadata!B572:F572)</f>
        <v>0</v>
      </c>
      <c r="O572">
        <v>0</v>
      </c>
      <c r="Q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>
        <f>AND(IF(Metadata!C572="",FALSE,TRUE),exact(Metadata!C572,"human-skin"))</f>
        <v>0</v>
      </c>
      <c r="S572">
        <f>OR(AND(IF(Metadata!D572="",FALSE,TRUE),OR(exact(Metadata!D572,"missing: not collected"),exact(Metadata!D572,"missing: not provided"))),AND(IF(Metadata!D572="",FALSE,TRUE),OR(exact(Metadata!D572,"UBERON:zone of skin"),exact(Metadata!D572,"UBERON:skin of hand"),exact(Metadata!D572,"UBERON:skin of forehead"))))</f>
        <v>0</v>
      </c>
      <c r="T572">
        <f>AND(IF(Metadata!E572="",FALSE,TRUE),exact(Metadata!E572,"human skin metagenome"))</f>
        <v>0</v>
      </c>
      <c r="U572">
        <f>AND(IF(Metadata!F572="",FALSE,TRUE),exact(Metadata!F572,"539655"))</f>
        <v>0</v>
      </c>
    </row>
    <row r="573" spans="1:21">
      <c r="A573" s="4">
        <f>IF(B573=" "," ",HYPERLINK(CONCATENATE("#metadata!",ADDRESS(INDEX($L$2:$L$1001,MATCH(ROWS($J$2:J573),$J$2:$J$1001,0),0),1)),INDEX($O$2:$O$1001,MATCH(ROWS($J$2:J573),$J$2:$J$1001,0),0)))</f>
        <v>0</v>
      </c>
      <c r="B573" s="3">
        <f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>0</v>
      </c>
      <c r="C573" s="3">
        <f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>0</v>
      </c>
      <c r="D573" s="3">
        <f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>0</v>
      </c>
      <c r="E573" s="3">
        <f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>0</v>
      </c>
      <c r="F573" s="3">
        <f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>0</v>
      </c>
      <c r="J573">
        <v>0</v>
      </c>
      <c r="K573">
        <v>0</v>
      </c>
      <c r="L573">
        <v>0</v>
      </c>
      <c r="M573">
        <f>IF(N573,TRUE,AND(Q573:U573))</f>
        <v>0</v>
      </c>
      <c r="N573">
        <f>COUNTBLANK(Metadata!B573:F573)=COLUMNS(Metadata!B573:F573)</f>
        <v>0</v>
      </c>
      <c r="O573">
        <v>0</v>
      </c>
      <c r="Q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>
        <f>AND(IF(Metadata!C573="",FALSE,TRUE),exact(Metadata!C573,"human-skin"))</f>
        <v>0</v>
      </c>
      <c r="S573">
        <f>OR(AND(IF(Metadata!D573="",FALSE,TRUE),OR(exact(Metadata!D573,"missing: not collected"),exact(Metadata!D573,"missing: not provided"))),AND(IF(Metadata!D573="",FALSE,TRUE),OR(exact(Metadata!D573,"UBERON:zone of skin"),exact(Metadata!D573,"UBERON:skin of hand"),exact(Metadata!D573,"UBERON:skin of forehead"))))</f>
        <v>0</v>
      </c>
      <c r="T573">
        <f>AND(IF(Metadata!E573="",FALSE,TRUE),exact(Metadata!E573,"human skin metagenome"))</f>
        <v>0</v>
      </c>
      <c r="U573">
        <f>AND(IF(Metadata!F573="",FALSE,TRUE),exact(Metadata!F573,"539655"))</f>
        <v>0</v>
      </c>
    </row>
    <row r="574" spans="1:21">
      <c r="A574" s="4">
        <f>IF(B574=" "," ",HYPERLINK(CONCATENATE("#metadata!",ADDRESS(INDEX($L$2:$L$1001,MATCH(ROWS($J$2:J574),$J$2:$J$1001,0),0),1)),INDEX($O$2:$O$1001,MATCH(ROWS($J$2:J574),$J$2:$J$1001,0),0)))</f>
        <v>0</v>
      </c>
      <c r="B574" s="3">
        <f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>0</v>
      </c>
      <c r="C574" s="3">
        <f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>0</v>
      </c>
      <c r="D574" s="3">
        <f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>0</v>
      </c>
      <c r="E574" s="3">
        <f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>0</v>
      </c>
      <c r="F574" s="3">
        <f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>0</v>
      </c>
      <c r="J574">
        <v>0</v>
      </c>
      <c r="K574">
        <v>0</v>
      </c>
      <c r="L574">
        <v>0</v>
      </c>
      <c r="M574">
        <f>IF(N574,TRUE,AND(Q574:U574))</f>
        <v>0</v>
      </c>
      <c r="N574">
        <f>COUNTBLANK(Metadata!B574:F574)=COLUMNS(Metadata!B574:F574)</f>
        <v>0</v>
      </c>
      <c r="O574">
        <v>0</v>
      </c>
      <c r="Q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>
        <f>AND(IF(Metadata!C574="",FALSE,TRUE),exact(Metadata!C574,"human-skin"))</f>
        <v>0</v>
      </c>
      <c r="S574">
        <f>OR(AND(IF(Metadata!D574="",FALSE,TRUE),OR(exact(Metadata!D574,"missing: not collected"),exact(Metadata!D574,"missing: not provided"))),AND(IF(Metadata!D574="",FALSE,TRUE),OR(exact(Metadata!D574,"UBERON:zone of skin"),exact(Metadata!D574,"UBERON:skin of hand"),exact(Metadata!D574,"UBERON:skin of forehead"))))</f>
        <v>0</v>
      </c>
      <c r="T574">
        <f>AND(IF(Metadata!E574="",FALSE,TRUE),exact(Metadata!E574,"human skin metagenome"))</f>
        <v>0</v>
      </c>
      <c r="U574">
        <f>AND(IF(Metadata!F574="",FALSE,TRUE),exact(Metadata!F574,"539655"))</f>
        <v>0</v>
      </c>
    </row>
    <row r="575" spans="1:21">
      <c r="A575" s="4">
        <f>IF(B575=" "," ",HYPERLINK(CONCATENATE("#metadata!",ADDRESS(INDEX($L$2:$L$1001,MATCH(ROWS($J$2:J575),$J$2:$J$1001,0),0),1)),INDEX($O$2:$O$1001,MATCH(ROWS($J$2:J575),$J$2:$J$1001,0),0)))</f>
        <v>0</v>
      </c>
      <c r="B575" s="3">
        <f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>0</v>
      </c>
      <c r="C575" s="3">
        <f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>0</v>
      </c>
      <c r="D575" s="3">
        <f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>0</v>
      </c>
      <c r="E575" s="3">
        <f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>0</v>
      </c>
      <c r="F575" s="3">
        <f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>0</v>
      </c>
      <c r="J575">
        <v>0</v>
      </c>
      <c r="K575">
        <v>0</v>
      </c>
      <c r="L575">
        <v>0</v>
      </c>
      <c r="M575">
        <f>IF(N575,TRUE,AND(Q575:U575))</f>
        <v>0</v>
      </c>
      <c r="N575">
        <f>COUNTBLANK(Metadata!B575:F575)=COLUMNS(Metadata!B575:F575)</f>
        <v>0</v>
      </c>
      <c r="O575">
        <v>0</v>
      </c>
      <c r="Q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>
        <f>AND(IF(Metadata!C575="",FALSE,TRUE),exact(Metadata!C575,"human-skin"))</f>
        <v>0</v>
      </c>
      <c r="S575">
        <f>OR(AND(IF(Metadata!D575="",FALSE,TRUE),OR(exact(Metadata!D575,"missing: not collected"),exact(Metadata!D575,"missing: not provided"))),AND(IF(Metadata!D575="",FALSE,TRUE),OR(exact(Metadata!D575,"UBERON:zone of skin"),exact(Metadata!D575,"UBERON:skin of hand"),exact(Metadata!D575,"UBERON:skin of forehead"))))</f>
        <v>0</v>
      </c>
      <c r="T575">
        <f>AND(IF(Metadata!E575="",FALSE,TRUE),exact(Metadata!E575,"human skin metagenome"))</f>
        <v>0</v>
      </c>
      <c r="U575">
        <f>AND(IF(Metadata!F575="",FALSE,TRUE),exact(Metadata!F575,"539655"))</f>
        <v>0</v>
      </c>
    </row>
    <row r="576" spans="1:21">
      <c r="A576" s="4">
        <f>IF(B576=" "," ",HYPERLINK(CONCATENATE("#metadata!",ADDRESS(INDEX($L$2:$L$1001,MATCH(ROWS($J$2:J576),$J$2:$J$1001,0),0),1)),INDEX($O$2:$O$1001,MATCH(ROWS($J$2:J576),$J$2:$J$1001,0),0)))</f>
        <v>0</v>
      </c>
      <c r="B576" s="3">
        <f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>0</v>
      </c>
      <c r="C576" s="3">
        <f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>0</v>
      </c>
      <c r="D576" s="3">
        <f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>0</v>
      </c>
      <c r="E576" s="3">
        <f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>0</v>
      </c>
      <c r="F576" s="3">
        <f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>0</v>
      </c>
      <c r="J576">
        <v>0</v>
      </c>
      <c r="K576">
        <v>0</v>
      </c>
      <c r="L576">
        <v>0</v>
      </c>
      <c r="M576">
        <f>IF(N576,TRUE,AND(Q576:U576))</f>
        <v>0</v>
      </c>
      <c r="N576">
        <f>COUNTBLANK(Metadata!B576:F576)=COLUMNS(Metadata!B576:F576)</f>
        <v>0</v>
      </c>
      <c r="O576">
        <v>0</v>
      </c>
      <c r="Q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>
        <f>AND(IF(Metadata!C576="",FALSE,TRUE),exact(Metadata!C576,"human-skin"))</f>
        <v>0</v>
      </c>
      <c r="S576">
        <f>OR(AND(IF(Metadata!D576="",FALSE,TRUE),OR(exact(Metadata!D576,"missing: not collected"),exact(Metadata!D576,"missing: not provided"))),AND(IF(Metadata!D576="",FALSE,TRUE),OR(exact(Metadata!D576,"UBERON:zone of skin"),exact(Metadata!D576,"UBERON:skin of hand"),exact(Metadata!D576,"UBERON:skin of forehead"))))</f>
        <v>0</v>
      </c>
      <c r="T576">
        <f>AND(IF(Metadata!E576="",FALSE,TRUE),exact(Metadata!E576,"human skin metagenome"))</f>
        <v>0</v>
      </c>
      <c r="U576">
        <f>AND(IF(Metadata!F576="",FALSE,TRUE),exact(Metadata!F576,"539655"))</f>
        <v>0</v>
      </c>
    </row>
    <row r="577" spans="1:21">
      <c r="A577" s="4">
        <f>IF(B577=" "," ",HYPERLINK(CONCATENATE("#metadata!",ADDRESS(INDEX($L$2:$L$1001,MATCH(ROWS($J$2:J577),$J$2:$J$1001,0),0),1)),INDEX($O$2:$O$1001,MATCH(ROWS($J$2:J577),$J$2:$J$1001,0),0)))</f>
        <v>0</v>
      </c>
      <c r="B577" s="3">
        <f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>0</v>
      </c>
      <c r="C577" s="3">
        <f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>0</v>
      </c>
      <c r="D577" s="3">
        <f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>0</v>
      </c>
      <c r="E577" s="3">
        <f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>0</v>
      </c>
      <c r="F577" s="3">
        <f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>0</v>
      </c>
      <c r="J577">
        <v>0</v>
      </c>
      <c r="K577">
        <v>0</v>
      </c>
      <c r="L577">
        <v>0</v>
      </c>
      <c r="M577">
        <f>IF(N577,TRUE,AND(Q577:U577))</f>
        <v>0</v>
      </c>
      <c r="N577">
        <f>COUNTBLANK(Metadata!B577:F577)=COLUMNS(Metadata!B577:F577)</f>
        <v>0</v>
      </c>
      <c r="O577">
        <v>0</v>
      </c>
      <c r="Q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>
        <f>AND(IF(Metadata!C577="",FALSE,TRUE),exact(Metadata!C577,"human-skin"))</f>
        <v>0</v>
      </c>
      <c r="S577">
        <f>OR(AND(IF(Metadata!D577="",FALSE,TRUE),OR(exact(Metadata!D577,"missing: not collected"),exact(Metadata!D577,"missing: not provided"))),AND(IF(Metadata!D577="",FALSE,TRUE),OR(exact(Metadata!D577,"UBERON:zone of skin"),exact(Metadata!D577,"UBERON:skin of hand"),exact(Metadata!D577,"UBERON:skin of forehead"))))</f>
        <v>0</v>
      </c>
      <c r="T577">
        <f>AND(IF(Metadata!E577="",FALSE,TRUE),exact(Metadata!E577,"human skin metagenome"))</f>
        <v>0</v>
      </c>
      <c r="U577">
        <f>AND(IF(Metadata!F577="",FALSE,TRUE),exact(Metadata!F577,"539655"))</f>
        <v>0</v>
      </c>
    </row>
    <row r="578" spans="1:21">
      <c r="A578" s="4">
        <f>IF(B578=" "," ",HYPERLINK(CONCATENATE("#metadata!",ADDRESS(INDEX($L$2:$L$1001,MATCH(ROWS($J$2:J578),$J$2:$J$1001,0),0),1)),INDEX($O$2:$O$1001,MATCH(ROWS($J$2:J578),$J$2:$J$1001,0),0)))</f>
        <v>0</v>
      </c>
      <c r="B578" s="3">
        <f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>0</v>
      </c>
      <c r="C578" s="3">
        <f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>0</v>
      </c>
      <c r="D578" s="3">
        <f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>0</v>
      </c>
      <c r="E578" s="3">
        <f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>0</v>
      </c>
      <c r="F578" s="3">
        <f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>0</v>
      </c>
      <c r="J578">
        <v>0</v>
      </c>
      <c r="K578">
        <v>0</v>
      </c>
      <c r="L578">
        <v>0</v>
      </c>
      <c r="M578">
        <f>IF(N578,TRUE,AND(Q578:U578))</f>
        <v>0</v>
      </c>
      <c r="N578">
        <f>COUNTBLANK(Metadata!B578:F578)=COLUMNS(Metadata!B578:F578)</f>
        <v>0</v>
      </c>
      <c r="O578">
        <v>0</v>
      </c>
      <c r="Q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>
        <f>AND(IF(Metadata!C578="",FALSE,TRUE),exact(Metadata!C578,"human-skin"))</f>
        <v>0</v>
      </c>
      <c r="S578">
        <f>OR(AND(IF(Metadata!D578="",FALSE,TRUE),OR(exact(Metadata!D578,"missing: not collected"),exact(Metadata!D578,"missing: not provided"))),AND(IF(Metadata!D578="",FALSE,TRUE),OR(exact(Metadata!D578,"UBERON:zone of skin"),exact(Metadata!D578,"UBERON:skin of hand"),exact(Metadata!D578,"UBERON:skin of forehead"))))</f>
        <v>0</v>
      </c>
      <c r="T578">
        <f>AND(IF(Metadata!E578="",FALSE,TRUE),exact(Metadata!E578,"human skin metagenome"))</f>
        <v>0</v>
      </c>
      <c r="U578">
        <f>AND(IF(Metadata!F578="",FALSE,TRUE),exact(Metadata!F578,"539655"))</f>
        <v>0</v>
      </c>
    </row>
    <row r="579" spans="1:21">
      <c r="A579" s="4">
        <f>IF(B579=" "," ",HYPERLINK(CONCATENATE("#metadata!",ADDRESS(INDEX($L$2:$L$1001,MATCH(ROWS($J$2:J579),$J$2:$J$1001,0),0),1)),INDEX($O$2:$O$1001,MATCH(ROWS($J$2:J579),$J$2:$J$1001,0),0)))</f>
        <v>0</v>
      </c>
      <c r="B579" s="3">
        <f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>0</v>
      </c>
      <c r="C579" s="3">
        <f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>0</v>
      </c>
      <c r="D579" s="3">
        <f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>0</v>
      </c>
      <c r="E579" s="3">
        <f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>0</v>
      </c>
      <c r="F579" s="3">
        <f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>0</v>
      </c>
      <c r="J579">
        <v>0</v>
      </c>
      <c r="K579">
        <v>0</v>
      </c>
      <c r="L579">
        <v>0</v>
      </c>
      <c r="M579">
        <f>IF(N579,TRUE,AND(Q579:U579))</f>
        <v>0</v>
      </c>
      <c r="N579">
        <f>COUNTBLANK(Metadata!B579:F579)=COLUMNS(Metadata!B579:F579)</f>
        <v>0</v>
      </c>
      <c r="O579">
        <v>0</v>
      </c>
      <c r="Q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>
        <f>AND(IF(Metadata!C579="",FALSE,TRUE),exact(Metadata!C579,"human-skin"))</f>
        <v>0</v>
      </c>
      <c r="S579">
        <f>OR(AND(IF(Metadata!D579="",FALSE,TRUE),OR(exact(Metadata!D579,"missing: not collected"),exact(Metadata!D579,"missing: not provided"))),AND(IF(Metadata!D579="",FALSE,TRUE),OR(exact(Metadata!D579,"UBERON:zone of skin"),exact(Metadata!D579,"UBERON:skin of hand"),exact(Metadata!D579,"UBERON:skin of forehead"))))</f>
        <v>0</v>
      </c>
      <c r="T579">
        <f>AND(IF(Metadata!E579="",FALSE,TRUE),exact(Metadata!E579,"human skin metagenome"))</f>
        <v>0</v>
      </c>
      <c r="U579">
        <f>AND(IF(Metadata!F579="",FALSE,TRUE),exact(Metadata!F579,"539655"))</f>
        <v>0</v>
      </c>
    </row>
    <row r="580" spans="1:21">
      <c r="A580" s="4">
        <f>IF(B580=" "," ",HYPERLINK(CONCATENATE("#metadata!",ADDRESS(INDEX($L$2:$L$1001,MATCH(ROWS($J$2:J580),$J$2:$J$1001,0),0),1)),INDEX($O$2:$O$1001,MATCH(ROWS($J$2:J580),$J$2:$J$1001,0),0)))</f>
        <v>0</v>
      </c>
      <c r="B580" s="3">
        <f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>0</v>
      </c>
      <c r="C580" s="3">
        <f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>0</v>
      </c>
      <c r="D580" s="3">
        <f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>0</v>
      </c>
      <c r="E580" s="3">
        <f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>0</v>
      </c>
      <c r="F580" s="3">
        <f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>0</v>
      </c>
      <c r="J580">
        <v>0</v>
      </c>
      <c r="K580">
        <v>0</v>
      </c>
      <c r="L580">
        <v>0</v>
      </c>
      <c r="M580">
        <f>IF(N580,TRUE,AND(Q580:U580))</f>
        <v>0</v>
      </c>
      <c r="N580">
        <f>COUNTBLANK(Metadata!B580:F580)=COLUMNS(Metadata!B580:F580)</f>
        <v>0</v>
      </c>
      <c r="O580">
        <v>0</v>
      </c>
      <c r="Q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>
        <f>AND(IF(Metadata!C580="",FALSE,TRUE),exact(Metadata!C580,"human-skin"))</f>
        <v>0</v>
      </c>
      <c r="S580">
        <f>OR(AND(IF(Metadata!D580="",FALSE,TRUE),OR(exact(Metadata!D580,"missing: not collected"),exact(Metadata!D580,"missing: not provided"))),AND(IF(Metadata!D580="",FALSE,TRUE),OR(exact(Metadata!D580,"UBERON:zone of skin"),exact(Metadata!D580,"UBERON:skin of hand"),exact(Metadata!D580,"UBERON:skin of forehead"))))</f>
        <v>0</v>
      </c>
      <c r="T580">
        <f>AND(IF(Metadata!E580="",FALSE,TRUE),exact(Metadata!E580,"human skin metagenome"))</f>
        <v>0</v>
      </c>
      <c r="U580">
        <f>AND(IF(Metadata!F580="",FALSE,TRUE),exact(Metadata!F580,"539655"))</f>
        <v>0</v>
      </c>
    </row>
    <row r="581" spans="1:21">
      <c r="A581" s="4">
        <f>IF(B581=" "," ",HYPERLINK(CONCATENATE("#metadata!",ADDRESS(INDEX($L$2:$L$1001,MATCH(ROWS($J$2:J581),$J$2:$J$1001,0),0),1)),INDEX($O$2:$O$1001,MATCH(ROWS($J$2:J581),$J$2:$J$1001,0),0)))</f>
        <v>0</v>
      </c>
      <c r="B581" s="3">
        <f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>0</v>
      </c>
      <c r="C581" s="3">
        <f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>0</v>
      </c>
      <c r="D581" s="3">
        <f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>0</v>
      </c>
      <c r="E581" s="3">
        <f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>0</v>
      </c>
      <c r="F581" s="3">
        <f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>0</v>
      </c>
      <c r="J581">
        <v>0</v>
      </c>
      <c r="K581">
        <v>0</v>
      </c>
      <c r="L581">
        <v>0</v>
      </c>
      <c r="M581">
        <f>IF(N581,TRUE,AND(Q581:U581))</f>
        <v>0</v>
      </c>
      <c r="N581">
        <f>COUNTBLANK(Metadata!B581:F581)=COLUMNS(Metadata!B581:F581)</f>
        <v>0</v>
      </c>
      <c r="O581">
        <v>0</v>
      </c>
      <c r="Q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>
        <f>AND(IF(Metadata!C581="",FALSE,TRUE),exact(Metadata!C581,"human-skin"))</f>
        <v>0</v>
      </c>
      <c r="S581">
        <f>OR(AND(IF(Metadata!D581="",FALSE,TRUE),OR(exact(Metadata!D581,"missing: not collected"),exact(Metadata!D581,"missing: not provided"))),AND(IF(Metadata!D581="",FALSE,TRUE),OR(exact(Metadata!D581,"UBERON:zone of skin"),exact(Metadata!D581,"UBERON:skin of hand"),exact(Metadata!D581,"UBERON:skin of forehead"))))</f>
        <v>0</v>
      </c>
      <c r="T581">
        <f>AND(IF(Metadata!E581="",FALSE,TRUE),exact(Metadata!E581,"human skin metagenome"))</f>
        <v>0</v>
      </c>
      <c r="U581">
        <f>AND(IF(Metadata!F581="",FALSE,TRUE),exact(Metadata!F581,"539655"))</f>
        <v>0</v>
      </c>
    </row>
    <row r="582" spans="1:21">
      <c r="A582" s="4">
        <f>IF(B582=" "," ",HYPERLINK(CONCATENATE("#metadata!",ADDRESS(INDEX($L$2:$L$1001,MATCH(ROWS($J$2:J582),$J$2:$J$1001,0),0),1)),INDEX($O$2:$O$1001,MATCH(ROWS($J$2:J582),$J$2:$J$1001,0),0)))</f>
        <v>0</v>
      </c>
      <c r="B582" s="3">
        <f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>0</v>
      </c>
      <c r="C582" s="3">
        <f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>0</v>
      </c>
      <c r="D582" s="3">
        <f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>0</v>
      </c>
      <c r="E582" s="3">
        <f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>0</v>
      </c>
      <c r="F582" s="3">
        <f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>0</v>
      </c>
      <c r="J582">
        <v>0</v>
      </c>
      <c r="K582">
        <v>0</v>
      </c>
      <c r="L582">
        <v>0</v>
      </c>
      <c r="M582">
        <f>IF(N582,TRUE,AND(Q582:U582))</f>
        <v>0</v>
      </c>
      <c r="N582">
        <f>COUNTBLANK(Metadata!B582:F582)=COLUMNS(Metadata!B582:F582)</f>
        <v>0</v>
      </c>
      <c r="O582">
        <v>0</v>
      </c>
      <c r="Q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>
        <f>AND(IF(Metadata!C582="",FALSE,TRUE),exact(Metadata!C582,"human-skin"))</f>
        <v>0</v>
      </c>
      <c r="S582">
        <f>OR(AND(IF(Metadata!D582="",FALSE,TRUE),OR(exact(Metadata!D582,"missing: not collected"),exact(Metadata!D582,"missing: not provided"))),AND(IF(Metadata!D582="",FALSE,TRUE),OR(exact(Metadata!D582,"UBERON:zone of skin"),exact(Metadata!D582,"UBERON:skin of hand"),exact(Metadata!D582,"UBERON:skin of forehead"))))</f>
        <v>0</v>
      </c>
      <c r="T582">
        <f>AND(IF(Metadata!E582="",FALSE,TRUE),exact(Metadata!E582,"human skin metagenome"))</f>
        <v>0</v>
      </c>
      <c r="U582">
        <f>AND(IF(Metadata!F582="",FALSE,TRUE),exact(Metadata!F582,"539655"))</f>
        <v>0</v>
      </c>
    </row>
    <row r="583" spans="1:21">
      <c r="A583" s="4">
        <f>IF(B583=" "," ",HYPERLINK(CONCATENATE("#metadata!",ADDRESS(INDEX($L$2:$L$1001,MATCH(ROWS($J$2:J583),$J$2:$J$1001,0),0),1)),INDEX($O$2:$O$1001,MATCH(ROWS($J$2:J583),$J$2:$J$1001,0),0)))</f>
        <v>0</v>
      </c>
      <c r="B583" s="3">
        <f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>0</v>
      </c>
      <c r="C583" s="3">
        <f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>0</v>
      </c>
      <c r="D583" s="3">
        <f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>0</v>
      </c>
      <c r="E583" s="3">
        <f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>0</v>
      </c>
      <c r="F583" s="3">
        <f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>0</v>
      </c>
      <c r="J583">
        <v>0</v>
      </c>
      <c r="K583">
        <v>0</v>
      </c>
      <c r="L583">
        <v>0</v>
      </c>
      <c r="M583">
        <f>IF(N583,TRUE,AND(Q583:U583))</f>
        <v>0</v>
      </c>
      <c r="N583">
        <f>COUNTBLANK(Metadata!B583:F583)=COLUMNS(Metadata!B583:F583)</f>
        <v>0</v>
      </c>
      <c r="O583">
        <v>0</v>
      </c>
      <c r="Q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>
        <f>AND(IF(Metadata!C583="",FALSE,TRUE),exact(Metadata!C583,"human-skin"))</f>
        <v>0</v>
      </c>
      <c r="S583">
        <f>OR(AND(IF(Metadata!D583="",FALSE,TRUE),OR(exact(Metadata!D583,"missing: not collected"),exact(Metadata!D583,"missing: not provided"))),AND(IF(Metadata!D583="",FALSE,TRUE),OR(exact(Metadata!D583,"UBERON:zone of skin"),exact(Metadata!D583,"UBERON:skin of hand"),exact(Metadata!D583,"UBERON:skin of forehead"))))</f>
        <v>0</v>
      </c>
      <c r="T583">
        <f>AND(IF(Metadata!E583="",FALSE,TRUE),exact(Metadata!E583,"human skin metagenome"))</f>
        <v>0</v>
      </c>
      <c r="U583">
        <f>AND(IF(Metadata!F583="",FALSE,TRUE),exact(Metadata!F583,"539655"))</f>
        <v>0</v>
      </c>
    </row>
    <row r="584" spans="1:21">
      <c r="A584" s="4">
        <f>IF(B584=" "," ",HYPERLINK(CONCATENATE("#metadata!",ADDRESS(INDEX($L$2:$L$1001,MATCH(ROWS($J$2:J584),$J$2:$J$1001,0),0),1)),INDEX($O$2:$O$1001,MATCH(ROWS($J$2:J584),$J$2:$J$1001,0),0)))</f>
        <v>0</v>
      </c>
      <c r="B584" s="3">
        <f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>0</v>
      </c>
      <c r="C584" s="3">
        <f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>0</v>
      </c>
      <c r="D584" s="3">
        <f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>0</v>
      </c>
      <c r="E584" s="3">
        <f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>0</v>
      </c>
      <c r="F584" s="3">
        <f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>0</v>
      </c>
      <c r="J584">
        <v>0</v>
      </c>
      <c r="K584">
        <v>0</v>
      </c>
      <c r="L584">
        <v>0</v>
      </c>
      <c r="M584">
        <f>IF(N584,TRUE,AND(Q584:U584))</f>
        <v>0</v>
      </c>
      <c r="N584">
        <f>COUNTBLANK(Metadata!B584:F584)=COLUMNS(Metadata!B584:F584)</f>
        <v>0</v>
      </c>
      <c r="O584">
        <v>0</v>
      </c>
      <c r="Q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>
        <f>AND(IF(Metadata!C584="",FALSE,TRUE),exact(Metadata!C584,"human-skin"))</f>
        <v>0</v>
      </c>
      <c r="S584">
        <f>OR(AND(IF(Metadata!D584="",FALSE,TRUE),OR(exact(Metadata!D584,"missing: not collected"),exact(Metadata!D584,"missing: not provided"))),AND(IF(Metadata!D584="",FALSE,TRUE),OR(exact(Metadata!D584,"UBERON:zone of skin"),exact(Metadata!D584,"UBERON:skin of hand"),exact(Metadata!D584,"UBERON:skin of forehead"))))</f>
        <v>0</v>
      </c>
      <c r="T584">
        <f>AND(IF(Metadata!E584="",FALSE,TRUE),exact(Metadata!E584,"human skin metagenome"))</f>
        <v>0</v>
      </c>
      <c r="U584">
        <f>AND(IF(Metadata!F584="",FALSE,TRUE),exact(Metadata!F584,"539655"))</f>
        <v>0</v>
      </c>
    </row>
    <row r="585" spans="1:21">
      <c r="A585" s="4">
        <f>IF(B585=" "," ",HYPERLINK(CONCATENATE("#metadata!",ADDRESS(INDEX($L$2:$L$1001,MATCH(ROWS($J$2:J585),$J$2:$J$1001,0),0),1)),INDEX($O$2:$O$1001,MATCH(ROWS($J$2:J585),$J$2:$J$1001,0),0)))</f>
        <v>0</v>
      </c>
      <c r="B585" s="3">
        <f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>0</v>
      </c>
      <c r="C585" s="3">
        <f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>0</v>
      </c>
      <c r="D585" s="3">
        <f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>0</v>
      </c>
      <c r="E585" s="3">
        <f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>0</v>
      </c>
      <c r="F585" s="3">
        <f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>0</v>
      </c>
      <c r="J585">
        <v>0</v>
      </c>
      <c r="K585">
        <v>0</v>
      </c>
      <c r="L585">
        <v>0</v>
      </c>
      <c r="M585">
        <f>IF(N585,TRUE,AND(Q585:U585))</f>
        <v>0</v>
      </c>
      <c r="N585">
        <f>COUNTBLANK(Metadata!B585:F585)=COLUMNS(Metadata!B585:F585)</f>
        <v>0</v>
      </c>
      <c r="O585">
        <v>0</v>
      </c>
      <c r="Q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>
        <f>AND(IF(Metadata!C585="",FALSE,TRUE),exact(Metadata!C585,"human-skin"))</f>
        <v>0</v>
      </c>
      <c r="S585">
        <f>OR(AND(IF(Metadata!D585="",FALSE,TRUE),OR(exact(Metadata!D585,"missing: not collected"),exact(Metadata!D585,"missing: not provided"))),AND(IF(Metadata!D585="",FALSE,TRUE),OR(exact(Metadata!D585,"UBERON:zone of skin"),exact(Metadata!D585,"UBERON:skin of hand"),exact(Metadata!D585,"UBERON:skin of forehead"))))</f>
        <v>0</v>
      </c>
      <c r="T585">
        <f>AND(IF(Metadata!E585="",FALSE,TRUE),exact(Metadata!E585,"human skin metagenome"))</f>
        <v>0</v>
      </c>
      <c r="U585">
        <f>AND(IF(Metadata!F585="",FALSE,TRUE),exact(Metadata!F585,"539655"))</f>
        <v>0</v>
      </c>
    </row>
    <row r="586" spans="1:21">
      <c r="A586" s="4">
        <f>IF(B586=" "," ",HYPERLINK(CONCATENATE("#metadata!",ADDRESS(INDEX($L$2:$L$1001,MATCH(ROWS($J$2:J586),$J$2:$J$1001,0),0),1)),INDEX($O$2:$O$1001,MATCH(ROWS($J$2:J586),$J$2:$J$1001,0),0)))</f>
        <v>0</v>
      </c>
      <c r="B586" s="3">
        <f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>0</v>
      </c>
      <c r="C586" s="3">
        <f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>0</v>
      </c>
      <c r="D586" s="3">
        <f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>0</v>
      </c>
      <c r="E586" s="3">
        <f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>0</v>
      </c>
      <c r="F586" s="3">
        <f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>0</v>
      </c>
      <c r="J586">
        <v>0</v>
      </c>
      <c r="K586">
        <v>0</v>
      </c>
      <c r="L586">
        <v>0</v>
      </c>
      <c r="M586">
        <f>IF(N586,TRUE,AND(Q586:U586))</f>
        <v>0</v>
      </c>
      <c r="N586">
        <f>COUNTBLANK(Metadata!B586:F586)=COLUMNS(Metadata!B586:F586)</f>
        <v>0</v>
      </c>
      <c r="O586">
        <v>0</v>
      </c>
      <c r="Q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>
        <f>AND(IF(Metadata!C586="",FALSE,TRUE),exact(Metadata!C586,"human-skin"))</f>
        <v>0</v>
      </c>
      <c r="S586">
        <f>OR(AND(IF(Metadata!D586="",FALSE,TRUE),OR(exact(Metadata!D586,"missing: not collected"),exact(Metadata!D586,"missing: not provided"))),AND(IF(Metadata!D586="",FALSE,TRUE),OR(exact(Metadata!D586,"UBERON:zone of skin"),exact(Metadata!D586,"UBERON:skin of hand"),exact(Metadata!D586,"UBERON:skin of forehead"))))</f>
        <v>0</v>
      </c>
      <c r="T586">
        <f>AND(IF(Metadata!E586="",FALSE,TRUE),exact(Metadata!E586,"human skin metagenome"))</f>
        <v>0</v>
      </c>
      <c r="U586">
        <f>AND(IF(Metadata!F586="",FALSE,TRUE),exact(Metadata!F586,"539655"))</f>
        <v>0</v>
      </c>
    </row>
    <row r="587" spans="1:21">
      <c r="A587" s="4">
        <f>IF(B587=" "," ",HYPERLINK(CONCATENATE("#metadata!",ADDRESS(INDEX($L$2:$L$1001,MATCH(ROWS($J$2:J587),$J$2:$J$1001,0),0),1)),INDEX($O$2:$O$1001,MATCH(ROWS($J$2:J587),$J$2:$J$1001,0),0)))</f>
        <v>0</v>
      </c>
      <c r="B587" s="3">
        <f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>0</v>
      </c>
      <c r="C587" s="3">
        <f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>0</v>
      </c>
      <c r="D587" s="3">
        <f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>0</v>
      </c>
      <c r="E587" s="3">
        <f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>0</v>
      </c>
      <c r="F587" s="3">
        <f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>0</v>
      </c>
      <c r="J587">
        <v>0</v>
      </c>
      <c r="K587">
        <v>0</v>
      </c>
      <c r="L587">
        <v>0</v>
      </c>
      <c r="M587">
        <f>IF(N587,TRUE,AND(Q587:U587))</f>
        <v>0</v>
      </c>
      <c r="N587">
        <f>COUNTBLANK(Metadata!B587:F587)=COLUMNS(Metadata!B587:F587)</f>
        <v>0</v>
      </c>
      <c r="O587">
        <v>0</v>
      </c>
      <c r="Q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>
        <f>AND(IF(Metadata!C587="",FALSE,TRUE),exact(Metadata!C587,"human-skin"))</f>
        <v>0</v>
      </c>
      <c r="S587">
        <f>OR(AND(IF(Metadata!D587="",FALSE,TRUE),OR(exact(Metadata!D587,"missing: not collected"),exact(Metadata!D587,"missing: not provided"))),AND(IF(Metadata!D587="",FALSE,TRUE),OR(exact(Metadata!D587,"UBERON:zone of skin"),exact(Metadata!D587,"UBERON:skin of hand"),exact(Metadata!D587,"UBERON:skin of forehead"))))</f>
        <v>0</v>
      </c>
      <c r="T587">
        <f>AND(IF(Metadata!E587="",FALSE,TRUE),exact(Metadata!E587,"human skin metagenome"))</f>
        <v>0</v>
      </c>
      <c r="U587">
        <f>AND(IF(Metadata!F587="",FALSE,TRUE),exact(Metadata!F587,"539655"))</f>
        <v>0</v>
      </c>
    </row>
    <row r="588" spans="1:21">
      <c r="A588" s="4">
        <f>IF(B588=" "," ",HYPERLINK(CONCATENATE("#metadata!",ADDRESS(INDEX($L$2:$L$1001,MATCH(ROWS($J$2:J588),$J$2:$J$1001,0),0),1)),INDEX($O$2:$O$1001,MATCH(ROWS($J$2:J588),$J$2:$J$1001,0),0)))</f>
        <v>0</v>
      </c>
      <c r="B588" s="3">
        <f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>0</v>
      </c>
      <c r="C588" s="3">
        <f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>0</v>
      </c>
      <c r="D588" s="3">
        <f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>0</v>
      </c>
      <c r="E588" s="3">
        <f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>0</v>
      </c>
      <c r="F588" s="3">
        <f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>0</v>
      </c>
      <c r="J588">
        <v>0</v>
      </c>
      <c r="K588">
        <v>0</v>
      </c>
      <c r="L588">
        <v>0</v>
      </c>
      <c r="M588">
        <f>IF(N588,TRUE,AND(Q588:U588))</f>
        <v>0</v>
      </c>
      <c r="N588">
        <f>COUNTBLANK(Metadata!B588:F588)=COLUMNS(Metadata!B588:F588)</f>
        <v>0</v>
      </c>
      <c r="O588">
        <v>0</v>
      </c>
      <c r="Q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>
        <f>AND(IF(Metadata!C588="",FALSE,TRUE),exact(Metadata!C588,"human-skin"))</f>
        <v>0</v>
      </c>
      <c r="S588">
        <f>OR(AND(IF(Metadata!D588="",FALSE,TRUE),OR(exact(Metadata!D588,"missing: not collected"),exact(Metadata!D588,"missing: not provided"))),AND(IF(Metadata!D588="",FALSE,TRUE),OR(exact(Metadata!D588,"UBERON:zone of skin"),exact(Metadata!D588,"UBERON:skin of hand"),exact(Metadata!D588,"UBERON:skin of forehead"))))</f>
        <v>0</v>
      </c>
      <c r="T588">
        <f>AND(IF(Metadata!E588="",FALSE,TRUE),exact(Metadata!E588,"human skin metagenome"))</f>
        <v>0</v>
      </c>
      <c r="U588">
        <f>AND(IF(Metadata!F588="",FALSE,TRUE),exact(Metadata!F588,"539655"))</f>
        <v>0</v>
      </c>
    </row>
    <row r="589" spans="1:21">
      <c r="A589" s="4">
        <f>IF(B589=" "," ",HYPERLINK(CONCATENATE("#metadata!",ADDRESS(INDEX($L$2:$L$1001,MATCH(ROWS($J$2:J589),$J$2:$J$1001,0),0),1)),INDEX($O$2:$O$1001,MATCH(ROWS($J$2:J589),$J$2:$J$1001,0),0)))</f>
        <v>0</v>
      </c>
      <c r="B589" s="3">
        <f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>0</v>
      </c>
      <c r="C589" s="3">
        <f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>0</v>
      </c>
      <c r="D589" s="3">
        <f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>0</v>
      </c>
      <c r="E589" s="3">
        <f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>0</v>
      </c>
      <c r="F589" s="3">
        <f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>0</v>
      </c>
      <c r="J589">
        <v>0</v>
      </c>
      <c r="K589">
        <v>0</v>
      </c>
      <c r="L589">
        <v>0</v>
      </c>
      <c r="M589">
        <f>IF(N589,TRUE,AND(Q589:U589))</f>
        <v>0</v>
      </c>
      <c r="N589">
        <f>COUNTBLANK(Metadata!B589:F589)=COLUMNS(Metadata!B589:F589)</f>
        <v>0</v>
      </c>
      <c r="O589">
        <v>0</v>
      </c>
      <c r="Q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>
        <f>AND(IF(Metadata!C589="",FALSE,TRUE),exact(Metadata!C589,"human-skin"))</f>
        <v>0</v>
      </c>
      <c r="S589">
        <f>OR(AND(IF(Metadata!D589="",FALSE,TRUE),OR(exact(Metadata!D589,"missing: not collected"),exact(Metadata!D589,"missing: not provided"))),AND(IF(Metadata!D589="",FALSE,TRUE),OR(exact(Metadata!D589,"UBERON:zone of skin"),exact(Metadata!D589,"UBERON:skin of hand"),exact(Metadata!D589,"UBERON:skin of forehead"))))</f>
        <v>0</v>
      </c>
      <c r="T589">
        <f>AND(IF(Metadata!E589="",FALSE,TRUE),exact(Metadata!E589,"human skin metagenome"))</f>
        <v>0</v>
      </c>
      <c r="U589">
        <f>AND(IF(Metadata!F589="",FALSE,TRUE),exact(Metadata!F589,"539655"))</f>
        <v>0</v>
      </c>
    </row>
    <row r="590" spans="1:21">
      <c r="A590" s="4">
        <f>IF(B590=" "," ",HYPERLINK(CONCATENATE("#metadata!",ADDRESS(INDEX($L$2:$L$1001,MATCH(ROWS($J$2:J590),$J$2:$J$1001,0),0),1)),INDEX($O$2:$O$1001,MATCH(ROWS($J$2:J590),$J$2:$J$1001,0),0)))</f>
        <v>0</v>
      </c>
      <c r="B590" s="3">
        <f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>0</v>
      </c>
      <c r="C590" s="3">
        <f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>0</v>
      </c>
      <c r="D590" s="3">
        <f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>0</v>
      </c>
      <c r="E590" s="3">
        <f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>0</v>
      </c>
      <c r="F590" s="3">
        <f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>0</v>
      </c>
      <c r="J590">
        <v>0</v>
      </c>
      <c r="K590">
        <v>0</v>
      </c>
      <c r="L590">
        <v>0</v>
      </c>
      <c r="M590">
        <f>IF(N590,TRUE,AND(Q590:U590))</f>
        <v>0</v>
      </c>
      <c r="N590">
        <f>COUNTBLANK(Metadata!B590:F590)=COLUMNS(Metadata!B590:F590)</f>
        <v>0</v>
      </c>
      <c r="O590">
        <v>0</v>
      </c>
      <c r="Q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>
        <f>AND(IF(Metadata!C590="",FALSE,TRUE),exact(Metadata!C590,"human-skin"))</f>
        <v>0</v>
      </c>
      <c r="S590">
        <f>OR(AND(IF(Metadata!D590="",FALSE,TRUE),OR(exact(Metadata!D590,"missing: not collected"),exact(Metadata!D590,"missing: not provided"))),AND(IF(Metadata!D590="",FALSE,TRUE),OR(exact(Metadata!D590,"UBERON:zone of skin"),exact(Metadata!D590,"UBERON:skin of hand"),exact(Metadata!D590,"UBERON:skin of forehead"))))</f>
        <v>0</v>
      </c>
      <c r="T590">
        <f>AND(IF(Metadata!E590="",FALSE,TRUE),exact(Metadata!E590,"human skin metagenome"))</f>
        <v>0</v>
      </c>
      <c r="U590">
        <f>AND(IF(Metadata!F590="",FALSE,TRUE),exact(Metadata!F590,"539655"))</f>
        <v>0</v>
      </c>
    </row>
    <row r="591" spans="1:21">
      <c r="A591" s="4">
        <f>IF(B591=" "," ",HYPERLINK(CONCATENATE("#metadata!",ADDRESS(INDEX($L$2:$L$1001,MATCH(ROWS($J$2:J591),$J$2:$J$1001,0),0),1)),INDEX($O$2:$O$1001,MATCH(ROWS($J$2:J591),$J$2:$J$1001,0),0)))</f>
        <v>0</v>
      </c>
      <c r="B591" s="3">
        <f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>0</v>
      </c>
      <c r="C591" s="3">
        <f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>0</v>
      </c>
      <c r="D591" s="3">
        <f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>0</v>
      </c>
      <c r="E591" s="3">
        <f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>0</v>
      </c>
      <c r="F591" s="3">
        <f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>0</v>
      </c>
      <c r="J591">
        <v>0</v>
      </c>
      <c r="K591">
        <v>0</v>
      </c>
      <c r="L591">
        <v>0</v>
      </c>
      <c r="M591">
        <f>IF(N591,TRUE,AND(Q591:U591))</f>
        <v>0</v>
      </c>
      <c r="N591">
        <f>COUNTBLANK(Metadata!B591:F591)=COLUMNS(Metadata!B591:F591)</f>
        <v>0</v>
      </c>
      <c r="O591">
        <v>0</v>
      </c>
      <c r="Q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>
        <f>AND(IF(Metadata!C591="",FALSE,TRUE),exact(Metadata!C591,"human-skin"))</f>
        <v>0</v>
      </c>
      <c r="S591">
        <f>OR(AND(IF(Metadata!D591="",FALSE,TRUE),OR(exact(Metadata!D591,"missing: not collected"),exact(Metadata!D591,"missing: not provided"))),AND(IF(Metadata!D591="",FALSE,TRUE),OR(exact(Metadata!D591,"UBERON:zone of skin"),exact(Metadata!D591,"UBERON:skin of hand"),exact(Metadata!D591,"UBERON:skin of forehead"))))</f>
        <v>0</v>
      </c>
      <c r="T591">
        <f>AND(IF(Metadata!E591="",FALSE,TRUE),exact(Metadata!E591,"human skin metagenome"))</f>
        <v>0</v>
      </c>
      <c r="U591">
        <f>AND(IF(Metadata!F591="",FALSE,TRUE),exact(Metadata!F591,"539655"))</f>
        <v>0</v>
      </c>
    </row>
    <row r="592" spans="1:21">
      <c r="A592" s="4">
        <f>IF(B592=" "," ",HYPERLINK(CONCATENATE("#metadata!",ADDRESS(INDEX($L$2:$L$1001,MATCH(ROWS($J$2:J592),$J$2:$J$1001,0),0),1)),INDEX($O$2:$O$1001,MATCH(ROWS($J$2:J592),$J$2:$J$1001,0),0)))</f>
        <v>0</v>
      </c>
      <c r="B592" s="3">
        <f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>0</v>
      </c>
      <c r="C592" s="3">
        <f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>0</v>
      </c>
      <c r="D592" s="3">
        <f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>0</v>
      </c>
      <c r="E592" s="3">
        <f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>0</v>
      </c>
      <c r="F592" s="3">
        <f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>0</v>
      </c>
      <c r="J592">
        <v>0</v>
      </c>
      <c r="K592">
        <v>0</v>
      </c>
      <c r="L592">
        <v>0</v>
      </c>
      <c r="M592">
        <f>IF(N592,TRUE,AND(Q592:U592))</f>
        <v>0</v>
      </c>
      <c r="N592">
        <f>COUNTBLANK(Metadata!B592:F592)=COLUMNS(Metadata!B592:F592)</f>
        <v>0</v>
      </c>
      <c r="O592">
        <v>0</v>
      </c>
      <c r="Q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>
        <f>AND(IF(Metadata!C592="",FALSE,TRUE),exact(Metadata!C592,"human-skin"))</f>
        <v>0</v>
      </c>
      <c r="S592">
        <f>OR(AND(IF(Metadata!D592="",FALSE,TRUE),OR(exact(Metadata!D592,"missing: not collected"),exact(Metadata!D592,"missing: not provided"))),AND(IF(Metadata!D592="",FALSE,TRUE),OR(exact(Metadata!D592,"UBERON:zone of skin"),exact(Metadata!D592,"UBERON:skin of hand"),exact(Metadata!D592,"UBERON:skin of forehead"))))</f>
        <v>0</v>
      </c>
      <c r="T592">
        <f>AND(IF(Metadata!E592="",FALSE,TRUE),exact(Metadata!E592,"human skin metagenome"))</f>
        <v>0</v>
      </c>
      <c r="U592">
        <f>AND(IF(Metadata!F592="",FALSE,TRUE),exact(Metadata!F592,"539655"))</f>
        <v>0</v>
      </c>
    </row>
    <row r="593" spans="1:21">
      <c r="A593" s="4">
        <f>IF(B593=" "," ",HYPERLINK(CONCATENATE("#metadata!",ADDRESS(INDEX($L$2:$L$1001,MATCH(ROWS($J$2:J593),$J$2:$J$1001,0),0),1)),INDEX($O$2:$O$1001,MATCH(ROWS($J$2:J593),$J$2:$J$1001,0),0)))</f>
        <v>0</v>
      </c>
      <c r="B593" s="3">
        <f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>0</v>
      </c>
      <c r="C593" s="3">
        <f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>0</v>
      </c>
      <c r="D593" s="3">
        <f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>0</v>
      </c>
      <c r="E593" s="3">
        <f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>0</v>
      </c>
      <c r="F593" s="3">
        <f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>0</v>
      </c>
      <c r="J593">
        <v>0</v>
      </c>
      <c r="K593">
        <v>0</v>
      </c>
      <c r="L593">
        <v>0</v>
      </c>
      <c r="M593">
        <f>IF(N593,TRUE,AND(Q593:U593))</f>
        <v>0</v>
      </c>
      <c r="N593">
        <f>COUNTBLANK(Metadata!B593:F593)=COLUMNS(Metadata!B593:F593)</f>
        <v>0</v>
      </c>
      <c r="O593">
        <v>0</v>
      </c>
      <c r="Q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>
        <f>AND(IF(Metadata!C593="",FALSE,TRUE),exact(Metadata!C593,"human-skin"))</f>
        <v>0</v>
      </c>
      <c r="S593">
        <f>OR(AND(IF(Metadata!D593="",FALSE,TRUE),OR(exact(Metadata!D593,"missing: not collected"),exact(Metadata!D593,"missing: not provided"))),AND(IF(Metadata!D593="",FALSE,TRUE),OR(exact(Metadata!D593,"UBERON:zone of skin"),exact(Metadata!D593,"UBERON:skin of hand"),exact(Metadata!D593,"UBERON:skin of forehead"))))</f>
        <v>0</v>
      </c>
      <c r="T593">
        <f>AND(IF(Metadata!E593="",FALSE,TRUE),exact(Metadata!E593,"human skin metagenome"))</f>
        <v>0</v>
      </c>
      <c r="U593">
        <f>AND(IF(Metadata!F593="",FALSE,TRUE),exact(Metadata!F593,"539655"))</f>
        <v>0</v>
      </c>
    </row>
    <row r="594" spans="1:21">
      <c r="A594" s="4">
        <f>IF(B594=" "," ",HYPERLINK(CONCATENATE("#metadata!",ADDRESS(INDEX($L$2:$L$1001,MATCH(ROWS($J$2:J594),$J$2:$J$1001,0),0),1)),INDEX($O$2:$O$1001,MATCH(ROWS($J$2:J594),$J$2:$J$1001,0),0)))</f>
        <v>0</v>
      </c>
      <c r="B594" s="3">
        <f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>0</v>
      </c>
      <c r="C594" s="3">
        <f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>0</v>
      </c>
      <c r="D594" s="3">
        <f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>0</v>
      </c>
      <c r="E594" s="3">
        <f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>0</v>
      </c>
      <c r="F594" s="3">
        <f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>0</v>
      </c>
      <c r="J594">
        <v>0</v>
      </c>
      <c r="K594">
        <v>0</v>
      </c>
      <c r="L594">
        <v>0</v>
      </c>
      <c r="M594">
        <f>IF(N594,TRUE,AND(Q594:U594))</f>
        <v>0</v>
      </c>
      <c r="N594">
        <f>COUNTBLANK(Metadata!B594:F594)=COLUMNS(Metadata!B594:F594)</f>
        <v>0</v>
      </c>
      <c r="O594">
        <v>0</v>
      </c>
      <c r="Q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>
        <f>AND(IF(Metadata!C594="",FALSE,TRUE),exact(Metadata!C594,"human-skin"))</f>
        <v>0</v>
      </c>
      <c r="S594">
        <f>OR(AND(IF(Metadata!D594="",FALSE,TRUE),OR(exact(Metadata!D594,"missing: not collected"),exact(Metadata!D594,"missing: not provided"))),AND(IF(Metadata!D594="",FALSE,TRUE),OR(exact(Metadata!D594,"UBERON:zone of skin"),exact(Metadata!D594,"UBERON:skin of hand"),exact(Metadata!D594,"UBERON:skin of forehead"))))</f>
        <v>0</v>
      </c>
      <c r="T594">
        <f>AND(IF(Metadata!E594="",FALSE,TRUE),exact(Metadata!E594,"human skin metagenome"))</f>
        <v>0</v>
      </c>
      <c r="U594">
        <f>AND(IF(Metadata!F594="",FALSE,TRUE),exact(Metadata!F594,"539655"))</f>
        <v>0</v>
      </c>
    </row>
    <row r="595" spans="1:21">
      <c r="A595" s="4">
        <f>IF(B595=" "," ",HYPERLINK(CONCATENATE("#metadata!",ADDRESS(INDEX($L$2:$L$1001,MATCH(ROWS($J$2:J595),$J$2:$J$1001,0),0),1)),INDEX($O$2:$O$1001,MATCH(ROWS($J$2:J595),$J$2:$J$1001,0),0)))</f>
        <v>0</v>
      </c>
      <c r="B595" s="3">
        <f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>0</v>
      </c>
      <c r="C595" s="3">
        <f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>0</v>
      </c>
      <c r="D595" s="3">
        <f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>0</v>
      </c>
      <c r="E595" s="3">
        <f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>0</v>
      </c>
      <c r="F595" s="3">
        <f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>0</v>
      </c>
      <c r="J595">
        <v>0</v>
      </c>
      <c r="K595">
        <v>0</v>
      </c>
      <c r="L595">
        <v>0</v>
      </c>
      <c r="M595">
        <f>IF(N595,TRUE,AND(Q595:U595))</f>
        <v>0</v>
      </c>
      <c r="N595">
        <f>COUNTBLANK(Metadata!B595:F595)=COLUMNS(Metadata!B595:F595)</f>
        <v>0</v>
      </c>
      <c r="O595">
        <v>0</v>
      </c>
      <c r="Q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>
        <f>AND(IF(Metadata!C595="",FALSE,TRUE),exact(Metadata!C595,"human-skin"))</f>
        <v>0</v>
      </c>
      <c r="S595">
        <f>OR(AND(IF(Metadata!D595="",FALSE,TRUE),OR(exact(Metadata!D595,"missing: not collected"),exact(Metadata!D595,"missing: not provided"))),AND(IF(Metadata!D595="",FALSE,TRUE),OR(exact(Metadata!D595,"UBERON:zone of skin"),exact(Metadata!D595,"UBERON:skin of hand"),exact(Metadata!D595,"UBERON:skin of forehead"))))</f>
        <v>0</v>
      </c>
      <c r="T595">
        <f>AND(IF(Metadata!E595="",FALSE,TRUE),exact(Metadata!E595,"human skin metagenome"))</f>
        <v>0</v>
      </c>
      <c r="U595">
        <f>AND(IF(Metadata!F595="",FALSE,TRUE),exact(Metadata!F595,"539655"))</f>
        <v>0</v>
      </c>
    </row>
    <row r="596" spans="1:21">
      <c r="A596" s="4">
        <f>IF(B596=" "," ",HYPERLINK(CONCATENATE("#metadata!",ADDRESS(INDEX($L$2:$L$1001,MATCH(ROWS($J$2:J596),$J$2:$J$1001,0),0),1)),INDEX($O$2:$O$1001,MATCH(ROWS($J$2:J596),$J$2:$J$1001,0),0)))</f>
        <v>0</v>
      </c>
      <c r="B596" s="3">
        <f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>0</v>
      </c>
      <c r="C596" s="3">
        <f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>0</v>
      </c>
      <c r="D596" s="3">
        <f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>0</v>
      </c>
      <c r="E596" s="3">
        <f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>0</v>
      </c>
      <c r="F596" s="3">
        <f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>0</v>
      </c>
      <c r="J596">
        <v>0</v>
      </c>
      <c r="K596">
        <v>0</v>
      </c>
      <c r="L596">
        <v>0</v>
      </c>
      <c r="M596">
        <f>IF(N596,TRUE,AND(Q596:U596))</f>
        <v>0</v>
      </c>
      <c r="N596">
        <f>COUNTBLANK(Metadata!B596:F596)=COLUMNS(Metadata!B596:F596)</f>
        <v>0</v>
      </c>
      <c r="O596">
        <v>0</v>
      </c>
      <c r="Q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>
        <f>AND(IF(Metadata!C596="",FALSE,TRUE),exact(Metadata!C596,"human-skin"))</f>
        <v>0</v>
      </c>
      <c r="S596">
        <f>OR(AND(IF(Metadata!D596="",FALSE,TRUE),OR(exact(Metadata!D596,"missing: not collected"),exact(Metadata!D596,"missing: not provided"))),AND(IF(Metadata!D596="",FALSE,TRUE),OR(exact(Metadata!D596,"UBERON:zone of skin"),exact(Metadata!D596,"UBERON:skin of hand"),exact(Metadata!D596,"UBERON:skin of forehead"))))</f>
        <v>0</v>
      </c>
      <c r="T596">
        <f>AND(IF(Metadata!E596="",FALSE,TRUE),exact(Metadata!E596,"human skin metagenome"))</f>
        <v>0</v>
      </c>
      <c r="U596">
        <f>AND(IF(Metadata!F596="",FALSE,TRUE),exact(Metadata!F596,"539655"))</f>
        <v>0</v>
      </c>
    </row>
    <row r="597" spans="1:21">
      <c r="A597" s="4">
        <f>IF(B597=" "," ",HYPERLINK(CONCATENATE("#metadata!",ADDRESS(INDEX($L$2:$L$1001,MATCH(ROWS($J$2:J597),$J$2:$J$1001,0),0),1)),INDEX($O$2:$O$1001,MATCH(ROWS($J$2:J597),$J$2:$J$1001,0),0)))</f>
        <v>0</v>
      </c>
      <c r="B597" s="3">
        <f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>0</v>
      </c>
      <c r="C597" s="3">
        <f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>0</v>
      </c>
      <c r="D597" s="3">
        <f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>0</v>
      </c>
      <c r="E597" s="3">
        <f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>0</v>
      </c>
      <c r="F597" s="3">
        <f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>0</v>
      </c>
      <c r="J597">
        <v>0</v>
      </c>
      <c r="K597">
        <v>0</v>
      </c>
      <c r="L597">
        <v>0</v>
      </c>
      <c r="M597">
        <f>IF(N597,TRUE,AND(Q597:U597))</f>
        <v>0</v>
      </c>
      <c r="N597">
        <f>COUNTBLANK(Metadata!B597:F597)=COLUMNS(Metadata!B597:F597)</f>
        <v>0</v>
      </c>
      <c r="O597">
        <v>0</v>
      </c>
      <c r="Q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>
        <f>AND(IF(Metadata!C597="",FALSE,TRUE),exact(Metadata!C597,"human-skin"))</f>
        <v>0</v>
      </c>
      <c r="S597">
        <f>OR(AND(IF(Metadata!D597="",FALSE,TRUE),OR(exact(Metadata!D597,"missing: not collected"),exact(Metadata!D597,"missing: not provided"))),AND(IF(Metadata!D597="",FALSE,TRUE),OR(exact(Metadata!D597,"UBERON:zone of skin"),exact(Metadata!D597,"UBERON:skin of hand"),exact(Metadata!D597,"UBERON:skin of forehead"))))</f>
        <v>0</v>
      </c>
      <c r="T597">
        <f>AND(IF(Metadata!E597="",FALSE,TRUE),exact(Metadata!E597,"human skin metagenome"))</f>
        <v>0</v>
      </c>
      <c r="U597">
        <f>AND(IF(Metadata!F597="",FALSE,TRUE),exact(Metadata!F597,"539655"))</f>
        <v>0</v>
      </c>
    </row>
    <row r="598" spans="1:21">
      <c r="A598" s="4">
        <f>IF(B598=" "," ",HYPERLINK(CONCATENATE("#metadata!",ADDRESS(INDEX($L$2:$L$1001,MATCH(ROWS($J$2:J598),$J$2:$J$1001,0),0),1)),INDEX($O$2:$O$1001,MATCH(ROWS($J$2:J598),$J$2:$J$1001,0),0)))</f>
        <v>0</v>
      </c>
      <c r="B598" s="3">
        <f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>0</v>
      </c>
      <c r="C598" s="3">
        <f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>0</v>
      </c>
      <c r="D598" s="3">
        <f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>0</v>
      </c>
      <c r="E598" s="3">
        <f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>0</v>
      </c>
      <c r="F598" s="3">
        <f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>0</v>
      </c>
      <c r="J598">
        <v>0</v>
      </c>
      <c r="K598">
        <v>0</v>
      </c>
      <c r="L598">
        <v>0</v>
      </c>
      <c r="M598">
        <f>IF(N598,TRUE,AND(Q598:U598))</f>
        <v>0</v>
      </c>
      <c r="N598">
        <f>COUNTBLANK(Metadata!B598:F598)=COLUMNS(Metadata!B598:F598)</f>
        <v>0</v>
      </c>
      <c r="O598">
        <v>0</v>
      </c>
      <c r="Q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>
        <f>AND(IF(Metadata!C598="",FALSE,TRUE),exact(Metadata!C598,"human-skin"))</f>
        <v>0</v>
      </c>
      <c r="S598">
        <f>OR(AND(IF(Metadata!D598="",FALSE,TRUE),OR(exact(Metadata!D598,"missing: not collected"),exact(Metadata!D598,"missing: not provided"))),AND(IF(Metadata!D598="",FALSE,TRUE),OR(exact(Metadata!D598,"UBERON:zone of skin"),exact(Metadata!D598,"UBERON:skin of hand"),exact(Metadata!D598,"UBERON:skin of forehead"))))</f>
        <v>0</v>
      </c>
      <c r="T598">
        <f>AND(IF(Metadata!E598="",FALSE,TRUE),exact(Metadata!E598,"human skin metagenome"))</f>
        <v>0</v>
      </c>
      <c r="U598">
        <f>AND(IF(Metadata!F598="",FALSE,TRUE),exact(Metadata!F598,"539655"))</f>
        <v>0</v>
      </c>
    </row>
    <row r="599" spans="1:21">
      <c r="A599" s="4">
        <f>IF(B599=" "," ",HYPERLINK(CONCATENATE("#metadata!",ADDRESS(INDEX($L$2:$L$1001,MATCH(ROWS($J$2:J599),$J$2:$J$1001,0),0),1)),INDEX($O$2:$O$1001,MATCH(ROWS($J$2:J599),$J$2:$J$1001,0),0)))</f>
        <v>0</v>
      </c>
      <c r="B599" s="3">
        <f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>0</v>
      </c>
      <c r="C599" s="3">
        <f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>0</v>
      </c>
      <c r="D599" s="3">
        <f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>0</v>
      </c>
      <c r="E599" s="3">
        <f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>0</v>
      </c>
      <c r="F599" s="3">
        <f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>0</v>
      </c>
      <c r="J599">
        <v>0</v>
      </c>
      <c r="K599">
        <v>0</v>
      </c>
      <c r="L599">
        <v>0</v>
      </c>
      <c r="M599">
        <f>IF(N599,TRUE,AND(Q599:U599))</f>
        <v>0</v>
      </c>
      <c r="N599">
        <f>COUNTBLANK(Metadata!B599:F599)=COLUMNS(Metadata!B599:F599)</f>
        <v>0</v>
      </c>
      <c r="O599">
        <v>0</v>
      </c>
      <c r="Q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>
        <f>AND(IF(Metadata!C599="",FALSE,TRUE),exact(Metadata!C599,"human-skin"))</f>
        <v>0</v>
      </c>
      <c r="S599">
        <f>OR(AND(IF(Metadata!D599="",FALSE,TRUE),OR(exact(Metadata!D599,"missing: not collected"),exact(Metadata!D599,"missing: not provided"))),AND(IF(Metadata!D599="",FALSE,TRUE),OR(exact(Metadata!D599,"UBERON:zone of skin"),exact(Metadata!D599,"UBERON:skin of hand"),exact(Metadata!D599,"UBERON:skin of forehead"))))</f>
        <v>0</v>
      </c>
      <c r="T599">
        <f>AND(IF(Metadata!E599="",FALSE,TRUE),exact(Metadata!E599,"human skin metagenome"))</f>
        <v>0</v>
      </c>
      <c r="U599">
        <f>AND(IF(Metadata!F599="",FALSE,TRUE),exact(Metadata!F599,"539655"))</f>
        <v>0</v>
      </c>
    </row>
    <row r="600" spans="1:21">
      <c r="A600" s="4">
        <f>IF(B600=" "," ",HYPERLINK(CONCATENATE("#metadata!",ADDRESS(INDEX($L$2:$L$1001,MATCH(ROWS($J$2:J600),$J$2:$J$1001,0),0),1)),INDEX($O$2:$O$1001,MATCH(ROWS($J$2:J600),$J$2:$J$1001,0),0)))</f>
        <v>0</v>
      </c>
      <c r="B600" s="3">
        <f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>0</v>
      </c>
      <c r="C600" s="3">
        <f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>0</v>
      </c>
      <c r="D600" s="3">
        <f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>0</v>
      </c>
      <c r="E600" s="3">
        <f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>0</v>
      </c>
      <c r="F600" s="3">
        <f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>0</v>
      </c>
      <c r="J600">
        <v>0</v>
      </c>
      <c r="K600">
        <v>0</v>
      </c>
      <c r="L600">
        <v>0</v>
      </c>
      <c r="M600">
        <f>IF(N600,TRUE,AND(Q600:U600))</f>
        <v>0</v>
      </c>
      <c r="N600">
        <f>COUNTBLANK(Metadata!B600:F600)=COLUMNS(Metadata!B600:F600)</f>
        <v>0</v>
      </c>
      <c r="O600">
        <v>0</v>
      </c>
      <c r="Q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>
        <f>AND(IF(Metadata!C600="",FALSE,TRUE),exact(Metadata!C600,"human-skin"))</f>
        <v>0</v>
      </c>
      <c r="S600">
        <f>OR(AND(IF(Metadata!D600="",FALSE,TRUE),OR(exact(Metadata!D600,"missing: not collected"),exact(Metadata!D600,"missing: not provided"))),AND(IF(Metadata!D600="",FALSE,TRUE),OR(exact(Metadata!D600,"UBERON:zone of skin"),exact(Metadata!D600,"UBERON:skin of hand"),exact(Metadata!D600,"UBERON:skin of forehead"))))</f>
        <v>0</v>
      </c>
      <c r="T600">
        <f>AND(IF(Metadata!E600="",FALSE,TRUE),exact(Metadata!E600,"human skin metagenome"))</f>
        <v>0</v>
      </c>
      <c r="U600">
        <f>AND(IF(Metadata!F600="",FALSE,TRUE),exact(Metadata!F600,"539655"))</f>
        <v>0</v>
      </c>
    </row>
    <row r="601" spans="1:21">
      <c r="A601" s="4">
        <f>IF(B601=" "," ",HYPERLINK(CONCATENATE("#metadata!",ADDRESS(INDEX($L$2:$L$1001,MATCH(ROWS($J$2:J601),$J$2:$J$1001,0),0),1)),INDEX($O$2:$O$1001,MATCH(ROWS($J$2:J601),$J$2:$J$1001,0),0)))</f>
        <v>0</v>
      </c>
      <c r="B601" s="3">
        <f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>0</v>
      </c>
      <c r="C601" s="3">
        <f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>0</v>
      </c>
      <c r="D601" s="3">
        <f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>0</v>
      </c>
      <c r="E601" s="3">
        <f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>0</v>
      </c>
      <c r="F601" s="3">
        <f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>0</v>
      </c>
      <c r="J601">
        <v>0</v>
      </c>
      <c r="K601">
        <v>0</v>
      </c>
      <c r="L601">
        <v>0</v>
      </c>
      <c r="M601">
        <f>IF(N601,TRUE,AND(Q601:U601))</f>
        <v>0</v>
      </c>
      <c r="N601">
        <f>COUNTBLANK(Metadata!B601:F601)=COLUMNS(Metadata!B601:F601)</f>
        <v>0</v>
      </c>
      <c r="O601">
        <v>0</v>
      </c>
      <c r="Q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>
        <f>AND(IF(Metadata!C601="",FALSE,TRUE),exact(Metadata!C601,"human-skin"))</f>
        <v>0</v>
      </c>
      <c r="S601">
        <f>OR(AND(IF(Metadata!D601="",FALSE,TRUE),OR(exact(Metadata!D601,"missing: not collected"),exact(Metadata!D601,"missing: not provided"))),AND(IF(Metadata!D601="",FALSE,TRUE),OR(exact(Metadata!D601,"UBERON:zone of skin"),exact(Metadata!D601,"UBERON:skin of hand"),exact(Metadata!D601,"UBERON:skin of forehead"))))</f>
        <v>0</v>
      </c>
      <c r="T601">
        <f>AND(IF(Metadata!E601="",FALSE,TRUE),exact(Metadata!E601,"human skin metagenome"))</f>
        <v>0</v>
      </c>
      <c r="U601">
        <f>AND(IF(Metadata!F601="",FALSE,TRUE),exact(Metadata!F601,"539655"))</f>
        <v>0</v>
      </c>
    </row>
    <row r="602" spans="1:21">
      <c r="A602" s="4">
        <f>IF(B602=" "," ",HYPERLINK(CONCATENATE("#metadata!",ADDRESS(INDEX($L$2:$L$1001,MATCH(ROWS($J$2:J602),$J$2:$J$1001,0),0),1)),INDEX($O$2:$O$1001,MATCH(ROWS($J$2:J602),$J$2:$J$1001,0),0)))</f>
        <v>0</v>
      </c>
      <c r="B602" s="3">
        <f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>0</v>
      </c>
      <c r="C602" s="3">
        <f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>0</v>
      </c>
      <c r="D602" s="3">
        <f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>0</v>
      </c>
      <c r="E602" s="3">
        <f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>0</v>
      </c>
      <c r="F602" s="3">
        <f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>0</v>
      </c>
      <c r="J602">
        <v>0</v>
      </c>
      <c r="K602">
        <v>0</v>
      </c>
      <c r="L602">
        <v>0</v>
      </c>
      <c r="M602">
        <f>IF(N602,TRUE,AND(Q602:U602))</f>
        <v>0</v>
      </c>
      <c r="N602">
        <f>COUNTBLANK(Metadata!B602:F602)=COLUMNS(Metadata!B602:F602)</f>
        <v>0</v>
      </c>
      <c r="O602">
        <v>0</v>
      </c>
      <c r="Q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>
        <f>AND(IF(Metadata!C602="",FALSE,TRUE),exact(Metadata!C602,"human-skin"))</f>
        <v>0</v>
      </c>
      <c r="S602">
        <f>OR(AND(IF(Metadata!D602="",FALSE,TRUE),OR(exact(Metadata!D602,"missing: not collected"),exact(Metadata!D602,"missing: not provided"))),AND(IF(Metadata!D602="",FALSE,TRUE),OR(exact(Metadata!D602,"UBERON:zone of skin"),exact(Metadata!D602,"UBERON:skin of hand"),exact(Metadata!D602,"UBERON:skin of forehead"))))</f>
        <v>0</v>
      </c>
      <c r="T602">
        <f>AND(IF(Metadata!E602="",FALSE,TRUE),exact(Metadata!E602,"human skin metagenome"))</f>
        <v>0</v>
      </c>
      <c r="U602">
        <f>AND(IF(Metadata!F602="",FALSE,TRUE),exact(Metadata!F602,"539655"))</f>
        <v>0</v>
      </c>
    </row>
    <row r="603" spans="1:21">
      <c r="A603" s="4">
        <f>IF(B603=" "," ",HYPERLINK(CONCATENATE("#metadata!",ADDRESS(INDEX($L$2:$L$1001,MATCH(ROWS($J$2:J603),$J$2:$J$1001,0),0),1)),INDEX($O$2:$O$1001,MATCH(ROWS($J$2:J603),$J$2:$J$1001,0),0)))</f>
        <v>0</v>
      </c>
      <c r="B603" s="3">
        <f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>0</v>
      </c>
      <c r="C603" s="3">
        <f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>0</v>
      </c>
      <c r="D603" s="3">
        <f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>0</v>
      </c>
      <c r="E603" s="3">
        <f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>0</v>
      </c>
      <c r="F603" s="3">
        <f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>0</v>
      </c>
      <c r="J603">
        <v>0</v>
      </c>
      <c r="K603">
        <v>0</v>
      </c>
      <c r="L603">
        <v>0</v>
      </c>
      <c r="M603">
        <f>IF(N603,TRUE,AND(Q603:U603))</f>
        <v>0</v>
      </c>
      <c r="N603">
        <f>COUNTBLANK(Metadata!B603:F603)=COLUMNS(Metadata!B603:F603)</f>
        <v>0</v>
      </c>
      <c r="O603">
        <v>0</v>
      </c>
      <c r="Q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>
        <f>AND(IF(Metadata!C603="",FALSE,TRUE),exact(Metadata!C603,"human-skin"))</f>
        <v>0</v>
      </c>
      <c r="S603">
        <f>OR(AND(IF(Metadata!D603="",FALSE,TRUE),OR(exact(Metadata!D603,"missing: not collected"),exact(Metadata!D603,"missing: not provided"))),AND(IF(Metadata!D603="",FALSE,TRUE),OR(exact(Metadata!D603,"UBERON:zone of skin"),exact(Metadata!D603,"UBERON:skin of hand"),exact(Metadata!D603,"UBERON:skin of forehead"))))</f>
        <v>0</v>
      </c>
      <c r="T603">
        <f>AND(IF(Metadata!E603="",FALSE,TRUE),exact(Metadata!E603,"human skin metagenome"))</f>
        <v>0</v>
      </c>
      <c r="U603">
        <f>AND(IF(Metadata!F603="",FALSE,TRUE),exact(Metadata!F603,"539655"))</f>
        <v>0</v>
      </c>
    </row>
    <row r="604" spans="1:21">
      <c r="A604" s="4">
        <f>IF(B604=" "," ",HYPERLINK(CONCATENATE("#metadata!",ADDRESS(INDEX($L$2:$L$1001,MATCH(ROWS($J$2:J604),$J$2:$J$1001,0),0),1)),INDEX($O$2:$O$1001,MATCH(ROWS($J$2:J604),$J$2:$J$1001,0),0)))</f>
        <v>0</v>
      </c>
      <c r="B604" s="3">
        <f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>0</v>
      </c>
      <c r="C604" s="3">
        <f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>0</v>
      </c>
      <c r="D604" s="3">
        <f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>0</v>
      </c>
      <c r="E604" s="3">
        <f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>0</v>
      </c>
      <c r="F604" s="3">
        <f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>0</v>
      </c>
      <c r="J604">
        <v>0</v>
      </c>
      <c r="K604">
        <v>0</v>
      </c>
      <c r="L604">
        <v>0</v>
      </c>
      <c r="M604">
        <f>IF(N604,TRUE,AND(Q604:U604))</f>
        <v>0</v>
      </c>
      <c r="N604">
        <f>COUNTBLANK(Metadata!B604:F604)=COLUMNS(Metadata!B604:F604)</f>
        <v>0</v>
      </c>
      <c r="O604">
        <v>0</v>
      </c>
      <c r="Q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>
        <f>AND(IF(Metadata!C604="",FALSE,TRUE),exact(Metadata!C604,"human-skin"))</f>
        <v>0</v>
      </c>
      <c r="S604">
        <f>OR(AND(IF(Metadata!D604="",FALSE,TRUE),OR(exact(Metadata!D604,"missing: not collected"),exact(Metadata!D604,"missing: not provided"))),AND(IF(Metadata!D604="",FALSE,TRUE),OR(exact(Metadata!D604,"UBERON:zone of skin"),exact(Metadata!D604,"UBERON:skin of hand"),exact(Metadata!D604,"UBERON:skin of forehead"))))</f>
        <v>0</v>
      </c>
      <c r="T604">
        <f>AND(IF(Metadata!E604="",FALSE,TRUE),exact(Metadata!E604,"human skin metagenome"))</f>
        <v>0</v>
      </c>
      <c r="U604">
        <f>AND(IF(Metadata!F604="",FALSE,TRUE),exact(Metadata!F604,"539655"))</f>
        <v>0</v>
      </c>
    </row>
    <row r="605" spans="1:21">
      <c r="A605" s="4">
        <f>IF(B605=" "," ",HYPERLINK(CONCATENATE("#metadata!",ADDRESS(INDEX($L$2:$L$1001,MATCH(ROWS($J$2:J605),$J$2:$J$1001,0),0),1)),INDEX($O$2:$O$1001,MATCH(ROWS($J$2:J605),$J$2:$J$1001,0),0)))</f>
        <v>0</v>
      </c>
      <c r="B605" s="3">
        <f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>0</v>
      </c>
      <c r="C605" s="3">
        <f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>0</v>
      </c>
      <c r="D605" s="3">
        <f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>0</v>
      </c>
      <c r="E605" s="3">
        <f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>0</v>
      </c>
      <c r="F605" s="3">
        <f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>0</v>
      </c>
      <c r="J605">
        <v>0</v>
      </c>
      <c r="K605">
        <v>0</v>
      </c>
      <c r="L605">
        <v>0</v>
      </c>
      <c r="M605">
        <f>IF(N605,TRUE,AND(Q605:U605))</f>
        <v>0</v>
      </c>
      <c r="N605">
        <f>COUNTBLANK(Metadata!B605:F605)=COLUMNS(Metadata!B605:F605)</f>
        <v>0</v>
      </c>
      <c r="O605">
        <v>0</v>
      </c>
      <c r="Q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>
        <f>AND(IF(Metadata!C605="",FALSE,TRUE),exact(Metadata!C605,"human-skin"))</f>
        <v>0</v>
      </c>
      <c r="S605">
        <f>OR(AND(IF(Metadata!D605="",FALSE,TRUE),OR(exact(Metadata!D605,"missing: not collected"),exact(Metadata!D605,"missing: not provided"))),AND(IF(Metadata!D605="",FALSE,TRUE),OR(exact(Metadata!D605,"UBERON:zone of skin"),exact(Metadata!D605,"UBERON:skin of hand"),exact(Metadata!D605,"UBERON:skin of forehead"))))</f>
        <v>0</v>
      </c>
      <c r="T605">
        <f>AND(IF(Metadata!E605="",FALSE,TRUE),exact(Metadata!E605,"human skin metagenome"))</f>
        <v>0</v>
      </c>
      <c r="U605">
        <f>AND(IF(Metadata!F605="",FALSE,TRUE),exact(Metadata!F605,"539655"))</f>
        <v>0</v>
      </c>
    </row>
    <row r="606" spans="1:21">
      <c r="A606" s="4">
        <f>IF(B606=" "," ",HYPERLINK(CONCATENATE("#metadata!",ADDRESS(INDEX($L$2:$L$1001,MATCH(ROWS($J$2:J606),$J$2:$J$1001,0),0),1)),INDEX($O$2:$O$1001,MATCH(ROWS($J$2:J606),$J$2:$J$1001,0),0)))</f>
        <v>0</v>
      </c>
      <c r="B606" s="3">
        <f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>0</v>
      </c>
      <c r="C606" s="3">
        <f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>0</v>
      </c>
      <c r="D606" s="3">
        <f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>0</v>
      </c>
      <c r="E606" s="3">
        <f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>0</v>
      </c>
      <c r="F606" s="3">
        <f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>0</v>
      </c>
      <c r="J606">
        <v>0</v>
      </c>
      <c r="K606">
        <v>0</v>
      </c>
      <c r="L606">
        <v>0</v>
      </c>
      <c r="M606">
        <f>IF(N606,TRUE,AND(Q606:U606))</f>
        <v>0</v>
      </c>
      <c r="N606">
        <f>COUNTBLANK(Metadata!B606:F606)=COLUMNS(Metadata!B606:F606)</f>
        <v>0</v>
      </c>
      <c r="O606">
        <v>0</v>
      </c>
      <c r="Q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>
        <f>AND(IF(Metadata!C606="",FALSE,TRUE),exact(Metadata!C606,"human-skin"))</f>
        <v>0</v>
      </c>
      <c r="S606">
        <f>OR(AND(IF(Metadata!D606="",FALSE,TRUE),OR(exact(Metadata!D606,"missing: not collected"),exact(Metadata!D606,"missing: not provided"))),AND(IF(Metadata!D606="",FALSE,TRUE),OR(exact(Metadata!D606,"UBERON:zone of skin"),exact(Metadata!D606,"UBERON:skin of hand"),exact(Metadata!D606,"UBERON:skin of forehead"))))</f>
        <v>0</v>
      </c>
      <c r="T606">
        <f>AND(IF(Metadata!E606="",FALSE,TRUE),exact(Metadata!E606,"human skin metagenome"))</f>
        <v>0</v>
      </c>
      <c r="U606">
        <f>AND(IF(Metadata!F606="",FALSE,TRUE),exact(Metadata!F606,"539655"))</f>
        <v>0</v>
      </c>
    </row>
    <row r="607" spans="1:21">
      <c r="A607" s="4">
        <f>IF(B607=" "," ",HYPERLINK(CONCATENATE("#metadata!",ADDRESS(INDEX($L$2:$L$1001,MATCH(ROWS($J$2:J607),$J$2:$J$1001,0),0),1)),INDEX($O$2:$O$1001,MATCH(ROWS($J$2:J607),$J$2:$J$1001,0),0)))</f>
        <v>0</v>
      </c>
      <c r="B607" s="3">
        <f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>0</v>
      </c>
      <c r="C607" s="3">
        <f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>0</v>
      </c>
      <c r="D607" s="3">
        <f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>0</v>
      </c>
      <c r="E607" s="3">
        <f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>0</v>
      </c>
      <c r="F607" s="3">
        <f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>0</v>
      </c>
      <c r="J607">
        <v>0</v>
      </c>
      <c r="K607">
        <v>0</v>
      </c>
      <c r="L607">
        <v>0</v>
      </c>
      <c r="M607">
        <f>IF(N607,TRUE,AND(Q607:U607))</f>
        <v>0</v>
      </c>
      <c r="N607">
        <f>COUNTBLANK(Metadata!B607:F607)=COLUMNS(Metadata!B607:F607)</f>
        <v>0</v>
      </c>
      <c r="O607">
        <v>0</v>
      </c>
      <c r="Q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>
        <f>AND(IF(Metadata!C607="",FALSE,TRUE),exact(Metadata!C607,"human-skin"))</f>
        <v>0</v>
      </c>
      <c r="S607">
        <f>OR(AND(IF(Metadata!D607="",FALSE,TRUE),OR(exact(Metadata!D607,"missing: not collected"),exact(Metadata!D607,"missing: not provided"))),AND(IF(Metadata!D607="",FALSE,TRUE),OR(exact(Metadata!D607,"UBERON:zone of skin"),exact(Metadata!D607,"UBERON:skin of hand"),exact(Metadata!D607,"UBERON:skin of forehead"))))</f>
        <v>0</v>
      </c>
      <c r="T607">
        <f>AND(IF(Metadata!E607="",FALSE,TRUE),exact(Metadata!E607,"human skin metagenome"))</f>
        <v>0</v>
      </c>
      <c r="U607">
        <f>AND(IF(Metadata!F607="",FALSE,TRUE),exact(Metadata!F607,"539655"))</f>
        <v>0</v>
      </c>
    </row>
    <row r="608" spans="1:21">
      <c r="A608" s="4">
        <f>IF(B608=" "," ",HYPERLINK(CONCATENATE("#metadata!",ADDRESS(INDEX($L$2:$L$1001,MATCH(ROWS($J$2:J608),$J$2:$J$1001,0),0),1)),INDEX($O$2:$O$1001,MATCH(ROWS($J$2:J608),$J$2:$J$1001,0),0)))</f>
        <v>0</v>
      </c>
      <c r="B608" s="3">
        <f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>0</v>
      </c>
      <c r="C608" s="3">
        <f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>0</v>
      </c>
      <c r="D608" s="3">
        <f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>0</v>
      </c>
      <c r="E608" s="3">
        <f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>0</v>
      </c>
      <c r="F608" s="3">
        <f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>0</v>
      </c>
      <c r="J608">
        <v>0</v>
      </c>
      <c r="K608">
        <v>0</v>
      </c>
      <c r="L608">
        <v>0</v>
      </c>
      <c r="M608">
        <f>IF(N608,TRUE,AND(Q608:U608))</f>
        <v>0</v>
      </c>
      <c r="N608">
        <f>COUNTBLANK(Metadata!B608:F608)=COLUMNS(Metadata!B608:F608)</f>
        <v>0</v>
      </c>
      <c r="O608">
        <v>0</v>
      </c>
      <c r="Q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>
        <f>AND(IF(Metadata!C608="",FALSE,TRUE),exact(Metadata!C608,"human-skin"))</f>
        <v>0</v>
      </c>
      <c r="S608">
        <f>OR(AND(IF(Metadata!D608="",FALSE,TRUE),OR(exact(Metadata!D608,"missing: not collected"),exact(Metadata!D608,"missing: not provided"))),AND(IF(Metadata!D608="",FALSE,TRUE),OR(exact(Metadata!D608,"UBERON:zone of skin"),exact(Metadata!D608,"UBERON:skin of hand"),exact(Metadata!D608,"UBERON:skin of forehead"))))</f>
        <v>0</v>
      </c>
      <c r="T608">
        <f>AND(IF(Metadata!E608="",FALSE,TRUE),exact(Metadata!E608,"human skin metagenome"))</f>
        <v>0</v>
      </c>
      <c r="U608">
        <f>AND(IF(Metadata!F608="",FALSE,TRUE),exact(Metadata!F608,"539655"))</f>
        <v>0</v>
      </c>
    </row>
    <row r="609" spans="1:21">
      <c r="A609" s="4">
        <f>IF(B609=" "," ",HYPERLINK(CONCATENATE("#metadata!",ADDRESS(INDEX($L$2:$L$1001,MATCH(ROWS($J$2:J609),$J$2:$J$1001,0),0),1)),INDEX($O$2:$O$1001,MATCH(ROWS($J$2:J609),$J$2:$J$1001,0),0)))</f>
        <v>0</v>
      </c>
      <c r="B609" s="3">
        <f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>0</v>
      </c>
      <c r="C609" s="3">
        <f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>0</v>
      </c>
      <c r="D609" s="3">
        <f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>0</v>
      </c>
      <c r="E609" s="3">
        <f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>0</v>
      </c>
      <c r="F609" s="3">
        <f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>0</v>
      </c>
      <c r="J609">
        <v>0</v>
      </c>
      <c r="K609">
        <v>0</v>
      </c>
      <c r="L609">
        <v>0</v>
      </c>
      <c r="M609">
        <f>IF(N609,TRUE,AND(Q609:U609))</f>
        <v>0</v>
      </c>
      <c r="N609">
        <f>COUNTBLANK(Metadata!B609:F609)=COLUMNS(Metadata!B609:F609)</f>
        <v>0</v>
      </c>
      <c r="O609">
        <v>0</v>
      </c>
      <c r="Q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>
        <f>AND(IF(Metadata!C609="",FALSE,TRUE),exact(Metadata!C609,"human-skin"))</f>
        <v>0</v>
      </c>
      <c r="S609">
        <f>OR(AND(IF(Metadata!D609="",FALSE,TRUE),OR(exact(Metadata!D609,"missing: not collected"),exact(Metadata!D609,"missing: not provided"))),AND(IF(Metadata!D609="",FALSE,TRUE),OR(exact(Metadata!D609,"UBERON:zone of skin"),exact(Metadata!D609,"UBERON:skin of hand"),exact(Metadata!D609,"UBERON:skin of forehead"))))</f>
        <v>0</v>
      </c>
      <c r="T609">
        <f>AND(IF(Metadata!E609="",FALSE,TRUE),exact(Metadata!E609,"human skin metagenome"))</f>
        <v>0</v>
      </c>
      <c r="U609">
        <f>AND(IF(Metadata!F609="",FALSE,TRUE),exact(Metadata!F609,"539655"))</f>
        <v>0</v>
      </c>
    </row>
    <row r="610" spans="1:21">
      <c r="A610" s="4">
        <f>IF(B610=" "," ",HYPERLINK(CONCATENATE("#metadata!",ADDRESS(INDEX($L$2:$L$1001,MATCH(ROWS($J$2:J610),$J$2:$J$1001,0),0),1)),INDEX($O$2:$O$1001,MATCH(ROWS($J$2:J610),$J$2:$J$1001,0),0)))</f>
        <v>0</v>
      </c>
      <c r="B610" s="3">
        <f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>0</v>
      </c>
      <c r="C610" s="3">
        <f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>0</v>
      </c>
      <c r="D610" s="3">
        <f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>0</v>
      </c>
      <c r="E610" s="3">
        <f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>0</v>
      </c>
      <c r="F610" s="3">
        <f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>0</v>
      </c>
      <c r="J610">
        <v>0</v>
      </c>
      <c r="K610">
        <v>0</v>
      </c>
      <c r="L610">
        <v>0</v>
      </c>
      <c r="M610">
        <f>IF(N610,TRUE,AND(Q610:U610))</f>
        <v>0</v>
      </c>
      <c r="N610">
        <f>COUNTBLANK(Metadata!B610:F610)=COLUMNS(Metadata!B610:F610)</f>
        <v>0</v>
      </c>
      <c r="O610">
        <v>0</v>
      </c>
      <c r="Q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>
        <f>AND(IF(Metadata!C610="",FALSE,TRUE),exact(Metadata!C610,"human-skin"))</f>
        <v>0</v>
      </c>
      <c r="S610">
        <f>OR(AND(IF(Metadata!D610="",FALSE,TRUE),OR(exact(Metadata!D610,"missing: not collected"),exact(Metadata!D610,"missing: not provided"))),AND(IF(Metadata!D610="",FALSE,TRUE),OR(exact(Metadata!D610,"UBERON:zone of skin"),exact(Metadata!D610,"UBERON:skin of hand"),exact(Metadata!D610,"UBERON:skin of forehead"))))</f>
        <v>0</v>
      </c>
      <c r="T610">
        <f>AND(IF(Metadata!E610="",FALSE,TRUE),exact(Metadata!E610,"human skin metagenome"))</f>
        <v>0</v>
      </c>
      <c r="U610">
        <f>AND(IF(Metadata!F610="",FALSE,TRUE),exact(Metadata!F610,"539655"))</f>
        <v>0</v>
      </c>
    </row>
    <row r="611" spans="1:21">
      <c r="A611" s="4">
        <f>IF(B611=" "," ",HYPERLINK(CONCATENATE("#metadata!",ADDRESS(INDEX($L$2:$L$1001,MATCH(ROWS($J$2:J611),$J$2:$J$1001,0),0),1)),INDEX($O$2:$O$1001,MATCH(ROWS($J$2:J611),$J$2:$J$1001,0),0)))</f>
        <v>0</v>
      </c>
      <c r="B611" s="3">
        <f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>0</v>
      </c>
      <c r="C611" s="3">
        <f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>0</v>
      </c>
      <c r="D611" s="3">
        <f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>0</v>
      </c>
      <c r="E611" s="3">
        <f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>0</v>
      </c>
      <c r="F611" s="3">
        <f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>0</v>
      </c>
      <c r="J611">
        <v>0</v>
      </c>
      <c r="K611">
        <v>0</v>
      </c>
      <c r="L611">
        <v>0</v>
      </c>
      <c r="M611">
        <f>IF(N611,TRUE,AND(Q611:U611))</f>
        <v>0</v>
      </c>
      <c r="N611">
        <f>COUNTBLANK(Metadata!B611:F611)=COLUMNS(Metadata!B611:F611)</f>
        <v>0</v>
      </c>
      <c r="O611">
        <v>0</v>
      </c>
      <c r="Q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>
        <f>AND(IF(Metadata!C611="",FALSE,TRUE),exact(Metadata!C611,"human-skin"))</f>
        <v>0</v>
      </c>
      <c r="S611">
        <f>OR(AND(IF(Metadata!D611="",FALSE,TRUE),OR(exact(Metadata!D611,"missing: not collected"),exact(Metadata!D611,"missing: not provided"))),AND(IF(Metadata!D611="",FALSE,TRUE),OR(exact(Metadata!D611,"UBERON:zone of skin"),exact(Metadata!D611,"UBERON:skin of hand"),exact(Metadata!D611,"UBERON:skin of forehead"))))</f>
        <v>0</v>
      </c>
      <c r="T611">
        <f>AND(IF(Metadata!E611="",FALSE,TRUE),exact(Metadata!E611,"human skin metagenome"))</f>
        <v>0</v>
      </c>
      <c r="U611">
        <f>AND(IF(Metadata!F611="",FALSE,TRUE),exact(Metadata!F611,"539655"))</f>
        <v>0</v>
      </c>
    </row>
    <row r="612" spans="1:21">
      <c r="A612" s="4">
        <f>IF(B612=" "," ",HYPERLINK(CONCATENATE("#metadata!",ADDRESS(INDEX($L$2:$L$1001,MATCH(ROWS($J$2:J612),$J$2:$J$1001,0),0),1)),INDEX($O$2:$O$1001,MATCH(ROWS($J$2:J612),$J$2:$J$1001,0),0)))</f>
        <v>0</v>
      </c>
      <c r="B612" s="3">
        <f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>0</v>
      </c>
      <c r="C612" s="3">
        <f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>0</v>
      </c>
      <c r="D612" s="3">
        <f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>0</v>
      </c>
      <c r="E612" s="3">
        <f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>0</v>
      </c>
      <c r="F612" s="3">
        <f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>0</v>
      </c>
      <c r="J612">
        <v>0</v>
      </c>
      <c r="K612">
        <v>0</v>
      </c>
      <c r="L612">
        <v>0</v>
      </c>
      <c r="M612">
        <f>IF(N612,TRUE,AND(Q612:U612))</f>
        <v>0</v>
      </c>
      <c r="N612">
        <f>COUNTBLANK(Metadata!B612:F612)=COLUMNS(Metadata!B612:F612)</f>
        <v>0</v>
      </c>
      <c r="O612">
        <v>0</v>
      </c>
      <c r="Q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>
        <f>AND(IF(Metadata!C612="",FALSE,TRUE),exact(Metadata!C612,"human-skin"))</f>
        <v>0</v>
      </c>
      <c r="S612">
        <f>OR(AND(IF(Metadata!D612="",FALSE,TRUE),OR(exact(Metadata!D612,"missing: not collected"),exact(Metadata!D612,"missing: not provided"))),AND(IF(Metadata!D612="",FALSE,TRUE),OR(exact(Metadata!D612,"UBERON:zone of skin"),exact(Metadata!D612,"UBERON:skin of hand"),exact(Metadata!D612,"UBERON:skin of forehead"))))</f>
        <v>0</v>
      </c>
      <c r="T612">
        <f>AND(IF(Metadata!E612="",FALSE,TRUE),exact(Metadata!E612,"human skin metagenome"))</f>
        <v>0</v>
      </c>
      <c r="U612">
        <f>AND(IF(Metadata!F612="",FALSE,TRUE),exact(Metadata!F612,"539655"))</f>
        <v>0</v>
      </c>
    </row>
    <row r="613" spans="1:21">
      <c r="A613" s="4">
        <f>IF(B613=" "," ",HYPERLINK(CONCATENATE("#metadata!",ADDRESS(INDEX($L$2:$L$1001,MATCH(ROWS($J$2:J613),$J$2:$J$1001,0),0),1)),INDEX($O$2:$O$1001,MATCH(ROWS($J$2:J613),$J$2:$J$1001,0),0)))</f>
        <v>0</v>
      </c>
      <c r="B613" s="3">
        <f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>0</v>
      </c>
      <c r="C613" s="3">
        <f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>0</v>
      </c>
      <c r="D613" s="3">
        <f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>0</v>
      </c>
      <c r="E613" s="3">
        <f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>0</v>
      </c>
      <c r="F613" s="3">
        <f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>0</v>
      </c>
      <c r="J613">
        <v>0</v>
      </c>
      <c r="K613">
        <v>0</v>
      </c>
      <c r="L613">
        <v>0</v>
      </c>
      <c r="M613">
        <f>IF(N613,TRUE,AND(Q613:U613))</f>
        <v>0</v>
      </c>
      <c r="N613">
        <f>COUNTBLANK(Metadata!B613:F613)=COLUMNS(Metadata!B613:F613)</f>
        <v>0</v>
      </c>
      <c r="O613">
        <v>0</v>
      </c>
      <c r="Q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>
        <f>AND(IF(Metadata!C613="",FALSE,TRUE),exact(Metadata!C613,"human-skin"))</f>
        <v>0</v>
      </c>
      <c r="S613">
        <f>OR(AND(IF(Metadata!D613="",FALSE,TRUE),OR(exact(Metadata!D613,"missing: not collected"),exact(Metadata!D613,"missing: not provided"))),AND(IF(Metadata!D613="",FALSE,TRUE),OR(exact(Metadata!D613,"UBERON:zone of skin"),exact(Metadata!D613,"UBERON:skin of hand"),exact(Metadata!D613,"UBERON:skin of forehead"))))</f>
        <v>0</v>
      </c>
      <c r="T613">
        <f>AND(IF(Metadata!E613="",FALSE,TRUE),exact(Metadata!E613,"human skin metagenome"))</f>
        <v>0</v>
      </c>
      <c r="U613">
        <f>AND(IF(Metadata!F613="",FALSE,TRUE),exact(Metadata!F613,"539655"))</f>
        <v>0</v>
      </c>
    </row>
    <row r="614" spans="1:21">
      <c r="A614" s="4">
        <f>IF(B614=" "," ",HYPERLINK(CONCATENATE("#metadata!",ADDRESS(INDEX($L$2:$L$1001,MATCH(ROWS($J$2:J614),$J$2:$J$1001,0),0),1)),INDEX($O$2:$O$1001,MATCH(ROWS($J$2:J614),$J$2:$J$1001,0),0)))</f>
        <v>0</v>
      </c>
      <c r="B614" s="3">
        <f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>0</v>
      </c>
      <c r="C614" s="3">
        <f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>0</v>
      </c>
      <c r="D614" s="3">
        <f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>0</v>
      </c>
      <c r="E614" s="3">
        <f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>0</v>
      </c>
      <c r="F614" s="3">
        <f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>0</v>
      </c>
      <c r="J614">
        <v>0</v>
      </c>
      <c r="K614">
        <v>0</v>
      </c>
      <c r="L614">
        <v>0</v>
      </c>
      <c r="M614">
        <f>IF(N614,TRUE,AND(Q614:U614))</f>
        <v>0</v>
      </c>
      <c r="N614">
        <f>COUNTBLANK(Metadata!B614:F614)=COLUMNS(Metadata!B614:F614)</f>
        <v>0</v>
      </c>
      <c r="O614">
        <v>0</v>
      </c>
      <c r="Q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>
        <f>AND(IF(Metadata!C614="",FALSE,TRUE),exact(Metadata!C614,"human-skin"))</f>
        <v>0</v>
      </c>
      <c r="S614">
        <f>OR(AND(IF(Metadata!D614="",FALSE,TRUE),OR(exact(Metadata!D614,"missing: not collected"),exact(Metadata!D614,"missing: not provided"))),AND(IF(Metadata!D614="",FALSE,TRUE),OR(exact(Metadata!D614,"UBERON:zone of skin"),exact(Metadata!D614,"UBERON:skin of hand"),exact(Metadata!D614,"UBERON:skin of forehead"))))</f>
        <v>0</v>
      </c>
      <c r="T614">
        <f>AND(IF(Metadata!E614="",FALSE,TRUE),exact(Metadata!E614,"human skin metagenome"))</f>
        <v>0</v>
      </c>
      <c r="U614">
        <f>AND(IF(Metadata!F614="",FALSE,TRUE),exact(Metadata!F614,"539655"))</f>
        <v>0</v>
      </c>
    </row>
    <row r="615" spans="1:21">
      <c r="A615" s="4">
        <f>IF(B615=" "," ",HYPERLINK(CONCATENATE("#metadata!",ADDRESS(INDEX($L$2:$L$1001,MATCH(ROWS($J$2:J615),$J$2:$J$1001,0),0),1)),INDEX($O$2:$O$1001,MATCH(ROWS($J$2:J615),$J$2:$J$1001,0),0)))</f>
        <v>0</v>
      </c>
      <c r="B615" s="3">
        <f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>0</v>
      </c>
      <c r="C615" s="3">
        <f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>0</v>
      </c>
      <c r="D615" s="3">
        <f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>0</v>
      </c>
      <c r="E615" s="3">
        <f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>0</v>
      </c>
      <c r="F615" s="3">
        <f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>0</v>
      </c>
      <c r="J615">
        <v>0</v>
      </c>
      <c r="K615">
        <v>0</v>
      </c>
      <c r="L615">
        <v>0</v>
      </c>
      <c r="M615">
        <f>IF(N615,TRUE,AND(Q615:U615))</f>
        <v>0</v>
      </c>
      <c r="N615">
        <f>COUNTBLANK(Metadata!B615:F615)=COLUMNS(Metadata!B615:F615)</f>
        <v>0</v>
      </c>
      <c r="O615">
        <v>0</v>
      </c>
      <c r="Q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>
        <f>AND(IF(Metadata!C615="",FALSE,TRUE),exact(Metadata!C615,"human-skin"))</f>
        <v>0</v>
      </c>
      <c r="S615">
        <f>OR(AND(IF(Metadata!D615="",FALSE,TRUE),OR(exact(Metadata!D615,"missing: not collected"),exact(Metadata!D615,"missing: not provided"))),AND(IF(Metadata!D615="",FALSE,TRUE),OR(exact(Metadata!D615,"UBERON:zone of skin"),exact(Metadata!D615,"UBERON:skin of hand"),exact(Metadata!D615,"UBERON:skin of forehead"))))</f>
        <v>0</v>
      </c>
      <c r="T615">
        <f>AND(IF(Metadata!E615="",FALSE,TRUE),exact(Metadata!E615,"human skin metagenome"))</f>
        <v>0</v>
      </c>
      <c r="U615">
        <f>AND(IF(Metadata!F615="",FALSE,TRUE),exact(Metadata!F615,"539655"))</f>
        <v>0</v>
      </c>
    </row>
    <row r="616" spans="1:21">
      <c r="A616" s="4">
        <f>IF(B616=" "," ",HYPERLINK(CONCATENATE("#metadata!",ADDRESS(INDEX($L$2:$L$1001,MATCH(ROWS($J$2:J616),$J$2:$J$1001,0),0),1)),INDEX($O$2:$O$1001,MATCH(ROWS($J$2:J616),$J$2:$J$1001,0),0)))</f>
        <v>0</v>
      </c>
      <c r="B616" s="3">
        <f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>0</v>
      </c>
      <c r="C616" s="3">
        <f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>0</v>
      </c>
      <c r="D616" s="3">
        <f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>0</v>
      </c>
      <c r="E616" s="3">
        <f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>0</v>
      </c>
      <c r="F616" s="3">
        <f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>0</v>
      </c>
      <c r="J616">
        <v>0</v>
      </c>
      <c r="K616">
        <v>0</v>
      </c>
      <c r="L616">
        <v>0</v>
      </c>
      <c r="M616">
        <f>IF(N616,TRUE,AND(Q616:U616))</f>
        <v>0</v>
      </c>
      <c r="N616">
        <f>COUNTBLANK(Metadata!B616:F616)=COLUMNS(Metadata!B616:F616)</f>
        <v>0</v>
      </c>
      <c r="O616">
        <v>0</v>
      </c>
      <c r="Q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>
        <f>AND(IF(Metadata!C616="",FALSE,TRUE),exact(Metadata!C616,"human-skin"))</f>
        <v>0</v>
      </c>
      <c r="S616">
        <f>OR(AND(IF(Metadata!D616="",FALSE,TRUE),OR(exact(Metadata!D616,"missing: not collected"),exact(Metadata!D616,"missing: not provided"))),AND(IF(Metadata!D616="",FALSE,TRUE),OR(exact(Metadata!D616,"UBERON:zone of skin"),exact(Metadata!D616,"UBERON:skin of hand"),exact(Metadata!D616,"UBERON:skin of forehead"))))</f>
        <v>0</v>
      </c>
      <c r="T616">
        <f>AND(IF(Metadata!E616="",FALSE,TRUE),exact(Metadata!E616,"human skin metagenome"))</f>
        <v>0</v>
      </c>
      <c r="U616">
        <f>AND(IF(Metadata!F616="",FALSE,TRUE),exact(Metadata!F616,"539655"))</f>
        <v>0</v>
      </c>
    </row>
    <row r="617" spans="1:21">
      <c r="A617" s="4">
        <f>IF(B617=" "," ",HYPERLINK(CONCATENATE("#metadata!",ADDRESS(INDEX($L$2:$L$1001,MATCH(ROWS($J$2:J617),$J$2:$J$1001,0),0),1)),INDEX($O$2:$O$1001,MATCH(ROWS($J$2:J617),$J$2:$J$1001,0),0)))</f>
        <v>0</v>
      </c>
      <c r="B617" s="3">
        <f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>0</v>
      </c>
      <c r="C617" s="3">
        <f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>0</v>
      </c>
      <c r="D617" s="3">
        <f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>0</v>
      </c>
      <c r="E617" s="3">
        <f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>0</v>
      </c>
      <c r="F617" s="3">
        <f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>0</v>
      </c>
      <c r="J617">
        <v>0</v>
      </c>
      <c r="K617">
        <v>0</v>
      </c>
      <c r="L617">
        <v>0</v>
      </c>
      <c r="M617">
        <f>IF(N617,TRUE,AND(Q617:U617))</f>
        <v>0</v>
      </c>
      <c r="N617">
        <f>COUNTBLANK(Metadata!B617:F617)=COLUMNS(Metadata!B617:F617)</f>
        <v>0</v>
      </c>
      <c r="O617">
        <v>0</v>
      </c>
      <c r="Q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>
        <f>AND(IF(Metadata!C617="",FALSE,TRUE),exact(Metadata!C617,"human-skin"))</f>
        <v>0</v>
      </c>
      <c r="S617">
        <f>OR(AND(IF(Metadata!D617="",FALSE,TRUE),OR(exact(Metadata!D617,"missing: not collected"),exact(Metadata!D617,"missing: not provided"))),AND(IF(Metadata!D617="",FALSE,TRUE),OR(exact(Metadata!D617,"UBERON:zone of skin"),exact(Metadata!D617,"UBERON:skin of hand"),exact(Metadata!D617,"UBERON:skin of forehead"))))</f>
        <v>0</v>
      </c>
      <c r="T617">
        <f>AND(IF(Metadata!E617="",FALSE,TRUE),exact(Metadata!E617,"human skin metagenome"))</f>
        <v>0</v>
      </c>
      <c r="U617">
        <f>AND(IF(Metadata!F617="",FALSE,TRUE),exact(Metadata!F617,"539655"))</f>
        <v>0</v>
      </c>
    </row>
    <row r="618" spans="1:21">
      <c r="A618" s="4">
        <f>IF(B618=" "," ",HYPERLINK(CONCATENATE("#metadata!",ADDRESS(INDEX($L$2:$L$1001,MATCH(ROWS($J$2:J618),$J$2:$J$1001,0),0),1)),INDEX($O$2:$O$1001,MATCH(ROWS($J$2:J618),$J$2:$J$1001,0),0)))</f>
        <v>0</v>
      </c>
      <c r="B618" s="3">
        <f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>0</v>
      </c>
      <c r="C618" s="3">
        <f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>0</v>
      </c>
      <c r="D618" s="3">
        <f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>0</v>
      </c>
      <c r="E618" s="3">
        <f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>0</v>
      </c>
      <c r="F618" s="3">
        <f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>0</v>
      </c>
      <c r="J618">
        <v>0</v>
      </c>
      <c r="K618">
        <v>0</v>
      </c>
      <c r="L618">
        <v>0</v>
      </c>
      <c r="M618">
        <f>IF(N618,TRUE,AND(Q618:U618))</f>
        <v>0</v>
      </c>
      <c r="N618">
        <f>COUNTBLANK(Metadata!B618:F618)=COLUMNS(Metadata!B618:F618)</f>
        <v>0</v>
      </c>
      <c r="O618">
        <v>0</v>
      </c>
      <c r="Q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>
        <f>AND(IF(Metadata!C618="",FALSE,TRUE),exact(Metadata!C618,"human-skin"))</f>
        <v>0</v>
      </c>
      <c r="S618">
        <f>OR(AND(IF(Metadata!D618="",FALSE,TRUE),OR(exact(Metadata!D618,"missing: not collected"),exact(Metadata!D618,"missing: not provided"))),AND(IF(Metadata!D618="",FALSE,TRUE),OR(exact(Metadata!D618,"UBERON:zone of skin"),exact(Metadata!D618,"UBERON:skin of hand"),exact(Metadata!D618,"UBERON:skin of forehead"))))</f>
        <v>0</v>
      </c>
      <c r="T618">
        <f>AND(IF(Metadata!E618="",FALSE,TRUE),exact(Metadata!E618,"human skin metagenome"))</f>
        <v>0</v>
      </c>
      <c r="U618">
        <f>AND(IF(Metadata!F618="",FALSE,TRUE),exact(Metadata!F618,"539655"))</f>
        <v>0</v>
      </c>
    </row>
    <row r="619" spans="1:21">
      <c r="A619" s="4">
        <f>IF(B619=" "," ",HYPERLINK(CONCATENATE("#metadata!",ADDRESS(INDEX($L$2:$L$1001,MATCH(ROWS($J$2:J619),$J$2:$J$1001,0),0),1)),INDEX($O$2:$O$1001,MATCH(ROWS($J$2:J619),$J$2:$J$1001,0),0)))</f>
        <v>0</v>
      </c>
      <c r="B619" s="3">
        <f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>0</v>
      </c>
      <c r="C619" s="3">
        <f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>0</v>
      </c>
      <c r="D619" s="3">
        <f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>0</v>
      </c>
      <c r="E619" s="3">
        <f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>0</v>
      </c>
      <c r="F619" s="3">
        <f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>0</v>
      </c>
      <c r="J619">
        <v>0</v>
      </c>
      <c r="K619">
        <v>0</v>
      </c>
      <c r="L619">
        <v>0</v>
      </c>
      <c r="M619">
        <f>IF(N619,TRUE,AND(Q619:U619))</f>
        <v>0</v>
      </c>
      <c r="N619">
        <f>COUNTBLANK(Metadata!B619:F619)=COLUMNS(Metadata!B619:F619)</f>
        <v>0</v>
      </c>
      <c r="O619">
        <v>0</v>
      </c>
      <c r="Q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>
        <f>AND(IF(Metadata!C619="",FALSE,TRUE),exact(Metadata!C619,"human-skin"))</f>
        <v>0</v>
      </c>
      <c r="S619">
        <f>OR(AND(IF(Metadata!D619="",FALSE,TRUE),OR(exact(Metadata!D619,"missing: not collected"),exact(Metadata!D619,"missing: not provided"))),AND(IF(Metadata!D619="",FALSE,TRUE),OR(exact(Metadata!D619,"UBERON:zone of skin"),exact(Metadata!D619,"UBERON:skin of hand"),exact(Metadata!D619,"UBERON:skin of forehead"))))</f>
        <v>0</v>
      </c>
      <c r="T619">
        <f>AND(IF(Metadata!E619="",FALSE,TRUE),exact(Metadata!E619,"human skin metagenome"))</f>
        <v>0</v>
      </c>
      <c r="U619">
        <f>AND(IF(Metadata!F619="",FALSE,TRUE),exact(Metadata!F619,"539655"))</f>
        <v>0</v>
      </c>
    </row>
    <row r="620" spans="1:21">
      <c r="A620" s="4">
        <f>IF(B620=" "," ",HYPERLINK(CONCATENATE("#metadata!",ADDRESS(INDEX($L$2:$L$1001,MATCH(ROWS($J$2:J620),$J$2:$J$1001,0),0),1)),INDEX($O$2:$O$1001,MATCH(ROWS($J$2:J620),$J$2:$J$1001,0),0)))</f>
        <v>0</v>
      </c>
      <c r="B620" s="3">
        <f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>0</v>
      </c>
      <c r="C620" s="3">
        <f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>0</v>
      </c>
      <c r="D620" s="3">
        <f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>0</v>
      </c>
      <c r="E620" s="3">
        <f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>0</v>
      </c>
      <c r="F620" s="3">
        <f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>0</v>
      </c>
      <c r="J620">
        <v>0</v>
      </c>
      <c r="K620">
        <v>0</v>
      </c>
      <c r="L620">
        <v>0</v>
      </c>
      <c r="M620">
        <f>IF(N620,TRUE,AND(Q620:U620))</f>
        <v>0</v>
      </c>
      <c r="N620">
        <f>COUNTBLANK(Metadata!B620:F620)=COLUMNS(Metadata!B620:F620)</f>
        <v>0</v>
      </c>
      <c r="O620">
        <v>0</v>
      </c>
      <c r="Q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>
        <f>AND(IF(Metadata!C620="",FALSE,TRUE),exact(Metadata!C620,"human-skin"))</f>
        <v>0</v>
      </c>
      <c r="S620">
        <f>OR(AND(IF(Metadata!D620="",FALSE,TRUE),OR(exact(Metadata!D620,"missing: not collected"),exact(Metadata!D620,"missing: not provided"))),AND(IF(Metadata!D620="",FALSE,TRUE),OR(exact(Metadata!D620,"UBERON:zone of skin"),exact(Metadata!D620,"UBERON:skin of hand"),exact(Metadata!D620,"UBERON:skin of forehead"))))</f>
        <v>0</v>
      </c>
      <c r="T620">
        <f>AND(IF(Metadata!E620="",FALSE,TRUE),exact(Metadata!E620,"human skin metagenome"))</f>
        <v>0</v>
      </c>
      <c r="U620">
        <f>AND(IF(Metadata!F620="",FALSE,TRUE),exact(Metadata!F620,"539655"))</f>
        <v>0</v>
      </c>
    </row>
    <row r="621" spans="1:21">
      <c r="A621" s="4">
        <f>IF(B621=" "," ",HYPERLINK(CONCATENATE("#metadata!",ADDRESS(INDEX($L$2:$L$1001,MATCH(ROWS($J$2:J621),$J$2:$J$1001,0),0),1)),INDEX($O$2:$O$1001,MATCH(ROWS($J$2:J621),$J$2:$J$1001,0),0)))</f>
        <v>0</v>
      </c>
      <c r="B621" s="3">
        <f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>0</v>
      </c>
      <c r="C621" s="3">
        <f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>0</v>
      </c>
      <c r="D621" s="3">
        <f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>0</v>
      </c>
      <c r="E621" s="3">
        <f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>0</v>
      </c>
      <c r="F621" s="3">
        <f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>0</v>
      </c>
      <c r="J621">
        <v>0</v>
      </c>
      <c r="K621">
        <v>0</v>
      </c>
      <c r="L621">
        <v>0</v>
      </c>
      <c r="M621">
        <f>IF(N621,TRUE,AND(Q621:U621))</f>
        <v>0</v>
      </c>
      <c r="N621">
        <f>COUNTBLANK(Metadata!B621:F621)=COLUMNS(Metadata!B621:F621)</f>
        <v>0</v>
      </c>
      <c r="O621">
        <v>0</v>
      </c>
      <c r="Q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>
        <f>AND(IF(Metadata!C621="",FALSE,TRUE),exact(Metadata!C621,"human-skin"))</f>
        <v>0</v>
      </c>
      <c r="S621">
        <f>OR(AND(IF(Metadata!D621="",FALSE,TRUE),OR(exact(Metadata!D621,"missing: not collected"),exact(Metadata!D621,"missing: not provided"))),AND(IF(Metadata!D621="",FALSE,TRUE),OR(exact(Metadata!D621,"UBERON:zone of skin"),exact(Metadata!D621,"UBERON:skin of hand"),exact(Metadata!D621,"UBERON:skin of forehead"))))</f>
        <v>0</v>
      </c>
      <c r="T621">
        <f>AND(IF(Metadata!E621="",FALSE,TRUE),exact(Metadata!E621,"human skin metagenome"))</f>
        <v>0</v>
      </c>
      <c r="U621">
        <f>AND(IF(Metadata!F621="",FALSE,TRUE),exact(Metadata!F621,"539655"))</f>
        <v>0</v>
      </c>
    </row>
    <row r="622" spans="1:21">
      <c r="A622" s="4">
        <f>IF(B622=" "," ",HYPERLINK(CONCATENATE("#metadata!",ADDRESS(INDEX($L$2:$L$1001,MATCH(ROWS($J$2:J622),$J$2:$J$1001,0),0),1)),INDEX($O$2:$O$1001,MATCH(ROWS($J$2:J622),$J$2:$J$1001,0),0)))</f>
        <v>0</v>
      </c>
      <c r="B622" s="3">
        <f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>0</v>
      </c>
      <c r="C622" s="3">
        <f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>0</v>
      </c>
      <c r="D622" s="3">
        <f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>0</v>
      </c>
      <c r="E622" s="3">
        <f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>0</v>
      </c>
      <c r="F622" s="3">
        <f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>0</v>
      </c>
      <c r="J622">
        <v>0</v>
      </c>
      <c r="K622">
        <v>0</v>
      </c>
      <c r="L622">
        <v>0</v>
      </c>
      <c r="M622">
        <f>IF(N622,TRUE,AND(Q622:U622))</f>
        <v>0</v>
      </c>
      <c r="N622">
        <f>COUNTBLANK(Metadata!B622:F622)=COLUMNS(Metadata!B622:F622)</f>
        <v>0</v>
      </c>
      <c r="O622">
        <v>0</v>
      </c>
      <c r="Q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>
        <f>AND(IF(Metadata!C622="",FALSE,TRUE),exact(Metadata!C622,"human-skin"))</f>
        <v>0</v>
      </c>
      <c r="S622">
        <f>OR(AND(IF(Metadata!D622="",FALSE,TRUE),OR(exact(Metadata!D622,"missing: not collected"),exact(Metadata!D622,"missing: not provided"))),AND(IF(Metadata!D622="",FALSE,TRUE),OR(exact(Metadata!D622,"UBERON:zone of skin"),exact(Metadata!D622,"UBERON:skin of hand"),exact(Metadata!D622,"UBERON:skin of forehead"))))</f>
        <v>0</v>
      </c>
      <c r="T622">
        <f>AND(IF(Metadata!E622="",FALSE,TRUE),exact(Metadata!E622,"human skin metagenome"))</f>
        <v>0</v>
      </c>
      <c r="U622">
        <f>AND(IF(Metadata!F622="",FALSE,TRUE),exact(Metadata!F622,"539655"))</f>
        <v>0</v>
      </c>
    </row>
    <row r="623" spans="1:21">
      <c r="A623" s="4">
        <f>IF(B623=" "," ",HYPERLINK(CONCATENATE("#metadata!",ADDRESS(INDEX($L$2:$L$1001,MATCH(ROWS($J$2:J623),$J$2:$J$1001,0),0),1)),INDEX($O$2:$O$1001,MATCH(ROWS($J$2:J623),$J$2:$J$1001,0),0)))</f>
        <v>0</v>
      </c>
      <c r="B623" s="3">
        <f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>0</v>
      </c>
      <c r="C623" s="3">
        <f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>0</v>
      </c>
      <c r="D623" s="3">
        <f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>0</v>
      </c>
      <c r="E623" s="3">
        <f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>0</v>
      </c>
      <c r="F623" s="3">
        <f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>0</v>
      </c>
      <c r="J623">
        <v>0</v>
      </c>
      <c r="K623">
        <v>0</v>
      </c>
      <c r="L623">
        <v>0</v>
      </c>
      <c r="M623">
        <f>IF(N623,TRUE,AND(Q623:U623))</f>
        <v>0</v>
      </c>
      <c r="N623">
        <f>COUNTBLANK(Metadata!B623:F623)=COLUMNS(Metadata!B623:F623)</f>
        <v>0</v>
      </c>
      <c r="O623">
        <v>0</v>
      </c>
      <c r="Q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>
        <f>AND(IF(Metadata!C623="",FALSE,TRUE),exact(Metadata!C623,"human-skin"))</f>
        <v>0</v>
      </c>
      <c r="S623">
        <f>OR(AND(IF(Metadata!D623="",FALSE,TRUE),OR(exact(Metadata!D623,"missing: not collected"),exact(Metadata!D623,"missing: not provided"))),AND(IF(Metadata!D623="",FALSE,TRUE),OR(exact(Metadata!D623,"UBERON:zone of skin"),exact(Metadata!D623,"UBERON:skin of hand"),exact(Metadata!D623,"UBERON:skin of forehead"))))</f>
        <v>0</v>
      </c>
      <c r="T623">
        <f>AND(IF(Metadata!E623="",FALSE,TRUE),exact(Metadata!E623,"human skin metagenome"))</f>
        <v>0</v>
      </c>
      <c r="U623">
        <f>AND(IF(Metadata!F623="",FALSE,TRUE),exact(Metadata!F623,"539655"))</f>
        <v>0</v>
      </c>
    </row>
    <row r="624" spans="1:21">
      <c r="A624" s="4">
        <f>IF(B624=" "," ",HYPERLINK(CONCATENATE("#metadata!",ADDRESS(INDEX($L$2:$L$1001,MATCH(ROWS($J$2:J624),$J$2:$J$1001,0),0),1)),INDEX($O$2:$O$1001,MATCH(ROWS($J$2:J624),$J$2:$J$1001,0),0)))</f>
        <v>0</v>
      </c>
      <c r="B624" s="3">
        <f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>0</v>
      </c>
      <c r="C624" s="3">
        <f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>0</v>
      </c>
      <c r="D624" s="3">
        <f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>0</v>
      </c>
      <c r="E624" s="3">
        <f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>0</v>
      </c>
      <c r="F624" s="3">
        <f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>0</v>
      </c>
      <c r="J624">
        <v>0</v>
      </c>
      <c r="K624">
        <v>0</v>
      </c>
      <c r="L624">
        <v>0</v>
      </c>
      <c r="M624">
        <f>IF(N624,TRUE,AND(Q624:U624))</f>
        <v>0</v>
      </c>
      <c r="N624">
        <f>COUNTBLANK(Metadata!B624:F624)=COLUMNS(Metadata!B624:F624)</f>
        <v>0</v>
      </c>
      <c r="O624">
        <v>0</v>
      </c>
      <c r="Q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>
        <f>AND(IF(Metadata!C624="",FALSE,TRUE),exact(Metadata!C624,"human-skin"))</f>
        <v>0</v>
      </c>
      <c r="S624">
        <f>OR(AND(IF(Metadata!D624="",FALSE,TRUE),OR(exact(Metadata!D624,"missing: not collected"),exact(Metadata!D624,"missing: not provided"))),AND(IF(Metadata!D624="",FALSE,TRUE),OR(exact(Metadata!D624,"UBERON:zone of skin"),exact(Metadata!D624,"UBERON:skin of hand"),exact(Metadata!D624,"UBERON:skin of forehead"))))</f>
        <v>0</v>
      </c>
      <c r="T624">
        <f>AND(IF(Metadata!E624="",FALSE,TRUE),exact(Metadata!E624,"human skin metagenome"))</f>
        <v>0</v>
      </c>
      <c r="U624">
        <f>AND(IF(Metadata!F624="",FALSE,TRUE),exact(Metadata!F624,"539655"))</f>
        <v>0</v>
      </c>
    </row>
    <row r="625" spans="1:21">
      <c r="A625" s="4">
        <f>IF(B625=" "," ",HYPERLINK(CONCATENATE("#metadata!",ADDRESS(INDEX($L$2:$L$1001,MATCH(ROWS($J$2:J625),$J$2:$J$1001,0),0),1)),INDEX($O$2:$O$1001,MATCH(ROWS($J$2:J625),$J$2:$J$1001,0),0)))</f>
        <v>0</v>
      </c>
      <c r="B625" s="3">
        <f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>0</v>
      </c>
      <c r="C625" s="3">
        <f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>0</v>
      </c>
      <c r="D625" s="3">
        <f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>0</v>
      </c>
      <c r="E625" s="3">
        <f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>0</v>
      </c>
      <c r="F625" s="3">
        <f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>0</v>
      </c>
      <c r="J625">
        <v>0</v>
      </c>
      <c r="K625">
        <v>0</v>
      </c>
      <c r="L625">
        <v>0</v>
      </c>
      <c r="M625">
        <f>IF(N625,TRUE,AND(Q625:U625))</f>
        <v>0</v>
      </c>
      <c r="N625">
        <f>COUNTBLANK(Metadata!B625:F625)=COLUMNS(Metadata!B625:F625)</f>
        <v>0</v>
      </c>
      <c r="O625">
        <v>0</v>
      </c>
      <c r="Q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>
        <f>AND(IF(Metadata!C625="",FALSE,TRUE),exact(Metadata!C625,"human-skin"))</f>
        <v>0</v>
      </c>
      <c r="S625">
        <f>OR(AND(IF(Metadata!D625="",FALSE,TRUE),OR(exact(Metadata!D625,"missing: not collected"),exact(Metadata!D625,"missing: not provided"))),AND(IF(Metadata!D625="",FALSE,TRUE),OR(exact(Metadata!D625,"UBERON:zone of skin"),exact(Metadata!D625,"UBERON:skin of hand"),exact(Metadata!D625,"UBERON:skin of forehead"))))</f>
        <v>0</v>
      </c>
      <c r="T625">
        <f>AND(IF(Metadata!E625="",FALSE,TRUE),exact(Metadata!E625,"human skin metagenome"))</f>
        <v>0</v>
      </c>
      <c r="U625">
        <f>AND(IF(Metadata!F625="",FALSE,TRUE),exact(Metadata!F625,"539655"))</f>
        <v>0</v>
      </c>
    </row>
    <row r="626" spans="1:21">
      <c r="A626" s="4">
        <f>IF(B626=" "," ",HYPERLINK(CONCATENATE("#metadata!",ADDRESS(INDEX($L$2:$L$1001,MATCH(ROWS($J$2:J626),$J$2:$J$1001,0),0),1)),INDEX($O$2:$O$1001,MATCH(ROWS($J$2:J626),$J$2:$J$1001,0),0)))</f>
        <v>0</v>
      </c>
      <c r="B626" s="3">
        <f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>0</v>
      </c>
      <c r="C626" s="3">
        <f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>0</v>
      </c>
      <c r="D626" s="3">
        <f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>0</v>
      </c>
      <c r="E626" s="3">
        <f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>0</v>
      </c>
      <c r="F626" s="3">
        <f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>0</v>
      </c>
      <c r="J626">
        <v>0</v>
      </c>
      <c r="K626">
        <v>0</v>
      </c>
      <c r="L626">
        <v>0</v>
      </c>
      <c r="M626">
        <f>IF(N626,TRUE,AND(Q626:U626))</f>
        <v>0</v>
      </c>
      <c r="N626">
        <f>COUNTBLANK(Metadata!B626:F626)=COLUMNS(Metadata!B626:F626)</f>
        <v>0</v>
      </c>
      <c r="O626">
        <v>0</v>
      </c>
      <c r="Q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>
        <f>AND(IF(Metadata!C626="",FALSE,TRUE),exact(Metadata!C626,"human-skin"))</f>
        <v>0</v>
      </c>
      <c r="S626">
        <f>OR(AND(IF(Metadata!D626="",FALSE,TRUE),OR(exact(Metadata!D626,"missing: not collected"),exact(Metadata!D626,"missing: not provided"))),AND(IF(Metadata!D626="",FALSE,TRUE),OR(exact(Metadata!D626,"UBERON:zone of skin"),exact(Metadata!D626,"UBERON:skin of hand"),exact(Metadata!D626,"UBERON:skin of forehead"))))</f>
        <v>0</v>
      </c>
      <c r="T626">
        <f>AND(IF(Metadata!E626="",FALSE,TRUE),exact(Metadata!E626,"human skin metagenome"))</f>
        <v>0</v>
      </c>
      <c r="U626">
        <f>AND(IF(Metadata!F626="",FALSE,TRUE),exact(Metadata!F626,"539655"))</f>
        <v>0</v>
      </c>
    </row>
    <row r="627" spans="1:21">
      <c r="A627" s="4">
        <f>IF(B627=" "," ",HYPERLINK(CONCATENATE("#metadata!",ADDRESS(INDEX($L$2:$L$1001,MATCH(ROWS($J$2:J627),$J$2:$J$1001,0),0),1)),INDEX($O$2:$O$1001,MATCH(ROWS($J$2:J627),$J$2:$J$1001,0),0)))</f>
        <v>0</v>
      </c>
      <c r="B627" s="3">
        <f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>0</v>
      </c>
      <c r="C627" s="3">
        <f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>0</v>
      </c>
      <c r="D627" s="3">
        <f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>0</v>
      </c>
      <c r="E627" s="3">
        <f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>0</v>
      </c>
      <c r="F627" s="3">
        <f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>0</v>
      </c>
      <c r="J627">
        <v>0</v>
      </c>
      <c r="K627">
        <v>0</v>
      </c>
      <c r="L627">
        <v>0</v>
      </c>
      <c r="M627">
        <f>IF(N627,TRUE,AND(Q627:U627))</f>
        <v>0</v>
      </c>
      <c r="N627">
        <f>COUNTBLANK(Metadata!B627:F627)=COLUMNS(Metadata!B627:F627)</f>
        <v>0</v>
      </c>
      <c r="O627">
        <v>0</v>
      </c>
      <c r="Q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>
        <f>AND(IF(Metadata!C627="",FALSE,TRUE),exact(Metadata!C627,"human-skin"))</f>
        <v>0</v>
      </c>
      <c r="S627">
        <f>OR(AND(IF(Metadata!D627="",FALSE,TRUE),OR(exact(Metadata!D627,"missing: not collected"),exact(Metadata!D627,"missing: not provided"))),AND(IF(Metadata!D627="",FALSE,TRUE),OR(exact(Metadata!D627,"UBERON:zone of skin"),exact(Metadata!D627,"UBERON:skin of hand"),exact(Metadata!D627,"UBERON:skin of forehead"))))</f>
        <v>0</v>
      </c>
      <c r="T627">
        <f>AND(IF(Metadata!E627="",FALSE,TRUE),exact(Metadata!E627,"human skin metagenome"))</f>
        <v>0</v>
      </c>
      <c r="U627">
        <f>AND(IF(Metadata!F627="",FALSE,TRUE),exact(Metadata!F627,"539655"))</f>
        <v>0</v>
      </c>
    </row>
    <row r="628" spans="1:21">
      <c r="A628" s="4">
        <f>IF(B628=" "," ",HYPERLINK(CONCATENATE("#metadata!",ADDRESS(INDEX($L$2:$L$1001,MATCH(ROWS($J$2:J628),$J$2:$J$1001,0),0),1)),INDEX($O$2:$O$1001,MATCH(ROWS($J$2:J628),$J$2:$J$1001,0),0)))</f>
        <v>0</v>
      </c>
      <c r="B628" s="3">
        <f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>0</v>
      </c>
      <c r="C628" s="3">
        <f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>0</v>
      </c>
      <c r="D628" s="3">
        <f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>0</v>
      </c>
      <c r="E628" s="3">
        <f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>0</v>
      </c>
      <c r="F628" s="3">
        <f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>0</v>
      </c>
      <c r="J628">
        <v>0</v>
      </c>
      <c r="K628">
        <v>0</v>
      </c>
      <c r="L628">
        <v>0</v>
      </c>
      <c r="M628">
        <f>IF(N628,TRUE,AND(Q628:U628))</f>
        <v>0</v>
      </c>
      <c r="N628">
        <f>COUNTBLANK(Metadata!B628:F628)=COLUMNS(Metadata!B628:F628)</f>
        <v>0</v>
      </c>
      <c r="O628">
        <v>0</v>
      </c>
      <c r="Q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>
        <f>AND(IF(Metadata!C628="",FALSE,TRUE),exact(Metadata!C628,"human-skin"))</f>
        <v>0</v>
      </c>
      <c r="S628">
        <f>OR(AND(IF(Metadata!D628="",FALSE,TRUE),OR(exact(Metadata!D628,"missing: not collected"),exact(Metadata!D628,"missing: not provided"))),AND(IF(Metadata!D628="",FALSE,TRUE),OR(exact(Metadata!D628,"UBERON:zone of skin"),exact(Metadata!D628,"UBERON:skin of hand"),exact(Metadata!D628,"UBERON:skin of forehead"))))</f>
        <v>0</v>
      </c>
      <c r="T628">
        <f>AND(IF(Metadata!E628="",FALSE,TRUE),exact(Metadata!E628,"human skin metagenome"))</f>
        <v>0</v>
      </c>
      <c r="U628">
        <f>AND(IF(Metadata!F628="",FALSE,TRUE),exact(Metadata!F628,"539655"))</f>
        <v>0</v>
      </c>
    </row>
    <row r="629" spans="1:21">
      <c r="A629" s="4">
        <f>IF(B629=" "," ",HYPERLINK(CONCATENATE("#metadata!",ADDRESS(INDEX($L$2:$L$1001,MATCH(ROWS($J$2:J629),$J$2:$J$1001,0),0),1)),INDEX($O$2:$O$1001,MATCH(ROWS($J$2:J629),$J$2:$J$1001,0),0)))</f>
        <v>0</v>
      </c>
      <c r="B629" s="3">
        <f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>0</v>
      </c>
      <c r="C629" s="3">
        <f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>0</v>
      </c>
      <c r="D629" s="3">
        <f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>0</v>
      </c>
      <c r="E629" s="3">
        <f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>0</v>
      </c>
      <c r="F629" s="3">
        <f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>0</v>
      </c>
      <c r="J629">
        <v>0</v>
      </c>
      <c r="K629">
        <v>0</v>
      </c>
      <c r="L629">
        <v>0</v>
      </c>
      <c r="M629">
        <f>IF(N629,TRUE,AND(Q629:U629))</f>
        <v>0</v>
      </c>
      <c r="N629">
        <f>COUNTBLANK(Metadata!B629:F629)=COLUMNS(Metadata!B629:F629)</f>
        <v>0</v>
      </c>
      <c r="O629">
        <v>0</v>
      </c>
      <c r="Q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>
        <f>AND(IF(Metadata!C629="",FALSE,TRUE),exact(Metadata!C629,"human-skin"))</f>
        <v>0</v>
      </c>
      <c r="S629">
        <f>OR(AND(IF(Metadata!D629="",FALSE,TRUE),OR(exact(Metadata!D629,"missing: not collected"),exact(Metadata!D629,"missing: not provided"))),AND(IF(Metadata!D629="",FALSE,TRUE),OR(exact(Metadata!D629,"UBERON:zone of skin"),exact(Metadata!D629,"UBERON:skin of hand"),exact(Metadata!D629,"UBERON:skin of forehead"))))</f>
        <v>0</v>
      </c>
      <c r="T629">
        <f>AND(IF(Metadata!E629="",FALSE,TRUE),exact(Metadata!E629,"human skin metagenome"))</f>
        <v>0</v>
      </c>
      <c r="U629">
        <f>AND(IF(Metadata!F629="",FALSE,TRUE),exact(Metadata!F629,"539655"))</f>
        <v>0</v>
      </c>
    </row>
    <row r="630" spans="1:21">
      <c r="A630" s="4">
        <f>IF(B630=" "," ",HYPERLINK(CONCATENATE("#metadata!",ADDRESS(INDEX($L$2:$L$1001,MATCH(ROWS($J$2:J630),$J$2:$J$1001,0),0),1)),INDEX($O$2:$O$1001,MATCH(ROWS($J$2:J630),$J$2:$J$1001,0),0)))</f>
        <v>0</v>
      </c>
      <c r="B630" s="3">
        <f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>0</v>
      </c>
      <c r="C630" s="3">
        <f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>0</v>
      </c>
      <c r="D630" s="3">
        <f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>0</v>
      </c>
      <c r="E630" s="3">
        <f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>0</v>
      </c>
      <c r="F630" s="3">
        <f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>0</v>
      </c>
      <c r="J630">
        <v>0</v>
      </c>
      <c r="K630">
        <v>0</v>
      </c>
      <c r="L630">
        <v>0</v>
      </c>
      <c r="M630">
        <f>IF(N630,TRUE,AND(Q630:U630))</f>
        <v>0</v>
      </c>
      <c r="N630">
        <f>COUNTBLANK(Metadata!B630:F630)=COLUMNS(Metadata!B630:F630)</f>
        <v>0</v>
      </c>
      <c r="O630">
        <v>0</v>
      </c>
      <c r="Q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>
        <f>AND(IF(Metadata!C630="",FALSE,TRUE),exact(Metadata!C630,"human-skin"))</f>
        <v>0</v>
      </c>
      <c r="S630">
        <f>OR(AND(IF(Metadata!D630="",FALSE,TRUE),OR(exact(Metadata!D630,"missing: not collected"),exact(Metadata!D630,"missing: not provided"))),AND(IF(Metadata!D630="",FALSE,TRUE),OR(exact(Metadata!D630,"UBERON:zone of skin"),exact(Metadata!D630,"UBERON:skin of hand"),exact(Metadata!D630,"UBERON:skin of forehead"))))</f>
        <v>0</v>
      </c>
      <c r="T630">
        <f>AND(IF(Metadata!E630="",FALSE,TRUE),exact(Metadata!E630,"human skin metagenome"))</f>
        <v>0</v>
      </c>
      <c r="U630">
        <f>AND(IF(Metadata!F630="",FALSE,TRUE),exact(Metadata!F630,"539655"))</f>
        <v>0</v>
      </c>
    </row>
    <row r="631" spans="1:21">
      <c r="A631" s="4">
        <f>IF(B631=" "," ",HYPERLINK(CONCATENATE("#metadata!",ADDRESS(INDEX($L$2:$L$1001,MATCH(ROWS($J$2:J631),$J$2:$J$1001,0),0),1)),INDEX($O$2:$O$1001,MATCH(ROWS($J$2:J631),$J$2:$J$1001,0),0)))</f>
        <v>0</v>
      </c>
      <c r="B631" s="3">
        <f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>0</v>
      </c>
      <c r="C631" s="3">
        <f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>0</v>
      </c>
      <c r="D631" s="3">
        <f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>0</v>
      </c>
      <c r="E631" s="3">
        <f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>0</v>
      </c>
      <c r="F631" s="3">
        <f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>0</v>
      </c>
      <c r="J631">
        <v>0</v>
      </c>
      <c r="K631">
        <v>0</v>
      </c>
      <c r="L631">
        <v>0</v>
      </c>
      <c r="M631">
        <f>IF(N631,TRUE,AND(Q631:U631))</f>
        <v>0</v>
      </c>
      <c r="N631">
        <f>COUNTBLANK(Metadata!B631:F631)=COLUMNS(Metadata!B631:F631)</f>
        <v>0</v>
      </c>
      <c r="O631">
        <v>0</v>
      </c>
      <c r="Q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>
        <f>AND(IF(Metadata!C631="",FALSE,TRUE),exact(Metadata!C631,"human-skin"))</f>
        <v>0</v>
      </c>
      <c r="S631">
        <f>OR(AND(IF(Metadata!D631="",FALSE,TRUE),OR(exact(Metadata!D631,"missing: not collected"),exact(Metadata!D631,"missing: not provided"))),AND(IF(Metadata!D631="",FALSE,TRUE),OR(exact(Metadata!D631,"UBERON:zone of skin"),exact(Metadata!D631,"UBERON:skin of hand"),exact(Metadata!D631,"UBERON:skin of forehead"))))</f>
        <v>0</v>
      </c>
      <c r="T631">
        <f>AND(IF(Metadata!E631="",FALSE,TRUE),exact(Metadata!E631,"human skin metagenome"))</f>
        <v>0</v>
      </c>
      <c r="U631">
        <f>AND(IF(Metadata!F631="",FALSE,TRUE),exact(Metadata!F631,"539655"))</f>
        <v>0</v>
      </c>
    </row>
    <row r="632" spans="1:21">
      <c r="A632" s="4">
        <f>IF(B632=" "," ",HYPERLINK(CONCATENATE("#metadata!",ADDRESS(INDEX($L$2:$L$1001,MATCH(ROWS($J$2:J632),$J$2:$J$1001,0),0),1)),INDEX($O$2:$O$1001,MATCH(ROWS($J$2:J632),$J$2:$J$1001,0),0)))</f>
        <v>0</v>
      </c>
      <c r="B632" s="3">
        <f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>0</v>
      </c>
      <c r="C632" s="3">
        <f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>0</v>
      </c>
      <c r="D632" s="3">
        <f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>0</v>
      </c>
      <c r="E632" s="3">
        <f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>0</v>
      </c>
      <c r="F632" s="3">
        <f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>0</v>
      </c>
      <c r="J632">
        <v>0</v>
      </c>
      <c r="K632">
        <v>0</v>
      </c>
      <c r="L632">
        <v>0</v>
      </c>
      <c r="M632">
        <f>IF(N632,TRUE,AND(Q632:U632))</f>
        <v>0</v>
      </c>
      <c r="N632">
        <f>COUNTBLANK(Metadata!B632:F632)=COLUMNS(Metadata!B632:F632)</f>
        <v>0</v>
      </c>
      <c r="O632">
        <v>0</v>
      </c>
      <c r="Q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>
        <f>AND(IF(Metadata!C632="",FALSE,TRUE),exact(Metadata!C632,"human-skin"))</f>
        <v>0</v>
      </c>
      <c r="S632">
        <f>OR(AND(IF(Metadata!D632="",FALSE,TRUE),OR(exact(Metadata!D632,"missing: not collected"),exact(Metadata!D632,"missing: not provided"))),AND(IF(Metadata!D632="",FALSE,TRUE),OR(exact(Metadata!D632,"UBERON:zone of skin"),exact(Metadata!D632,"UBERON:skin of hand"),exact(Metadata!D632,"UBERON:skin of forehead"))))</f>
        <v>0</v>
      </c>
      <c r="T632">
        <f>AND(IF(Metadata!E632="",FALSE,TRUE),exact(Metadata!E632,"human skin metagenome"))</f>
        <v>0</v>
      </c>
      <c r="U632">
        <f>AND(IF(Metadata!F632="",FALSE,TRUE),exact(Metadata!F632,"539655"))</f>
        <v>0</v>
      </c>
    </row>
    <row r="633" spans="1:21">
      <c r="A633" s="4">
        <f>IF(B633=" "," ",HYPERLINK(CONCATENATE("#metadata!",ADDRESS(INDEX($L$2:$L$1001,MATCH(ROWS($J$2:J633),$J$2:$J$1001,0),0),1)),INDEX($O$2:$O$1001,MATCH(ROWS($J$2:J633),$J$2:$J$1001,0),0)))</f>
        <v>0</v>
      </c>
      <c r="B633" s="3">
        <f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>0</v>
      </c>
      <c r="C633" s="3">
        <f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>0</v>
      </c>
      <c r="D633" s="3">
        <f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>0</v>
      </c>
      <c r="E633" s="3">
        <f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>0</v>
      </c>
      <c r="F633" s="3">
        <f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>0</v>
      </c>
      <c r="J633">
        <v>0</v>
      </c>
      <c r="K633">
        <v>0</v>
      </c>
      <c r="L633">
        <v>0</v>
      </c>
      <c r="M633">
        <f>IF(N633,TRUE,AND(Q633:U633))</f>
        <v>0</v>
      </c>
      <c r="N633">
        <f>COUNTBLANK(Metadata!B633:F633)=COLUMNS(Metadata!B633:F633)</f>
        <v>0</v>
      </c>
      <c r="O633">
        <v>0</v>
      </c>
      <c r="Q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>
        <f>AND(IF(Metadata!C633="",FALSE,TRUE),exact(Metadata!C633,"human-skin"))</f>
        <v>0</v>
      </c>
      <c r="S633">
        <f>OR(AND(IF(Metadata!D633="",FALSE,TRUE),OR(exact(Metadata!D633,"missing: not collected"),exact(Metadata!D633,"missing: not provided"))),AND(IF(Metadata!D633="",FALSE,TRUE),OR(exact(Metadata!D633,"UBERON:zone of skin"),exact(Metadata!D633,"UBERON:skin of hand"),exact(Metadata!D633,"UBERON:skin of forehead"))))</f>
        <v>0</v>
      </c>
      <c r="T633">
        <f>AND(IF(Metadata!E633="",FALSE,TRUE),exact(Metadata!E633,"human skin metagenome"))</f>
        <v>0</v>
      </c>
      <c r="U633">
        <f>AND(IF(Metadata!F633="",FALSE,TRUE),exact(Metadata!F633,"539655"))</f>
        <v>0</v>
      </c>
    </row>
    <row r="634" spans="1:21">
      <c r="A634" s="4">
        <f>IF(B634=" "," ",HYPERLINK(CONCATENATE("#metadata!",ADDRESS(INDEX($L$2:$L$1001,MATCH(ROWS($J$2:J634),$J$2:$J$1001,0),0),1)),INDEX($O$2:$O$1001,MATCH(ROWS($J$2:J634),$J$2:$J$1001,0),0)))</f>
        <v>0</v>
      </c>
      <c r="B634" s="3">
        <f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>0</v>
      </c>
      <c r="C634" s="3">
        <f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>0</v>
      </c>
      <c r="D634" s="3">
        <f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>0</v>
      </c>
      <c r="E634" s="3">
        <f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>0</v>
      </c>
      <c r="F634" s="3">
        <f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>0</v>
      </c>
      <c r="J634">
        <v>0</v>
      </c>
      <c r="K634">
        <v>0</v>
      </c>
      <c r="L634">
        <v>0</v>
      </c>
      <c r="M634">
        <f>IF(N634,TRUE,AND(Q634:U634))</f>
        <v>0</v>
      </c>
      <c r="N634">
        <f>COUNTBLANK(Metadata!B634:F634)=COLUMNS(Metadata!B634:F634)</f>
        <v>0</v>
      </c>
      <c r="O634">
        <v>0</v>
      </c>
      <c r="Q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>
        <f>AND(IF(Metadata!C634="",FALSE,TRUE),exact(Metadata!C634,"human-skin"))</f>
        <v>0</v>
      </c>
      <c r="S634">
        <f>OR(AND(IF(Metadata!D634="",FALSE,TRUE),OR(exact(Metadata!D634,"missing: not collected"),exact(Metadata!D634,"missing: not provided"))),AND(IF(Metadata!D634="",FALSE,TRUE),OR(exact(Metadata!D634,"UBERON:zone of skin"),exact(Metadata!D634,"UBERON:skin of hand"),exact(Metadata!D634,"UBERON:skin of forehead"))))</f>
        <v>0</v>
      </c>
      <c r="T634">
        <f>AND(IF(Metadata!E634="",FALSE,TRUE),exact(Metadata!E634,"human skin metagenome"))</f>
        <v>0</v>
      </c>
      <c r="U634">
        <f>AND(IF(Metadata!F634="",FALSE,TRUE),exact(Metadata!F634,"539655"))</f>
        <v>0</v>
      </c>
    </row>
    <row r="635" spans="1:21">
      <c r="A635" s="4">
        <f>IF(B635=" "," ",HYPERLINK(CONCATENATE("#metadata!",ADDRESS(INDEX($L$2:$L$1001,MATCH(ROWS($J$2:J635),$J$2:$J$1001,0),0),1)),INDEX($O$2:$O$1001,MATCH(ROWS($J$2:J635),$J$2:$J$1001,0),0)))</f>
        <v>0</v>
      </c>
      <c r="B635" s="3">
        <f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>0</v>
      </c>
      <c r="C635" s="3">
        <f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>0</v>
      </c>
      <c r="D635" s="3">
        <f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>0</v>
      </c>
      <c r="E635" s="3">
        <f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>0</v>
      </c>
      <c r="F635" s="3">
        <f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>0</v>
      </c>
      <c r="J635">
        <v>0</v>
      </c>
      <c r="K635">
        <v>0</v>
      </c>
      <c r="L635">
        <v>0</v>
      </c>
      <c r="M635">
        <f>IF(N635,TRUE,AND(Q635:U635))</f>
        <v>0</v>
      </c>
      <c r="N635">
        <f>COUNTBLANK(Metadata!B635:F635)=COLUMNS(Metadata!B635:F635)</f>
        <v>0</v>
      </c>
      <c r="O635">
        <v>0</v>
      </c>
      <c r="Q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>
        <f>AND(IF(Metadata!C635="",FALSE,TRUE),exact(Metadata!C635,"human-skin"))</f>
        <v>0</v>
      </c>
      <c r="S635">
        <f>OR(AND(IF(Metadata!D635="",FALSE,TRUE),OR(exact(Metadata!D635,"missing: not collected"),exact(Metadata!D635,"missing: not provided"))),AND(IF(Metadata!D635="",FALSE,TRUE),OR(exact(Metadata!D635,"UBERON:zone of skin"),exact(Metadata!D635,"UBERON:skin of hand"),exact(Metadata!D635,"UBERON:skin of forehead"))))</f>
        <v>0</v>
      </c>
      <c r="T635">
        <f>AND(IF(Metadata!E635="",FALSE,TRUE),exact(Metadata!E635,"human skin metagenome"))</f>
        <v>0</v>
      </c>
      <c r="U635">
        <f>AND(IF(Metadata!F635="",FALSE,TRUE),exact(Metadata!F635,"539655"))</f>
        <v>0</v>
      </c>
    </row>
    <row r="636" spans="1:21">
      <c r="A636" s="4">
        <f>IF(B636=" "," ",HYPERLINK(CONCATENATE("#metadata!",ADDRESS(INDEX($L$2:$L$1001,MATCH(ROWS($J$2:J636),$J$2:$J$1001,0),0),1)),INDEX($O$2:$O$1001,MATCH(ROWS($J$2:J636),$J$2:$J$1001,0),0)))</f>
        <v>0</v>
      </c>
      <c r="B636" s="3">
        <f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>0</v>
      </c>
      <c r="C636" s="3">
        <f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>0</v>
      </c>
      <c r="D636" s="3">
        <f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>0</v>
      </c>
      <c r="E636" s="3">
        <f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>0</v>
      </c>
      <c r="F636" s="3">
        <f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>0</v>
      </c>
      <c r="J636">
        <v>0</v>
      </c>
      <c r="K636">
        <v>0</v>
      </c>
      <c r="L636">
        <v>0</v>
      </c>
      <c r="M636">
        <f>IF(N636,TRUE,AND(Q636:U636))</f>
        <v>0</v>
      </c>
      <c r="N636">
        <f>COUNTBLANK(Metadata!B636:F636)=COLUMNS(Metadata!B636:F636)</f>
        <v>0</v>
      </c>
      <c r="O636">
        <v>0</v>
      </c>
      <c r="Q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>
        <f>AND(IF(Metadata!C636="",FALSE,TRUE),exact(Metadata!C636,"human-skin"))</f>
        <v>0</v>
      </c>
      <c r="S636">
        <f>OR(AND(IF(Metadata!D636="",FALSE,TRUE),OR(exact(Metadata!D636,"missing: not collected"),exact(Metadata!D636,"missing: not provided"))),AND(IF(Metadata!D636="",FALSE,TRUE),OR(exact(Metadata!D636,"UBERON:zone of skin"),exact(Metadata!D636,"UBERON:skin of hand"),exact(Metadata!D636,"UBERON:skin of forehead"))))</f>
        <v>0</v>
      </c>
      <c r="T636">
        <f>AND(IF(Metadata!E636="",FALSE,TRUE),exact(Metadata!E636,"human skin metagenome"))</f>
        <v>0</v>
      </c>
      <c r="U636">
        <f>AND(IF(Metadata!F636="",FALSE,TRUE),exact(Metadata!F636,"539655"))</f>
        <v>0</v>
      </c>
    </row>
    <row r="637" spans="1:21">
      <c r="A637" s="4">
        <f>IF(B637=" "," ",HYPERLINK(CONCATENATE("#metadata!",ADDRESS(INDEX($L$2:$L$1001,MATCH(ROWS($J$2:J637),$J$2:$J$1001,0),0),1)),INDEX($O$2:$O$1001,MATCH(ROWS($J$2:J637),$J$2:$J$1001,0),0)))</f>
        <v>0</v>
      </c>
      <c r="B637" s="3">
        <f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>0</v>
      </c>
      <c r="C637" s="3">
        <f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>0</v>
      </c>
      <c r="D637" s="3">
        <f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>0</v>
      </c>
      <c r="E637" s="3">
        <f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>0</v>
      </c>
      <c r="F637" s="3">
        <f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>0</v>
      </c>
      <c r="J637">
        <v>0</v>
      </c>
      <c r="K637">
        <v>0</v>
      </c>
      <c r="L637">
        <v>0</v>
      </c>
      <c r="M637">
        <f>IF(N637,TRUE,AND(Q637:U637))</f>
        <v>0</v>
      </c>
      <c r="N637">
        <f>COUNTBLANK(Metadata!B637:F637)=COLUMNS(Metadata!B637:F637)</f>
        <v>0</v>
      </c>
      <c r="O637">
        <v>0</v>
      </c>
      <c r="Q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>
        <f>AND(IF(Metadata!C637="",FALSE,TRUE),exact(Metadata!C637,"human-skin"))</f>
        <v>0</v>
      </c>
      <c r="S637">
        <f>OR(AND(IF(Metadata!D637="",FALSE,TRUE),OR(exact(Metadata!D637,"missing: not collected"),exact(Metadata!D637,"missing: not provided"))),AND(IF(Metadata!D637="",FALSE,TRUE),OR(exact(Metadata!D637,"UBERON:zone of skin"),exact(Metadata!D637,"UBERON:skin of hand"),exact(Metadata!D637,"UBERON:skin of forehead"))))</f>
        <v>0</v>
      </c>
      <c r="T637">
        <f>AND(IF(Metadata!E637="",FALSE,TRUE),exact(Metadata!E637,"human skin metagenome"))</f>
        <v>0</v>
      </c>
      <c r="U637">
        <f>AND(IF(Metadata!F637="",FALSE,TRUE),exact(Metadata!F637,"539655"))</f>
        <v>0</v>
      </c>
    </row>
    <row r="638" spans="1:21">
      <c r="A638" s="4">
        <f>IF(B638=" "," ",HYPERLINK(CONCATENATE("#metadata!",ADDRESS(INDEX($L$2:$L$1001,MATCH(ROWS($J$2:J638),$J$2:$J$1001,0),0),1)),INDEX($O$2:$O$1001,MATCH(ROWS($J$2:J638),$J$2:$J$1001,0),0)))</f>
        <v>0</v>
      </c>
      <c r="B638" s="3">
        <f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>0</v>
      </c>
      <c r="C638" s="3">
        <f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>0</v>
      </c>
      <c r="D638" s="3">
        <f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>0</v>
      </c>
      <c r="E638" s="3">
        <f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>0</v>
      </c>
      <c r="F638" s="3">
        <f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>0</v>
      </c>
      <c r="J638">
        <v>0</v>
      </c>
      <c r="K638">
        <v>0</v>
      </c>
      <c r="L638">
        <v>0</v>
      </c>
      <c r="M638">
        <f>IF(N638,TRUE,AND(Q638:U638))</f>
        <v>0</v>
      </c>
      <c r="N638">
        <f>COUNTBLANK(Metadata!B638:F638)=COLUMNS(Metadata!B638:F638)</f>
        <v>0</v>
      </c>
      <c r="O638">
        <v>0</v>
      </c>
      <c r="Q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>
        <f>AND(IF(Metadata!C638="",FALSE,TRUE),exact(Metadata!C638,"human-skin"))</f>
        <v>0</v>
      </c>
      <c r="S638">
        <f>OR(AND(IF(Metadata!D638="",FALSE,TRUE),OR(exact(Metadata!D638,"missing: not collected"),exact(Metadata!D638,"missing: not provided"))),AND(IF(Metadata!D638="",FALSE,TRUE),OR(exact(Metadata!D638,"UBERON:zone of skin"),exact(Metadata!D638,"UBERON:skin of hand"),exact(Metadata!D638,"UBERON:skin of forehead"))))</f>
        <v>0</v>
      </c>
      <c r="T638">
        <f>AND(IF(Metadata!E638="",FALSE,TRUE),exact(Metadata!E638,"human skin metagenome"))</f>
        <v>0</v>
      </c>
      <c r="U638">
        <f>AND(IF(Metadata!F638="",FALSE,TRUE),exact(Metadata!F638,"539655"))</f>
        <v>0</v>
      </c>
    </row>
    <row r="639" spans="1:21">
      <c r="A639" s="4">
        <f>IF(B639=" "," ",HYPERLINK(CONCATENATE("#metadata!",ADDRESS(INDEX($L$2:$L$1001,MATCH(ROWS($J$2:J639),$J$2:$J$1001,0),0),1)),INDEX($O$2:$O$1001,MATCH(ROWS($J$2:J639),$J$2:$J$1001,0),0)))</f>
        <v>0</v>
      </c>
      <c r="B639" s="3">
        <f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>0</v>
      </c>
      <c r="C639" s="3">
        <f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>0</v>
      </c>
      <c r="D639" s="3">
        <f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>0</v>
      </c>
      <c r="E639" s="3">
        <f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>0</v>
      </c>
      <c r="F639" s="3">
        <f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>0</v>
      </c>
      <c r="J639">
        <v>0</v>
      </c>
      <c r="K639">
        <v>0</v>
      </c>
      <c r="L639">
        <v>0</v>
      </c>
      <c r="M639">
        <f>IF(N639,TRUE,AND(Q639:U639))</f>
        <v>0</v>
      </c>
      <c r="N639">
        <f>COUNTBLANK(Metadata!B639:F639)=COLUMNS(Metadata!B639:F639)</f>
        <v>0</v>
      </c>
      <c r="O639">
        <v>0</v>
      </c>
      <c r="Q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>
        <f>AND(IF(Metadata!C639="",FALSE,TRUE),exact(Metadata!C639,"human-skin"))</f>
        <v>0</v>
      </c>
      <c r="S639">
        <f>OR(AND(IF(Metadata!D639="",FALSE,TRUE),OR(exact(Metadata!D639,"missing: not collected"),exact(Metadata!D639,"missing: not provided"))),AND(IF(Metadata!D639="",FALSE,TRUE),OR(exact(Metadata!D639,"UBERON:zone of skin"),exact(Metadata!D639,"UBERON:skin of hand"),exact(Metadata!D639,"UBERON:skin of forehead"))))</f>
        <v>0</v>
      </c>
      <c r="T639">
        <f>AND(IF(Metadata!E639="",FALSE,TRUE),exact(Metadata!E639,"human skin metagenome"))</f>
        <v>0</v>
      </c>
      <c r="U639">
        <f>AND(IF(Metadata!F639="",FALSE,TRUE),exact(Metadata!F639,"539655"))</f>
        <v>0</v>
      </c>
    </row>
    <row r="640" spans="1:21">
      <c r="A640" s="4">
        <f>IF(B640=" "," ",HYPERLINK(CONCATENATE("#metadata!",ADDRESS(INDEX($L$2:$L$1001,MATCH(ROWS($J$2:J640),$J$2:$J$1001,0),0),1)),INDEX($O$2:$O$1001,MATCH(ROWS($J$2:J640),$J$2:$J$1001,0),0)))</f>
        <v>0</v>
      </c>
      <c r="B640" s="3">
        <f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>0</v>
      </c>
      <c r="C640" s="3">
        <f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>0</v>
      </c>
      <c r="D640" s="3">
        <f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>0</v>
      </c>
      <c r="E640" s="3">
        <f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>0</v>
      </c>
      <c r="F640" s="3">
        <f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>0</v>
      </c>
      <c r="J640">
        <v>0</v>
      </c>
      <c r="K640">
        <v>0</v>
      </c>
      <c r="L640">
        <v>0</v>
      </c>
      <c r="M640">
        <f>IF(N640,TRUE,AND(Q640:U640))</f>
        <v>0</v>
      </c>
      <c r="N640">
        <f>COUNTBLANK(Metadata!B640:F640)=COLUMNS(Metadata!B640:F640)</f>
        <v>0</v>
      </c>
      <c r="O640">
        <v>0</v>
      </c>
      <c r="Q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>
        <f>AND(IF(Metadata!C640="",FALSE,TRUE),exact(Metadata!C640,"human-skin"))</f>
        <v>0</v>
      </c>
      <c r="S640">
        <f>OR(AND(IF(Metadata!D640="",FALSE,TRUE),OR(exact(Metadata!D640,"missing: not collected"),exact(Metadata!D640,"missing: not provided"))),AND(IF(Metadata!D640="",FALSE,TRUE),OR(exact(Metadata!D640,"UBERON:zone of skin"),exact(Metadata!D640,"UBERON:skin of hand"),exact(Metadata!D640,"UBERON:skin of forehead"))))</f>
        <v>0</v>
      </c>
      <c r="T640">
        <f>AND(IF(Metadata!E640="",FALSE,TRUE),exact(Metadata!E640,"human skin metagenome"))</f>
        <v>0</v>
      </c>
      <c r="U640">
        <f>AND(IF(Metadata!F640="",FALSE,TRUE),exact(Metadata!F640,"539655"))</f>
        <v>0</v>
      </c>
    </row>
    <row r="641" spans="1:21">
      <c r="A641" s="4">
        <f>IF(B641=" "," ",HYPERLINK(CONCATENATE("#metadata!",ADDRESS(INDEX($L$2:$L$1001,MATCH(ROWS($J$2:J641),$J$2:$J$1001,0),0),1)),INDEX($O$2:$O$1001,MATCH(ROWS($J$2:J641),$J$2:$J$1001,0),0)))</f>
        <v>0</v>
      </c>
      <c r="B641" s="3">
        <f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>0</v>
      </c>
      <c r="C641" s="3">
        <f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>0</v>
      </c>
      <c r="D641" s="3">
        <f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>0</v>
      </c>
      <c r="E641" s="3">
        <f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>0</v>
      </c>
      <c r="F641" s="3">
        <f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>0</v>
      </c>
      <c r="J641">
        <v>0</v>
      </c>
      <c r="K641">
        <v>0</v>
      </c>
      <c r="L641">
        <v>0</v>
      </c>
      <c r="M641">
        <f>IF(N641,TRUE,AND(Q641:U641))</f>
        <v>0</v>
      </c>
      <c r="N641">
        <f>COUNTBLANK(Metadata!B641:F641)=COLUMNS(Metadata!B641:F641)</f>
        <v>0</v>
      </c>
      <c r="O641">
        <v>0</v>
      </c>
      <c r="Q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>
        <f>AND(IF(Metadata!C641="",FALSE,TRUE),exact(Metadata!C641,"human-skin"))</f>
        <v>0</v>
      </c>
      <c r="S641">
        <f>OR(AND(IF(Metadata!D641="",FALSE,TRUE),OR(exact(Metadata!D641,"missing: not collected"),exact(Metadata!D641,"missing: not provided"))),AND(IF(Metadata!D641="",FALSE,TRUE),OR(exact(Metadata!D641,"UBERON:zone of skin"),exact(Metadata!D641,"UBERON:skin of hand"),exact(Metadata!D641,"UBERON:skin of forehead"))))</f>
        <v>0</v>
      </c>
      <c r="T641">
        <f>AND(IF(Metadata!E641="",FALSE,TRUE),exact(Metadata!E641,"human skin metagenome"))</f>
        <v>0</v>
      </c>
      <c r="U641">
        <f>AND(IF(Metadata!F641="",FALSE,TRUE),exact(Metadata!F641,"539655"))</f>
        <v>0</v>
      </c>
    </row>
    <row r="642" spans="1:21">
      <c r="A642" s="4">
        <f>IF(B642=" "," ",HYPERLINK(CONCATENATE("#metadata!",ADDRESS(INDEX($L$2:$L$1001,MATCH(ROWS($J$2:J642),$J$2:$J$1001,0),0),1)),INDEX($O$2:$O$1001,MATCH(ROWS($J$2:J642),$J$2:$J$1001,0),0)))</f>
        <v>0</v>
      </c>
      <c r="B642" s="3">
        <f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>0</v>
      </c>
      <c r="C642" s="3">
        <f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>0</v>
      </c>
      <c r="D642" s="3">
        <f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>0</v>
      </c>
      <c r="E642" s="3">
        <f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>0</v>
      </c>
      <c r="F642" s="3">
        <f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>0</v>
      </c>
      <c r="J642">
        <v>0</v>
      </c>
      <c r="K642">
        <v>0</v>
      </c>
      <c r="L642">
        <v>0</v>
      </c>
      <c r="M642">
        <f>IF(N642,TRUE,AND(Q642:U642))</f>
        <v>0</v>
      </c>
      <c r="N642">
        <f>COUNTBLANK(Metadata!B642:F642)=COLUMNS(Metadata!B642:F642)</f>
        <v>0</v>
      </c>
      <c r="O642">
        <v>0</v>
      </c>
      <c r="Q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>
        <f>AND(IF(Metadata!C642="",FALSE,TRUE),exact(Metadata!C642,"human-skin"))</f>
        <v>0</v>
      </c>
      <c r="S642">
        <f>OR(AND(IF(Metadata!D642="",FALSE,TRUE),OR(exact(Metadata!D642,"missing: not collected"),exact(Metadata!D642,"missing: not provided"))),AND(IF(Metadata!D642="",FALSE,TRUE),OR(exact(Metadata!D642,"UBERON:zone of skin"),exact(Metadata!D642,"UBERON:skin of hand"),exact(Metadata!D642,"UBERON:skin of forehead"))))</f>
        <v>0</v>
      </c>
      <c r="T642">
        <f>AND(IF(Metadata!E642="",FALSE,TRUE),exact(Metadata!E642,"human skin metagenome"))</f>
        <v>0</v>
      </c>
      <c r="U642">
        <f>AND(IF(Metadata!F642="",FALSE,TRUE),exact(Metadata!F642,"539655"))</f>
        <v>0</v>
      </c>
    </row>
    <row r="643" spans="1:21">
      <c r="A643" s="4">
        <f>IF(B643=" "," ",HYPERLINK(CONCATENATE("#metadata!",ADDRESS(INDEX($L$2:$L$1001,MATCH(ROWS($J$2:J643),$J$2:$J$1001,0),0),1)),INDEX($O$2:$O$1001,MATCH(ROWS($J$2:J643),$J$2:$J$1001,0),0)))</f>
        <v>0</v>
      </c>
      <c r="B643" s="3">
        <f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>0</v>
      </c>
      <c r="C643" s="3">
        <f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>0</v>
      </c>
      <c r="D643" s="3">
        <f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>0</v>
      </c>
      <c r="E643" s="3">
        <f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>0</v>
      </c>
      <c r="F643" s="3">
        <f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>0</v>
      </c>
      <c r="J643">
        <v>0</v>
      </c>
      <c r="K643">
        <v>0</v>
      </c>
      <c r="L643">
        <v>0</v>
      </c>
      <c r="M643">
        <f>IF(N643,TRUE,AND(Q643:U643))</f>
        <v>0</v>
      </c>
      <c r="N643">
        <f>COUNTBLANK(Metadata!B643:F643)=COLUMNS(Metadata!B643:F643)</f>
        <v>0</v>
      </c>
      <c r="O643">
        <v>0</v>
      </c>
      <c r="Q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>
        <f>AND(IF(Metadata!C643="",FALSE,TRUE),exact(Metadata!C643,"human-skin"))</f>
        <v>0</v>
      </c>
      <c r="S643">
        <f>OR(AND(IF(Metadata!D643="",FALSE,TRUE),OR(exact(Metadata!D643,"missing: not collected"),exact(Metadata!D643,"missing: not provided"))),AND(IF(Metadata!D643="",FALSE,TRUE),OR(exact(Metadata!D643,"UBERON:zone of skin"),exact(Metadata!D643,"UBERON:skin of hand"),exact(Metadata!D643,"UBERON:skin of forehead"))))</f>
        <v>0</v>
      </c>
      <c r="T643">
        <f>AND(IF(Metadata!E643="",FALSE,TRUE),exact(Metadata!E643,"human skin metagenome"))</f>
        <v>0</v>
      </c>
      <c r="U643">
        <f>AND(IF(Metadata!F643="",FALSE,TRUE),exact(Metadata!F643,"539655"))</f>
        <v>0</v>
      </c>
    </row>
    <row r="644" spans="1:21">
      <c r="A644" s="4">
        <f>IF(B644=" "," ",HYPERLINK(CONCATENATE("#metadata!",ADDRESS(INDEX($L$2:$L$1001,MATCH(ROWS($J$2:J644),$J$2:$J$1001,0),0),1)),INDEX($O$2:$O$1001,MATCH(ROWS($J$2:J644),$J$2:$J$1001,0),0)))</f>
        <v>0</v>
      </c>
      <c r="B644" s="3">
        <f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>0</v>
      </c>
      <c r="C644" s="3">
        <f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>0</v>
      </c>
      <c r="D644" s="3">
        <f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>0</v>
      </c>
      <c r="E644" s="3">
        <f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>0</v>
      </c>
      <c r="F644" s="3">
        <f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>0</v>
      </c>
      <c r="J644">
        <v>0</v>
      </c>
      <c r="K644">
        <v>0</v>
      </c>
      <c r="L644">
        <v>0</v>
      </c>
      <c r="M644">
        <f>IF(N644,TRUE,AND(Q644:U644))</f>
        <v>0</v>
      </c>
      <c r="N644">
        <f>COUNTBLANK(Metadata!B644:F644)=COLUMNS(Metadata!B644:F644)</f>
        <v>0</v>
      </c>
      <c r="O644">
        <v>0</v>
      </c>
      <c r="Q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>
        <f>AND(IF(Metadata!C644="",FALSE,TRUE),exact(Metadata!C644,"human-skin"))</f>
        <v>0</v>
      </c>
      <c r="S644">
        <f>OR(AND(IF(Metadata!D644="",FALSE,TRUE),OR(exact(Metadata!D644,"missing: not collected"),exact(Metadata!D644,"missing: not provided"))),AND(IF(Metadata!D644="",FALSE,TRUE),OR(exact(Metadata!D644,"UBERON:zone of skin"),exact(Metadata!D644,"UBERON:skin of hand"),exact(Metadata!D644,"UBERON:skin of forehead"))))</f>
        <v>0</v>
      </c>
      <c r="T644">
        <f>AND(IF(Metadata!E644="",FALSE,TRUE),exact(Metadata!E644,"human skin metagenome"))</f>
        <v>0</v>
      </c>
      <c r="U644">
        <f>AND(IF(Metadata!F644="",FALSE,TRUE),exact(Metadata!F644,"539655"))</f>
        <v>0</v>
      </c>
    </row>
    <row r="645" spans="1:21">
      <c r="A645" s="4">
        <f>IF(B645=" "," ",HYPERLINK(CONCATENATE("#metadata!",ADDRESS(INDEX($L$2:$L$1001,MATCH(ROWS($J$2:J645),$J$2:$J$1001,0),0),1)),INDEX($O$2:$O$1001,MATCH(ROWS($J$2:J645),$J$2:$J$1001,0),0)))</f>
        <v>0</v>
      </c>
      <c r="B645" s="3">
        <f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>0</v>
      </c>
      <c r="C645" s="3">
        <f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>0</v>
      </c>
      <c r="D645" s="3">
        <f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>0</v>
      </c>
      <c r="E645" s="3">
        <f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>0</v>
      </c>
      <c r="F645" s="3">
        <f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>0</v>
      </c>
      <c r="J645">
        <v>0</v>
      </c>
      <c r="K645">
        <v>0</v>
      </c>
      <c r="L645">
        <v>0</v>
      </c>
      <c r="M645">
        <f>IF(N645,TRUE,AND(Q645:U645))</f>
        <v>0</v>
      </c>
      <c r="N645">
        <f>COUNTBLANK(Metadata!B645:F645)=COLUMNS(Metadata!B645:F645)</f>
        <v>0</v>
      </c>
      <c r="O645">
        <v>0</v>
      </c>
      <c r="Q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>
        <f>AND(IF(Metadata!C645="",FALSE,TRUE),exact(Metadata!C645,"human-skin"))</f>
        <v>0</v>
      </c>
      <c r="S645">
        <f>OR(AND(IF(Metadata!D645="",FALSE,TRUE),OR(exact(Metadata!D645,"missing: not collected"),exact(Metadata!D645,"missing: not provided"))),AND(IF(Metadata!D645="",FALSE,TRUE),OR(exact(Metadata!D645,"UBERON:zone of skin"),exact(Metadata!D645,"UBERON:skin of hand"),exact(Metadata!D645,"UBERON:skin of forehead"))))</f>
        <v>0</v>
      </c>
      <c r="T645">
        <f>AND(IF(Metadata!E645="",FALSE,TRUE),exact(Metadata!E645,"human skin metagenome"))</f>
        <v>0</v>
      </c>
      <c r="U645">
        <f>AND(IF(Metadata!F645="",FALSE,TRUE),exact(Metadata!F645,"539655"))</f>
        <v>0</v>
      </c>
    </row>
    <row r="646" spans="1:21">
      <c r="A646" s="4">
        <f>IF(B646=" "," ",HYPERLINK(CONCATENATE("#metadata!",ADDRESS(INDEX($L$2:$L$1001,MATCH(ROWS($J$2:J646),$J$2:$J$1001,0),0),1)),INDEX($O$2:$O$1001,MATCH(ROWS($J$2:J646),$J$2:$J$1001,0),0)))</f>
        <v>0</v>
      </c>
      <c r="B646" s="3">
        <f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>0</v>
      </c>
      <c r="C646" s="3">
        <f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>0</v>
      </c>
      <c r="D646" s="3">
        <f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>0</v>
      </c>
      <c r="E646" s="3">
        <f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>0</v>
      </c>
      <c r="F646" s="3">
        <f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>0</v>
      </c>
      <c r="J646">
        <v>0</v>
      </c>
      <c r="K646">
        <v>0</v>
      </c>
      <c r="L646">
        <v>0</v>
      </c>
      <c r="M646">
        <f>IF(N646,TRUE,AND(Q646:U646))</f>
        <v>0</v>
      </c>
      <c r="N646">
        <f>COUNTBLANK(Metadata!B646:F646)=COLUMNS(Metadata!B646:F646)</f>
        <v>0</v>
      </c>
      <c r="O646">
        <v>0</v>
      </c>
      <c r="Q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>
        <f>AND(IF(Metadata!C646="",FALSE,TRUE),exact(Metadata!C646,"human-skin"))</f>
        <v>0</v>
      </c>
      <c r="S646">
        <f>OR(AND(IF(Metadata!D646="",FALSE,TRUE),OR(exact(Metadata!D646,"missing: not collected"),exact(Metadata!D646,"missing: not provided"))),AND(IF(Metadata!D646="",FALSE,TRUE),OR(exact(Metadata!D646,"UBERON:zone of skin"),exact(Metadata!D646,"UBERON:skin of hand"),exact(Metadata!D646,"UBERON:skin of forehead"))))</f>
        <v>0</v>
      </c>
      <c r="T646">
        <f>AND(IF(Metadata!E646="",FALSE,TRUE),exact(Metadata!E646,"human skin metagenome"))</f>
        <v>0</v>
      </c>
      <c r="U646">
        <f>AND(IF(Metadata!F646="",FALSE,TRUE),exact(Metadata!F646,"539655"))</f>
        <v>0</v>
      </c>
    </row>
    <row r="647" spans="1:21">
      <c r="A647" s="4">
        <f>IF(B647=" "," ",HYPERLINK(CONCATENATE("#metadata!",ADDRESS(INDEX($L$2:$L$1001,MATCH(ROWS($J$2:J647),$J$2:$J$1001,0),0),1)),INDEX($O$2:$O$1001,MATCH(ROWS($J$2:J647),$J$2:$J$1001,0),0)))</f>
        <v>0</v>
      </c>
      <c r="B647" s="3">
        <f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>0</v>
      </c>
      <c r="C647" s="3">
        <f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>0</v>
      </c>
      <c r="D647" s="3">
        <f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>0</v>
      </c>
      <c r="E647" s="3">
        <f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>0</v>
      </c>
      <c r="F647" s="3">
        <f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>0</v>
      </c>
      <c r="J647">
        <v>0</v>
      </c>
      <c r="K647">
        <v>0</v>
      </c>
      <c r="L647">
        <v>0</v>
      </c>
      <c r="M647">
        <f>IF(N647,TRUE,AND(Q647:U647))</f>
        <v>0</v>
      </c>
      <c r="N647">
        <f>COUNTBLANK(Metadata!B647:F647)=COLUMNS(Metadata!B647:F647)</f>
        <v>0</v>
      </c>
      <c r="O647">
        <v>0</v>
      </c>
      <c r="Q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>
        <f>AND(IF(Metadata!C647="",FALSE,TRUE),exact(Metadata!C647,"human-skin"))</f>
        <v>0</v>
      </c>
      <c r="S647">
        <f>OR(AND(IF(Metadata!D647="",FALSE,TRUE),OR(exact(Metadata!D647,"missing: not collected"),exact(Metadata!D647,"missing: not provided"))),AND(IF(Metadata!D647="",FALSE,TRUE),OR(exact(Metadata!D647,"UBERON:zone of skin"),exact(Metadata!D647,"UBERON:skin of hand"),exact(Metadata!D647,"UBERON:skin of forehead"))))</f>
        <v>0</v>
      </c>
      <c r="T647">
        <f>AND(IF(Metadata!E647="",FALSE,TRUE),exact(Metadata!E647,"human skin metagenome"))</f>
        <v>0</v>
      </c>
      <c r="U647">
        <f>AND(IF(Metadata!F647="",FALSE,TRUE),exact(Metadata!F647,"539655"))</f>
        <v>0</v>
      </c>
    </row>
    <row r="648" spans="1:21">
      <c r="A648" s="4">
        <f>IF(B648=" "," ",HYPERLINK(CONCATENATE("#metadata!",ADDRESS(INDEX($L$2:$L$1001,MATCH(ROWS($J$2:J648),$J$2:$J$1001,0),0),1)),INDEX($O$2:$O$1001,MATCH(ROWS($J$2:J648),$J$2:$J$1001,0),0)))</f>
        <v>0</v>
      </c>
      <c r="B648" s="3">
        <f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>0</v>
      </c>
      <c r="C648" s="3">
        <f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>0</v>
      </c>
      <c r="D648" s="3">
        <f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>0</v>
      </c>
      <c r="E648" s="3">
        <f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>0</v>
      </c>
      <c r="F648" s="3">
        <f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>0</v>
      </c>
      <c r="J648">
        <v>0</v>
      </c>
      <c r="K648">
        <v>0</v>
      </c>
      <c r="L648">
        <v>0</v>
      </c>
      <c r="M648">
        <f>IF(N648,TRUE,AND(Q648:U648))</f>
        <v>0</v>
      </c>
      <c r="N648">
        <f>COUNTBLANK(Metadata!B648:F648)=COLUMNS(Metadata!B648:F648)</f>
        <v>0</v>
      </c>
      <c r="O648">
        <v>0</v>
      </c>
      <c r="Q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>
        <f>AND(IF(Metadata!C648="",FALSE,TRUE),exact(Metadata!C648,"human-skin"))</f>
        <v>0</v>
      </c>
      <c r="S648">
        <f>OR(AND(IF(Metadata!D648="",FALSE,TRUE),OR(exact(Metadata!D648,"missing: not collected"),exact(Metadata!D648,"missing: not provided"))),AND(IF(Metadata!D648="",FALSE,TRUE),OR(exact(Metadata!D648,"UBERON:zone of skin"),exact(Metadata!D648,"UBERON:skin of hand"),exact(Metadata!D648,"UBERON:skin of forehead"))))</f>
        <v>0</v>
      </c>
      <c r="T648">
        <f>AND(IF(Metadata!E648="",FALSE,TRUE),exact(Metadata!E648,"human skin metagenome"))</f>
        <v>0</v>
      </c>
      <c r="U648">
        <f>AND(IF(Metadata!F648="",FALSE,TRUE),exact(Metadata!F648,"539655"))</f>
        <v>0</v>
      </c>
    </row>
    <row r="649" spans="1:21">
      <c r="A649" s="4">
        <f>IF(B649=" "," ",HYPERLINK(CONCATENATE("#metadata!",ADDRESS(INDEX($L$2:$L$1001,MATCH(ROWS($J$2:J649),$J$2:$J$1001,0),0),1)),INDEX($O$2:$O$1001,MATCH(ROWS($J$2:J649),$J$2:$J$1001,0),0)))</f>
        <v>0</v>
      </c>
      <c r="B649" s="3">
        <f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>0</v>
      </c>
      <c r="C649" s="3">
        <f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>0</v>
      </c>
      <c r="D649" s="3">
        <f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>0</v>
      </c>
      <c r="E649" s="3">
        <f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>0</v>
      </c>
      <c r="F649" s="3">
        <f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>0</v>
      </c>
      <c r="J649">
        <v>0</v>
      </c>
      <c r="K649">
        <v>0</v>
      </c>
      <c r="L649">
        <v>0</v>
      </c>
      <c r="M649">
        <f>IF(N649,TRUE,AND(Q649:U649))</f>
        <v>0</v>
      </c>
      <c r="N649">
        <f>COUNTBLANK(Metadata!B649:F649)=COLUMNS(Metadata!B649:F649)</f>
        <v>0</v>
      </c>
      <c r="O649">
        <v>0</v>
      </c>
      <c r="Q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>
        <f>AND(IF(Metadata!C649="",FALSE,TRUE),exact(Metadata!C649,"human-skin"))</f>
        <v>0</v>
      </c>
      <c r="S649">
        <f>OR(AND(IF(Metadata!D649="",FALSE,TRUE),OR(exact(Metadata!D649,"missing: not collected"),exact(Metadata!D649,"missing: not provided"))),AND(IF(Metadata!D649="",FALSE,TRUE),OR(exact(Metadata!D649,"UBERON:zone of skin"),exact(Metadata!D649,"UBERON:skin of hand"),exact(Metadata!D649,"UBERON:skin of forehead"))))</f>
        <v>0</v>
      </c>
      <c r="T649">
        <f>AND(IF(Metadata!E649="",FALSE,TRUE),exact(Metadata!E649,"human skin metagenome"))</f>
        <v>0</v>
      </c>
      <c r="U649">
        <f>AND(IF(Metadata!F649="",FALSE,TRUE),exact(Metadata!F649,"539655"))</f>
        <v>0</v>
      </c>
    </row>
    <row r="650" spans="1:21">
      <c r="A650" s="4">
        <f>IF(B650=" "," ",HYPERLINK(CONCATENATE("#metadata!",ADDRESS(INDEX($L$2:$L$1001,MATCH(ROWS($J$2:J650),$J$2:$J$1001,0),0),1)),INDEX($O$2:$O$1001,MATCH(ROWS($J$2:J650),$J$2:$J$1001,0),0)))</f>
        <v>0</v>
      </c>
      <c r="B650" s="3">
        <f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>0</v>
      </c>
      <c r="C650" s="3">
        <f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>0</v>
      </c>
      <c r="D650" s="3">
        <f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>0</v>
      </c>
      <c r="E650" s="3">
        <f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>0</v>
      </c>
      <c r="F650" s="3">
        <f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>0</v>
      </c>
      <c r="J650">
        <v>0</v>
      </c>
      <c r="K650">
        <v>0</v>
      </c>
      <c r="L650">
        <v>0</v>
      </c>
      <c r="M650">
        <f>IF(N650,TRUE,AND(Q650:U650))</f>
        <v>0</v>
      </c>
      <c r="N650">
        <f>COUNTBLANK(Metadata!B650:F650)=COLUMNS(Metadata!B650:F650)</f>
        <v>0</v>
      </c>
      <c r="O650">
        <v>0</v>
      </c>
      <c r="Q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>
        <f>AND(IF(Metadata!C650="",FALSE,TRUE),exact(Metadata!C650,"human-skin"))</f>
        <v>0</v>
      </c>
      <c r="S650">
        <f>OR(AND(IF(Metadata!D650="",FALSE,TRUE),OR(exact(Metadata!D650,"missing: not collected"),exact(Metadata!D650,"missing: not provided"))),AND(IF(Metadata!D650="",FALSE,TRUE),OR(exact(Metadata!D650,"UBERON:zone of skin"),exact(Metadata!D650,"UBERON:skin of hand"),exact(Metadata!D650,"UBERON:skin of forehead"))))</f>
        <v>0</v>
      </c>
      <c r="T650">
        <f>AND(IF(Metadata!E650="",FALSE,TRUE),exact(Metadata!E650,"human skin metagenome"))</f>
        <v>0</v>
      </c>
      <c r="U650">
        <f>AND(IF(Metadata!F650="",FALSE,TRUE),exact(Metadata!F650,"539655"))</f>
        <v>0</v>
      </c>
    </row>
    <row r="651" spans="1:21">
      <c r="A651" s="4">
        <f>IF(B651=" "," ",HYPERLINK(CONCATENATE("#metadata!",ADDRESS(INDEX($L$2:$L$1001,MATCH(ROWS($J$2:J651),$J$2:$J$1001,0),0),1)),INDEX($O$2:$O$1001,MATCH(ROWS($J$2:J651),$J$2:$J$1001,0),0)))</f>
        <v>0</v>
      </c>
      <c r="B651" s="3">
        <f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>0</v>
      </c>
      <c r="C651" s="3">
        <f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>0</v>
      </c>
      <c r="D651" s="3">
        <f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>0</v>
      </c>
      <c r="E651" s="3">
        <f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>0</v>
      </c>
      <c r="F651" s="3">
        <f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>0</v>
      </c>
      <c r="J651">
        <v>0</v>
      </c>
      <c r="K651">
        <v>0</v>
      </c>
      <c r="L651">
        <v>0</v>
      </c>
      <c r="M651">
        <f>IF(N651,TRUE,AND(Q651:U651))</f>
        <v>0</v>
      </c>
      <c r="N651">
        <f>COUNTBLANK(Metadata!B651:F651)=COLUMNS(Metadata!B651:F651)</f>
        <v>0</v>
      </c>
      <c r="O651">
        <v>0</v>
      </c>
      <c r="Q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>
        <f>AND(IF(Metadata!C651="",FALSE,TRUE),exact(Metadata!C651,"human-skin"))</f>
        <v>0</v>
      </c>
      <c r="S651">
        <f>OR(AND(IF(Metadata!D651="",FALSE,TRUE),OR(exact(Metadata!D651,"missing: not collected"),exact(Metadata!D651,"missing: not provided"))),AND(IF(Metadata!D651="",FALSE,TRUE),OR(exact(Metadata!D651,"UBERON:zone of skin"),exact(Metadata!D651,"UBERON:skin of hand"),exact(Metadata!D651,"UBERON:skin of forehead"))))</f>
        <v>0</v>
      </c>
      <c r="T651">
        <f>AND(IF(Metadata!E651="",FALSE,TRUE),exact(Metadata!E651,"human skin metagenome"))</f>
        <v>0</v>
      </c>
      <c r="U651">
        <f>AND(IF(Metadata!F651="",FALSE,TRUE),exact(Metadata!F651,"539655"))</f>
        <v>0</v>
      </c>
    </row>
    <row r="652" spans="1:21">
      <c r="A652" s="4">
        <f>IF(B652=" "," ",HYPERLINK(CONCATENATE("#metadata!",ADDRESS(INDEX($L$2:$L$1001,MATCH(ROWS($J$2:J652),$J$2:$J$1001,0),0),1)),INDEX($O$2:$O$1001,MATCH(ROWS($J$2:J652),$J$2:$J$1001,0),0)))</f>
        <v>0</v>
      </c>
      <c r="B652" s="3">
        <f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>0</v>
      </c>
      <c r="C652" s="3">
        <f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>0</v>
      </c>
      <c r="D652" s="3">
        <f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>0</v>
      </c>
      <c r="E652" s="3">
        <f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>0</v>
      </c>
      <c r="F652" s="3">
        <f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>0</v>
      </c>
      <c r="J652">
        <v>0</v>
      </c>
      <c r="K652">
        <v>0</v>
      </c>
      <c r="L652">
        <v>0</v>
      </c>
      <c r="M652">
        <f>IF(N652,TRUE,AND(Q652:U652))</f>
        <v>0</v>
      </c>
      <c r="N652">
        <f>COUNTBLANK(Metadata!B652:F652)=COLUMNS(Metadata!B652:F652)</f>
        <v>0</v>
      </c>
      <c r="O652">
        <v>0</v>
      </c>
      <c r="Q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>
        <f>AND(IF(Metadata!C652="",FALSE,TRUE),exact(Metadata!C652,"human-skin"))</f>
        <v>0</v>
      </c>
      <c r="S652">
        <f>OR(AND(IF(Metadata!D652="",FALSE,TRUE),OR(exact(Metadata!D652,"missing: not collected"),exact(Metadata!D652,"missing: not provided"))),AND(IF(Metadata!D652="",FALSE,TRUE),OR(exact(Metadata!D652,"UBERON:zone of skin"),exact(Metadata!D652,"UBERON:skin of hand"),exact(Metadata!D652,"UBERON:skin of forehead"))))</f>
        <v>0</v>
      </c>
      <c r="T652">
        <f>AND(IF(Metadata!E652="",FALSE,TRUE),exact(Metadata!E652,"human skin metagenome"))</f>
        <v>0</v>
      </c>
      <c r="U652">
        <f>AND(IF(Metadata!F652="",FALSE,TRUE),exact(Metadata!F652,"539655"))</f>
        <v>0</v>
      </c>
    </row>
    <row r="653" spans="1:21">
      <c r="A653" s="4">
        <f>IF(B653=" "," ",HYPERLINK(CONCATENATE("#metadata!",ADDRESS(INDEX($L$2:$L$1001,MATCH(ROWS($J$2:J653),$J$2:$J$1001,0),0),1)),INDEX($O$2:$O$1001,MATCH(ROWS($J$2:J653),$J$2:$J$1001,0),0)))</f>
        <v>0</v>
      </c>
      <c r="B653" s="3">
        <f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>0</v>
      </c>
      <c r="C653" s="3">
        <f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>0</v>
      </c>
      <c r="D653" s="3">
        <f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>0</v>
      </c>
      <c r="E653" s="3">
        <f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>0</v>
      </c>
      <c r="F653" s="3">
        <f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>0</v>
      </c>
      <c r="J653">
        <v>0</v>
      </c>
      <c r="K653">
        <v>0</v>
      </c>
      <c r="L653">
        <v>0</v>
      </c>
      <c r="M653">
        <f>IF(N653,TRUE,AND(Q653:U653))</f>
        <v>0</v>
      </c>
      <c r="N653">
        <f>COUNTBLANK(Metadata!B653:F653)=COLUMNS(Metadata!B653:F653)</f>
        <v>0</v>
      </c>
      <c r="O653">
        <v>0</v>
      </c>
      <c r="Q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>
        <f>AND(IF(Metadata!C653="",FALSE,TRUE),exact(Metadata!C653,"human-skin"))</f>
        <v>0</v>
      </c>
      <c r="S653">
        <f>OR(AND(IF(Metadata!D653="",FALSE,TRUE),OR(exact(Metadata!D653,"missing: not collected"),exact(Metadata!D653,"missing: not provided"))),AND(IF(Metadata!D653="",FALSE,TRUE),OR(exact(Metadata!D653,"UBERON:zone of skin"),exact(Metadata!D653,"UBERON:skin of hand"),exact(Metadata!D653,"UBERON:skin of forehead"))))</f>
        <v>0</v>
      </c>
      <c r="T653">
        <f>AND(IF(Metadata!E653="",FALSE,TRUE),exact(Metadata!E653,"human skin metagenome"))</f>
        <v>0</v>
      </c>
      <c r="U653">
        <f>AND(IF(Metadata!F653="",FALSE,TRUE),exact(Metadata!F653,"539655"))</f>
        <v>0</v>
      </c>
    </row>
    <row r="654" spans="1:21">
      <c r="A654" s="4">
        <f>IF(B654=" "," ",HYPERLINK(CONCATENATE("#metadata!",ADDRESS(INDEX($L$2:$L$1001,MATCH(ROWS($J$2:J654),$J$2:$J$1001,0),0),1)),INDEX($O$2:$O$1001,MATCH(ROWS($J$2:J654),$J$2:$J$1001,0),0)))</f>
        <v>0</v>
      </c>
      <c r="B654" s="3">
        <f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>0</v>
      </c>
      <c r="C654" s="3">
        <f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>0</v>
      </c>
      <c r="D654" s="3">
        <f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>0</v>
      </c>
      <c r="E654" s="3">
        <f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>0</v>
      </c>
      <c r="F654" s="3">
        <f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>0</v>
      </c>
      <c r="J654">
        <v>0</v>
      </c>
      <c r="K654">
        <v>0</v>
      </c>
      <c r="L654">
        <v>0</v>
      </c>
      <c r="M654">
        <f>IF(N654,TRUE,AND(Q654:U654))</f>
        <v>0</v>
      </c>
      <c r="N654">
        <f>COUNTBLANK(Metadata!B654:F654)=COLUMNS(Metadata!B654:F654)</f>
        <v>0</v>
      </c>
      <c r="O654">
        <v>0</v>
      </c>
      <c r="Q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>
        <f>AND(IF(Metadata!C654="",FALSE,TRUE),exact(Metadata!C654,"human-skin"))</f>
        <v>0</v>
      </c>
      <c r="S654">
        <f>OR(AND(IF(Metadata!D654="",FALSE,TRUE),OR(exact(Metadata!D654,"missing: not collected"),exact(Metadata!D654,"missing: not provided"))),AND(IF(Metadata!D654="",FALSE,TRUE),OR(exact(Metadata!D654,"UBERON:zone of skin"),exact(Metadata!D654,"UBERON:skin of hand"),exact(Metadata!D654,"UBERON:skin of forehead"))))</f>
        <v>0</v>
      </c>
      <c r="T654">
        <f>AND(IF(Metadata!E654="",FALSE,TRUE),exact(Metadata!E654,"human skin metagenome"))</f>
        <v>0</v>
      </c>
      <c r="U654">
        <f>AND(IF(Metadata!F654="",FALSE,TRUE),exact(Metadata!F654,"539655"))</f>
        <v>0</v>
      </c>
    </row>
    <row r="655" spans="1:21">
      <c r="A655" s="4">
        <f>IF(B655=" "," ",HYPERLINK(CONCATENATE("#metadata!",ADDRESS(INDEX($L$2:$L$1001,MATCH(ROWS($J$2:J655),$J$2:$J$1001,0),0),1)),INDEX($O$2:$O$1001,MATCH(ROWS($J$2:J655),$J$2:$J$1001,0),0)))</f>
        <v>0</v>
      </c>
      <c r="B655" s="3">
        <f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>0</v>
      </c>
      <c r="C655" s="3">
        <f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>0</v>
      </c>
      <c r="D655" s="3">
        <f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>0</v>
      </c>
      <c r="E655" s="3">
        <f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>0</v>
      </c>
      <c r="F655" s="3">
        <f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>0</v>
      </c>
      <c r="J655">
        <v>0</v>
      </c>
      <c r="K655">
        <v>0</v>
      </c>
      <c r="L655">
        <v>0</v>
      </c>
      <c r="M655">
        <f>IF(N655,TRUE,AND(Q655:U655))</f>
        <v>0</v>
      </c>
      <c r="N655">
        <f>COUNTBLANK(Metadata!B655:F655)=COLUMNS(Metadata!B655:F655)</f>
        <v>0</v>
      </c>
      <c r="O655">
        <v>0</v>
      </c>
      <c r="Q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>
        <f>AND(IF(Metadata!C655="",FALSE,TRUE),exact(Metadata!C655,"human-skin"))</f>
        <v>0</v>
      </c>
      <c r="S655">
        <f>OR(AND(IF(Metadata!D655="",FALSE,TRUE),OR(exact(Metadata!D655,"missing: not collected"),exact(Metadata!D655,"missing: not provided"))),AND(IF(Metadata!D655="",FALSE,TRUE),OR(exact(Metadata!D655,"UBERON:zone of skin"),exact(Metadata!D655,"UBERON:skin of hand"),exact(Metadata!D655,"UBERON:skin of forehead"))))</f>
        <v>0</v>
      </c>
      <c r="T655">
        <f>AND(IF(Metadata!E655="",FALSE,TRUE),exact(Metadata!E655,"human skin metagenome"))</f>
        <v>0</v>
      </c>
      <c r="U655">
        <f>AND(IF(Metadata!F655="",FALSE,TRUE),exact(Metadata!F655,"539655"))</f>
        <v>0</v>
      </c>
    </row>
    <row r="656" spans="1:21">
      <c r="A656" s="4">
        <f>IF(B656=" "," ",HYPERLINK(CONCATENATE("#metadata!",ADDRESS(INDEX($L$2:$L$1001,MATCH(ROWS($J$2:J656),$J$2:$J$1001,0),0),1)),INDEX($O$2:$O$1001,MATCH(ROWS($J$2:J656),$J$2:$J$1001,0),0)))</f>
        <v>0</v>
      </c>
      <c r="B656" s="3">
        <f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>0</v>
      </c>
      <c r="C656" s="3">
        <f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>0</v>
      </c>
      <c r="D656" s="3">
        <f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>0</v>
      </c>
      <c r="E656" s="3">
        <f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>0</v>
      </c>
      <c r="F656" s="3">
        <f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>0</v>
      </c>
      <c r="J656">
        <v>0</v>
      </c>
      <c r="K656">
        <v>0</v>
      </c>
      <c r="L656">
        <v>0</v>
      </c>
      <c r="M656">
        <f>IF(N656,TRUE,AND(Q656:U656))</f>
        <v>0</v>
      </c>
      <c r="N656">
        <f>COUNTBLANK(Metadata!B656:F656)=COLUMNS(Metadata!B656:F656)</f>
        <v>0</v>
      </c>
      <c r="O656">
        <v>0</v>
      </c>
      <c r="Q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>
        <f>AND(IF(Metadata!C656="",FALSE,TRUE),exact(Metadata!C656,"human-skin"))</f>
        <v>0</v>
      </c>
      <c r="S656">
        <f>OR(AND(IF(Metadata!D656="",FALSE,TRUE),OR(exact(Metadata!D656,"missing: not collected"),exact(Metadata!D656,"missing: not provided"))),AND(IF(Metadata!D656="",FALSE,TRUE),OR(exact(Metadata!D656,"UBERON:zone of skin"),exact(Metadata!D656,"UBERON:skin of hand"),exact(Metadata!D656,"UBERON:skin of forehead"))))</f>
        <v>0</v>
      </c>
      <c r="T656">
        <f>AND(IF(Metadata!E656="",FALSE,TRUE),exact(Metadata!E656,"human skin metagenome"))</f>
        <v>0</v>
      </c>
      <c r="U656">
        <f>AND(IF(Metadata!F656="",FALSE,TRUE),exact(Metadata!F656,"539655"))</f>
        <v>0</v>
      </c>
    </row>
    <row r="657" spans="1:21">
      <c r="A657" s="4">
        <f>IF(B657=" "," ",HYPERLINK(CONCATENATE("#metadata!",ADDRESS(INDEX($L$2:$L$1001,MATCH(ROWS($J$2:J657),$J$2:$J$1001,0),0),1)),INDEX($O$2:$O$1001,MATCH(ROWS($J$2:J657),$J$2:$J$1001,0),0)))</f>
        <v>0</v>
      </c>
      <c r="B657" s="3">
        <f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>0</v>
      </c>
      <c r="C657" s="3">
        <f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>0</v>
      </c>
      <c r="D657" s="3">
        <f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>0</v>
      </c>
      <c r="E657" s="3">
        <f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>0</v>
      </c>
      <c r="F657" s="3">
        <f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>0</v>
      </c>
      <c r="J657">
        <v>0</v>
      </c>
      <c r="K657">
        <v>0</v>
      </c>
      <c r="L657">
        <v>0</v>
      </c>
      <c r="M657">
        <f>IF(N657,TRUE,AND(Q657:U657))</f>
        <v>0</v>
      </c>
      <c r="N657">
        <f>COUNTBLANK(Metadata!B657:F657)=COLUMNS(Metadata!B657:F657)</f>
        <v>0</v>
      </c>
      <c r="O657">
        <v>0</v>
      </c>
      <c r="Q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>
        <f>AND(IF(Metadata!C657="",FALSE,TRUE),exact(Metadata!C657,"human-skin"))</f>
        <v>0</v>
      </c>
      <c r="S657">
        <f>OR(AND(IF(Metadata!D657="",FALSE,TRUE),OR(exact(Metadata!D657,"missing: not collected"),exact(Metadata!D657,"missing: not provided"))),AND(IF(Metadata!D657="",FALSE,TRUE),OR(exact(Metadata!D657,"UBERON:zone of skin"),exact(Metadata!D657,"UBERON:skin of hand"),exact(Metadata!D657,"UBERON:skin of forehead"))))</f>
        <v>0</v>
      </c>
      <c r="T657">
        <f>AND(IF(Metadata!E657="",FALSE,TRUE),exact(Metadata!E657,"human skin metagenome"))</f>
        <v>0</v>
      </c>
      <c r="U657">
        <f>AND(IF(Metadata!F657="",FALSE,TRUE),exact(Metadata!F657,"539655"))</f>
        <v>0</v>
      </c>
    </row>
    <row r="658" spans="1:21">
      <c r="A658" s="4">
        <f>IF(B658=" "," ",HYPERLINK(CONCATENATE("#metadata!",ADDRESS(INDEX($L$2:$L$1001,MATCH(ROWS($J$2:J658),$J$2:$J$1001,0),0),1)),INDEX($O$2:$O$1001,MATCH(ROWS($J$2:J658),$J$2:$J$1001,0),0)))</f>
        <v>0</v>
      </c>
      <c r="B658" s="3">
        <f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>0</v>
      </c>
      <c r="C658" s="3">
        <f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>0</v>
      </c>
      <c r="D658" s="3">
        <f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>0</v>
      </c>
      <c r="E658" s="3">
        <f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>0</v>
      </c>
      <c r="F658" s="3">
        <f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>0</v>
      </c>
      <c r="J658">
        <v>0</v>
      </c>
      <c r="K658">
        <v>0</v>
      </c>
      <c r="L658">
        <v>0</v>
      </c>
      <c r="M658">
        <f>IF(N658,TRUE,AND(Q658:U658))</f>
        <v>0</v>
      </c>
      <c r="N658">
        <f>COUNTBLANK(Metadata!B658:F658)=COLUMNS(Metadata!B658:F658)</f>
        <v>0</v>
      </c>
      <c r="O658">
        <v>0</v>
      </c>
      <c r="Q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>
        <f>AND(IF(Metadata!C658="",FALSE,TRUE),exact(Metadata!C658,"human-skin"))</f>
        <v>0</v>
      </c>
      <c r="S658">
        <f>OR(AND(IF(Metadata!D658="",FALSE,TRUE),OR(exact(Metadata!D658,"missing: not collected"),exact(Metadata!D658,"missing: not provided"))),AND(IF(Metadata!D658="",FALSE,TRUE),OR(exact(Metadata!D658,"UBERON:zone of skin"),exact(Metadata!D658,"UBERON:skin of hand"),exact(Metadata!D658,"UBERON:skin of forehead"))))</f>
        <v>0</v>
      </c>
      <c r="T658">
        <f>AND(IF(Metadata!E658="",FALSE,TRUE),exact(Metadata!E658,"human skin metagenome"))</f>
        <v>0</v>
      </c>
      <c r="U658">
        <f>AND(IF(Metadata!F658="",FALSE,TRUE),exact(Metadata!F658,"539655"))</f>
        <v>0</v>
      </c>
    </row>
    <row r="659" spans="1:21">
      <c r="A659" s="4">
        <f>IF(B659=" "," ",HYPERLINK(CONCATENATE("#metadata!",ADDRESS(INDEX($L$2:$L$1001,MATCH(ROWS($J$2:J659),$J$2:$J$1001,0),0),1)),INDEX($O$2:$O$1001,MATCH(ROWS($J$2:J659),$J$2:$J$1001,0),0)))</f>
        <v>0</v>
      </c>
      <c r="B659" s="3">
        <f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>0</v>
      </c>
      <c r="C659" s="3">
        <f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>0</v>
      </c>
      <c r="D659" s="3">
        <f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>0</v>
      </c>
      <c r="E659" s="3">
        <f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>0</v>
      </c>
      <c r="F659" s="3">
        <f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>0</v>
      </c>
      <c r="J659">
        <v>0</v>
      </c>
      <c r="K659">
        <v>0</v>
      </c>
      <c r="L659">
        <v>0</v>
      </c>
      <c r="M659">
        <f>IF(N659,TRUE,AND(Q659:U659))</f>
        <v>0</v>
      </c>
      <c r="N659">
        <f>COUNTBLANK(Metadata!B659:F659)=COLUMNS(Metadata!B659:F659)</f>
        <v>0</v>
      </c>
      <c r="O659">
        <v>0</v>
      </c>
      <c r="Q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>
        <f>AND(IF(Metadata!C659="",FALSE,TRUE),exact(Metadata!C659,"human-skin"))</f>
        <v>0</v>
      </c>
      <c r="S659">
        <f>OR(AND(IF(Metadata!D659="",FALSE,TRUE),OR(exact(Metadata!D659,"missing: not collected"),exact(Metadata!D659,"missing: not provided"))),AND(IF(Metadata!D659="",FALSE,TRUE),OR(exact(Metadata!D659,"UBERON:zone of skin"),exact(Metadata!D659,"UBERON:skin of hand"),exact(Metadata!D659,"UBERON:skin of forehead"))))</f>
        <v>0</v>
      </c>
      <c r="T659">
        <f>AND(IF(Metadata!E659="",FALSE,TRUE),exact(Metadata!E659,"human skin metagenome"))</f>
        <v>0</v>
      </c>
      <c r="U659">
        <f>AND(IF(Metadata!F659="",FALSE,TRUE),exact(Metadata!F659,"539655"))</f>
        <v>0</v>
      </c>
    </row>
    <row r="660" spans="1:21">
      <c r="A660" s="4">
        <f>IF(B660=" "," ",HYPERLINK(CONCATENATE("#metadata!",ADDRESS(INDEX($L$2:$L$1001,MATCH(ROWS($J$2:J660),$J$2:$J$1001,0),0),1)),INDEX($O$2:$O$1001,MATCH(ROWS($J$2:J660),$J$2:$J$1001,0),0)))</f>
        <v>0</v>
      </c>
      <c r="B660" s="3">
        <f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>0</v>
      </c>
      <c r="C660" s="3">
        <f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>0</v>
      </c>
      <c r="D660" s="3">
        <f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>0</v>
      </c>
      <c r="E660" s="3">
        <f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>0</v>
      </c>
      <c r="F660" s="3">
        <f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>0</v>
      </c>
      <c r="J660">
        <v>0</v>
      </c>
      <c r="K660">
        <v>0</v>
      </c>
      <c r="L660">
        <v>0</v>
      </c>
      <c r="M660">
        <f>IF(N660,TRUE,AND(Q660:U660))</f>
        <v>0</v>
      </c>
      <c r="N660">
        <f>COUNTBLANK(Metadata!B660:F660)=COLUMNS(Metadata!B660:F660)</f>
        <v>0</v>
      </c>
      <c r="O660">
        <v>0</v>
      </c>
      <c r="Q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>
        <f>AND(IF(Metadata!C660="",FALSE,TRUE),exact(Metadata!C660,"human-skin"))</f>
        <v>0</v>
      </c>
      <c r="S660">
        <f>OR(AND(IF(Metadata!D660="",FALSE,TRUE),OR(exact(Metadata!D660,"missing: not collected"),exact(Metadata!D660,"missing: not provided"))),AND(IF(Metadata!D660="",FALSE,TRUE),OR(exact(Metadata!D660,"UBERON:zone of skin"),exact(Metadata!D660,"UBERON:skin of hand"),exact(Metadata!D660,"UBERON:skin of forehead"))))</f>
        <v>0</v>
      </c>
      <c r="T660">
        <f>AND(IF(Metadata!E660="",FALSE,TRUE),exact(Metadata!E660,"human skin metagenome"))</f>
        <v>0</v>
      </c>
      <c r="U660">
        <f>AND(IF(Metadata!F660="",FALSE,TRUE),exact(Metadata!F660,"539655"))</f>
        <v>0</v>
      </c>
    </row>
    <row r="661" spans="1:21">
      <c r="A661" s="4">
        <f>IF(B661=" "," ",HYPERLINK(CONCATENATE("#metadata!",ADDRESS(INDEX($L$2:$L$1001,MATCH(ROWS($J$2:J661),$J$2:$J$1001,0),0),1)),INDEX($O$2:$O$1001,MATCH(ROWS($J$2:J661),$J$2:$J$1001,0),0)))</f>
        <v>0</v>
      </c>
      <c r="B661" s="3">
        <f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>0</v>
      </c>
      <c r="C661" s="3">
        <f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>0</v>
      </c>
      <c r="D661" s="3">
        <f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>0</v>
      </c>
      <c r="E661" s="3">
        <f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>0</v>
      </c>
      <c r="F661" s="3">
        <f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>0</v>
      </c>
      <c r="J661">
        <v>0</v>
      </c>
      <c r="K661">
        <v>0</v>
      </c>
      <c r="L661">
        <v>0</v>
      </c>
      <c r="M661">
        <f>IF(N661,TRUE,AND(Q661:U661))</f>
        <v>0</v>
      </c>
      <c r="N661">
        <f>COUNTBLANK(Metadata!B661:F661)=COLUMNS(Metadata!B661:F661)</f>
        <v>0</v>
      </c>
      <c r="O661">
        <v>0</v>
      </c>
      <c r="Q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>
        <f>AND(IF(Metadata!C661="",FALSE,TRUE),exact(Metadata!C661,"human-skin"))</f>
        <v>0</v>
      </c>
      <c r="S661">
        <f>OR(AND(IF(Metadata!D661="",FALSE,TRUE),OR(exact(Metadata!D661,"missing: not collected"),exact(Metadata!D661,"missing: not provided"))),AND(IF(Metadata!D661="",FALSE,TRUE),OR(exact(Metadata!D661,"UBERON:zone of skin"),exact(Metadata!D661,"UBERON:skin of hand"),exact(Metadata!D661,"UBERON:skin of forehead"))))</f>
        <v>0</v>
      </c>
      <c r="T661">
        <f>AND(IF(Metadata!E661="",FALSE,TRUE),exact(Metadata!E661,"human skin metagenome"))</f>
        <v>0</v>
      </c>
      <c r="U661">
        <f>AND(IF(Metadata!F661="",FALSE,TRUE),exact(Metadata!F661,"539655"))</f>
        <v>0</v>
      </c>
    </row>
    <row r="662" spans="1:21">
      <c r="A662" s="4">
        <f>IF(B662=" "," ",HYPERLINK(CONCATENATE("#metadata!",ADDRESS(INDEX($L$2:$L$1001,MATCH(ROWS($J$2:J662),$J$2:$J$1001,0),0),1)),INDEX($O$2:$O$1001,MATCH(ROWS($J$2:J662),$J$2:$J$1001,0),0)))</f>
        <v>0</v>
      </c>
      <c r="B662" s="3">
        <f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>0</v>
      </c>
      <c r="C662" s="3">
        <f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>0</v>
      </c>
      <c r="D662" s="3">
        <f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>0</v>
      </c>
      <c r="E662" s="3">
        <f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>0</v>
      </c>
      <c r="F662" s="3">
        <f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>0</v>
      </c>
      <c r="J662">
        <v>0</v>
      </c>
      <c r="K662">
        <v>0</v>
      </c>
      <c r="L662">
        <v>0</v>
      </c>
      <c r="M662">
        <f>IF(N662,TRUE,AND(Q662:U662))</f>
        <v>0</v>
      </c>
      <c r="N662">
        <f>COUNTBLANK(Metadata!B662:F662)=COLUMNS(Metadata!B662:F662)</f>
        <v>0</v>
      </c>
      <c r="O662">
        <v>0</v>
      </c>
      <c r="Q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>
        <f>AND(IF(Metadata!C662="",FALSE,TRUE),exact(Metadata!C662,"human-skin"))</f>
        <v>0</v>
      </c>
      <c r="S662">
        <f>OR(AND(IF(Metadata!D662="",FALSE,TRUE),OR(exact(Metadata!D662,"missing: not collected"),exact(Metadata!D662,"missing: not provided"))),AND(IF(Metadata!D662="",FALSE,TRUE),OR(exact(Metadata!D662,"UBERON:zone of skin"),exact(Metadata!D662,"UBERON:skin of hand"),exact(Metadata!D662,"UBERON:skin of forehead"))))</f>
        <v>0</v>
      </c>
      <c r="T662">
        <f>AND(IF(Metadata!E662="",FALSE,TRUE),exact(Metadata!E662,"human skin metagenome"))</f>
        <v>0</v>
      </c>
      <c r="U662">
        <f>AND(IF(Metadata!F662="",FALSE,TRUE),exact(Metadata!F662,"539655"))</f>
        <v>0</v>
      </c>
    </row>
    <row r="663" spans="1:21">
      <c r="A663" s="4">
        <f>IF(B663=" "," ",HYPERLINK(CONCATENATE("#metadata!",ADDRESS(INDEX($L$2:$L$1001,MATCH(ROWS($J$2:J663),$J$2:$J$1001,0),0),1)),INDEX($O$2:$O$1001,MATCH(ROWS($J$2:J663),$J$2:$J$1001,0),0)))</f>
        <v>0</v>
      </c>
      <c r="B663" s="3">
        <f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>0</v>
      </c>
      <c r="C663" s="3">
        <f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>0</v>
      </c>
      <c r="D663" s="3">
        <f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>0</v>
      </c>
      <c r="E663" s="3">
        <f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>0</v>
      </c>
      <c r="F663" s="3">
        <f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>0</v>
      </c>
      <c r="J663">
        <v>0</v>
      </c>
      <c r="K663">
        <v>0</v>
      </c>
      <c r="L663">
        <v>0</v>
      </c>
      <c r="M663">
        <f>IF(N663,TRUE,AND(Q663:U663))</f>
        <v>0</v>
      </c>
      <c r="N663">
        <f>COUNTBLANK(Metadata!B663:F663)=COLUMNS(Metadata!B663:F663)</f>
        <v>0</v>
      </c>
      <c r="O663">
        <v>0</v>
      </c>
      <c r="Q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>
        <f>AND(IF(Metadata!C663="",FALSE,TRUE),exact(Metadata!C663,"human-skin"))</f>
        <v>0</v>
      </c>
      <c r="S663">
        <f>OR(AND(IF(Metadata!D663="",FALSE,TRUE),OR(exact(Metadata!D663,"missing: not collected"),exact(Metadata!D663,"missing: not provided"))),AND(IF(Metadata!D663="",FALSE,TRUE),OR(exact(Metadata!D663,"UBERON:zone of skin"),exact(Metadata!D663,"UBERON:skin of hand"),exact(Metadata!D663,"UBERON:skin of forehead"))))</f>
        <v>0</v>
      </c>
      <c r="T663">
        <f>AND(IF(Metadata!E663="",FALSE,TRUE),exact(Metadata!E663,"human skin metagenome"))</f>
        <v>0</v>
      </c>
      <c r="U663">
        <f>AND(IF(Metadata!F663="",FALSE,TRUE),exact(Metadata!F663,"539655"))</f>
        <v>0</v>
      </c>
    </row>
    <row r="664" spans="1:21">
      <c r="A664" s="4">
        <f>IF(B664=" "," ",HYPERLINK(CONCATENATE("#metadata!",ADDRESS(INDEX($L$2:$L$1001,MATCH(ROWS($J$2:J664),$J$2:$J$1001,0),0),1)),INDEX($O$2:$O$1001,MATCH(ROWS($J$2:J664),$J$2:$J$1001,0),0)))</f>
        <v>0</v>
      </c>
      <c r="B664" s="3">
        <f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>0</v>
      </c>
      <c r="C664" s="3">
        <f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>0</v>
      </c>
      <c r="D664" s="3">
        <f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>0</v>
      </c>
      <c r="E664" s="3">
        <f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>0</v>
      </c>
      <c r="F664" s="3">
        <f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>0</v>
      </c>
      <c r="J664">
        <v>0</v>
      </c>
      <c r="K664">
        <v>0</v>
      </c>
      <c r="L664">
        <v>0</v>
      </c>
      <c r="M664">
        <f>IF(N664,TRUE,AND(Q664:U664))</f>
        <v>0</v>
      </c>
      <c r="N664">
        <f>COUNTBLANK(Metadata!B664:F664)=COLUMNS(Metadata!B664:F664)</f>
        <v>0</v>
      </c>
      <c r="O664">
        <v>0</v>
      </c>
      <c r="Q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>
        <f>AND(IF(Metadata!C664="",FALSE,TRUE),exact(Metadata!C664,"human-skin"))</f>
        <v>0</v>
      </c>
      <c r="S664">
        <f>OR(AND(IF(Metadata!D664="",FALSE,TRUE),OR(exact(Metadata!D664,"missing: not collected"),exact(Metadata!D664,"missing: not provided"))),AND(IF(Metadata!D664="",FALSE,TRUE),OR(exact(Metadata!D664,"UBERON:zone of skin"),exact(Metadata!D664,"UBERON:skin of hand"),exact(Metadata!D664,"UBERON:skin of forehead"))))</f>
        <v>0</v>
      </c>
      <c r="T664">
        <f>AND(IF(Metadata!E664="",FALSE,TRUE),exact(Metadata!E664,"human skin metagenome"))</f>
        <v>0</v>
      </c>
      <c r="U664">
        <f>AND(IF(Metadata!F664="",FALSE,TRUE),exact(Metadata!F664,"539655"))</f>
        <v>0</v>
      </c>
    </row>
    <row r="665" spans="1:21">
      <c r="A665" s="4">
        <f>IF(B665=" "," ",HYPERLINK(CONCATENATE("#metadata!",ADDRESS(INDEX($L$2:$L$1001,MATCH(ROWS($J$2:J665),$J$2:$J$1001,0),0),1)),INDEX($O$2:$O$1001,MATCH(ROWS($J$2:J665),$J$2:$J$1001,0),0)))</f>
        <v>0</v>
      </c>
      <c r="B665" s="3">
        <f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>0</v>
      </c>
      <c r="C665" s="3">
        <f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>0</v>
      </c>
      <c r="D665" s="3">
        <f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>0</v>
      </c>
      <c r="E665" s="3">
        <f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>0</v>
      </c>
      <c r="F665" s="3">
        <f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>0</v>
      </c>
      <c r="J665">
        <v>0</v>
      </c>
      <c r="K665">
        <v>0</v>
      </c>
      <c r="L665">
        <v>0</v>
      </c>
      <c r="M665">
        <f>IF(N665,TRUE,AND(Q665:U665))</f>
        <v>0</v>
      </c>
      <c r="N665">
        <f>COUNTBLANK(Metadata!B665:F665)=COLUMNS(Metadata!B665:F665)</f>
        <v>0</v>
      </c>
      <c r="O665">
        <v>0</v>
      </c>
      <c r="Q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>
        <f>AND(IF(Metadata!C665="",FALSE,TRUE),exact(Metadata!C665,"human-skin"))</f>
        <v>0</v>
      </c>
      <c r="S665">
        <f>OR(AND(IF(Metadata!D665="",FALSE,TRUE),OR(exact(Metadata!D665,"missing: not collected"),exact(Metadata!D665,"missing: not provided"))),AND(IF(Metadata!D665="",FALSE,TRUE),OR(exact(Metadata!D665,"UBERON:zone of skin"),exact(Metadata!D665,"UBERON:skin of hand"),exact(Metadata!D665,"UBERON:skin of forehead"))))</f>
        <v>0</v>
      </c>
      <c r="T665">
        <f>AND(IF(Metadata!E665="",FALSE,TRUE),exact(Metadata!E665,"human skin metagenome"))</f>
        <v>0</v>
      </c>
      <c r="U665">
        <f>AND(IF(Metadata!F665="",FALSE,TRUE),exact(Metadata!F665,"539655"))</f>
        <v>0</v>
      </c>
    </row>
    <row r="666" spans="1:21">
      <c r="A666" s="4">
        <f>IF(B666=" "," ",HYPERLINK(CONCATENATE("#metadata!",ADDRESS(INDEX($L$2:$L$1001,MATCH(ROWS($J$2:J666),$J$2:$J$1001,0),0),1)),INDEX($O$2:$O$1001,MATCH(ROWS($J$2:J666),$J$2:$J$1001,0),0)))</f>
        <v>0</v>
      </c>
      <c r="B666" s="3">
        <f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>0</v>
      </c>
      <c r="C666" s="3">
        <f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>0</v>
      </c>
      <c r="D666" s="3">
        <f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>0</v>
      </c>
      <c r="E666" s="3">
        <f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>0</v>
      </c>
      <c r="F666" s="3">
        <f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>0</v>
      </c>
      <c r="J666">
        <v>0</v>
      </c>
      <c r="K666">
        <v>0</v>
      </c>
      <c r="L666">
        <v>0</v>
      </c>
      <c r="M666">
        <f>IF(N666,TRUE,AND(Q666:U666))</f>
        <v>0</v>
      </c>
      <c r="N666">
        <f>COUNTBLANK(Metadata!B666:F666)=COLUMNS(Metadata!B666:F666)</f>
        <v>0</v>
      </c>
      <c r="O666">
        <v>0</v>
      </c>
      <c r="Q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>
        <f>AND(IF(Metadata!C666="",FALSE,TRUE),exact(Metadata!C666,"human-skin"))</f>
        <v>0</v>
      </c>
      <c r="S666">
        <f>OR(AND(IF(Metadata!D666="",FALSE,TRUE),OR(exact(Metadata!D666,"missing: not collected"),exact(Metadata!D666,"missing: not provided"))),AND(IF(Metadata!D666="",FALSE,TRUE),OR(exact(Metadata!D666,"UBERON:zone of skin"),exact(Metadata!D666,"UBERON:skin of hand"),exact(Metadata!D666,"UBERON:skin of forehead"))))</f>
        <v>0</v>
      </c>
      <c r="T666">
        <f>AND(IF(Metadata!E666="",FALSE,TRUE),exact(Metadata!E666,"human skin metagenome"))</f>
        <v>0</v>
      </c>
      <c r="U666">
        <f>AND(IF(Metadata!F666="",FALSE,TRUE),exact(Metadata!F666,"539655"))</f>
        <v>0</v>
      </c>
    </row>
    <row r="667" spans="1:21">
      <c r="A667" s="4">
        <f>IF(B667=" "," ",HYPERLINK(CONCATENATE("#metadata!",ADDRESS(INDEX($L$2:$L$1001,MATCH(ROWS($J$2:J667),$J$2:$J$1001,0),0),1)),INDEX($O$2:$O$1001,MATCH(ROWS($J$2:J667),$J$2:$J$1001,0),0)))</f>
        <v>0</v>
      </c>
      <c r="B667" s="3">
        <f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>0</v>
      </c>
      <c r="C667" s="3">
        <f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>0</v>
      </c>
      <c r="D667" s="3">
        <f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>0</v>
      </c>
      <c r="E667" s="3">
        <f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>0</v>
      </c>
      <c r="F667" s="3">
        <f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>0</v>
      </c>
      <c r="J667">
        <v>0</v>
      </c>
      <c r="K667">
        <v>0</v>
      </c>
      <c r="L667">
        <v>0</v>
      </c>
      <c r="M667">
        <f>IF(N667,TRUE,AND(Q667:U667))</f>
        <v>0</v>
      </c>
      <c r="N667">
        <f>COUNTBLANK(Metadata!B667:F667)=COLUMNS(Metadata!B667:F667)</f>
        <v>0</v>
      </c>
      <c r="O667">
        <v>0</v>
      </c>
      <c r="Q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>
        <f>AND(IF(Metadata!C667="",FALSE,TRUE),exact(Metadata!C667,"human-skin"))</f>
        <v>0</v>
      </c>
      <c r="S667">
        <f>OR(AND(IF(Metadata!D667="",FALSE,TRUE),OR(exact(Metadata!D667,"missing: not collected"),exact(Metadata!D667,"missing: not provided"))),AND(IF(Metadata!D667="",FALSE,TRUE),OR(exact(Metadata!D667,"UBERON:zone of skin"),exact(Metadata!D667,"UBERON:skin of hand"),exact(Metadata!D667,"UBERON:skin of forehead"))))</f>
        <v>0</v>
      </c>
      <c r="T667">
        <f>AND(IF(Metadata!E667="",FALSE,TRUE),exact(Metadata!E667,"human skin metagenome"))</f>
        <v>0</v>
      </c>
      <c r="U667">
        <f>AND(IF(Metadata!F667="",FALSE,TRUE),exact(Metadata!F667,"539655"))</f>
        <v>0</v>
      </c>
    </row>
    <row r="668" spans="1:21">
      <c r="A668" s="4">
        <f>IF(B668=" "," ",HYPERLINK(CONCATENATE("#metadata!",ADDRESS(INDEX($L$2:$L$1001,MATCH(ROWS($J$2:J668),$J$2:$J$1001,0),0),1)),INDEX($O$2:$O$1001,MATCH(ROWS($J$2:J668),$J$2:$J$1001,0),0)))</f>
        <v>0</v>
      </c>
      <c r="B668" s="3">
        <f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>0</v>
      </c>
      <c r="C668" s="3">
        <f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>0</v>
      </c>
      <c r="D668" s="3">
        <f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>0</v>
      </c>
      <c r="E668" s="3">
        <f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>0</v>
      </c>
      <c r="F668" s="3">
        <f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>0</v>
      </c>
      <c r="J668">
        <v>0</v>
      </c>
      <c r="K668">
        <v>0</v>
      </c>
      <c r="L668">
        <v>0</v>
      </c>
      <c r="M668">
        <f>IF(N668,TRUE,AND(Q668:U668))</f>
        <v>0</v>
      </c>
      <c r="N668">
        <f>COUNTBLANK(Metadata!B668:F668)=COLUMNS(Metadata!B668:F668)</f>
        <v>0</v>
      </c>
      <c r="O668">
        <v>0</v>
      </c>
      <c r="Q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>
        <f>AND(IF(Metadata!C668="",FALSE,TRUE),exact(Metadata!C668,"human-skin"))</f>
        <v>0</v>
      </c>
      <c r="S668">
        <f>OR(AND(IF(Metadata!D668="",FALSE,TRUE),OR(exact(Metadata!D668,"missing: not collected"),exact(Metadata!D668,"missing: not provided"))),AND(IF(Metadata!D668="",FALSE,TRUE),OR(exact(Metadata!D668,"UBERON:zone of skin"),exact(Metadata!D668,"UBERON:skin of hand"),exact(Metadata!D668,"UBERON:skin of forehead"))))</f>
        <v>0</v>
      </c>
      <c r="T668">
        <f>AND(IF(Metadata!E668="",FALSE,TRUE),exact(Metadata!E668,"human skin metagenome"))</f>
        <v>0</v>
      </c>
      <c r="U668">
        <f>AND(IF(Metadata!F668="",FALSE,TRUE),exact(Metadata!F668,"539655"))</f>
        <v>0</v>
      </c>
    </row>
    <row r="669" spans="1:21">
      <c r="A669" s="4">
        <f>IF(B669=" "," ",HYPERLINK(CONCATENATE("#metadata!",ADDRESS(INDEX($L$2:$L$1001,MATCH(ROWS($J$2:J669),$J$2:$J$1001,0),0),1)),INDEX($O$2:$O$1001,MATCH(ROWS($J$2:J669),$J$2:$J$1001,0),0)))</f>
        <v>0</v>
      </c>
      <c r="B669" s="3">
        <f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>0</v>
      </c>
      <c r="C669" s="3">
        <f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>0</v>
      </c>
      <c r="D669" s="3">
        <f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>0</v>
      </c>
      <c r="E669" s="3">
        <f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>0</v>
      </c>
      <c r="F669" s="3">
        <f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>0</v>
      </c>
      <c r="J669">
        <v>0</v>
      </c>
      <c r="K669">
        <v>0</v>
      </c>
      <c r="L669">
        <v>0</v>
      </c>
      <c r="M669">
        <f>IF(N669,TRUE,AND(Q669:U669))</f>
        <v>0</v>
      </c>
      <c r="N669">
        <f>COUNTBLANK(Metadata!B669:F669)=COLUMNS(Metadata!B669:F669)</f>
        <v>0</v>
      </c>
      <c r="O669">
        <v>0</v>
      </c>
      <c r="Q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>
        <f>AND(IF(Metadata!C669="",FALSE,TRUE),exact(Metadata!C669,"human-skin"))</f>
        <v>0</v>
      </c>
      <c r="S669">
        <f>OR(AND(IF(Metadata!D669="",FALSE,TRUE),OR(exact(Metadata!D669,"missing: not collected"),exact(Metadata!D669,"missing: not provided"))),AND(IF(Metadata!D669="",FALSE,TRUE),OR(exact(Metadata!D669,"UBERON:zone of skin"),exact(Metadata!D669,"UBERON:skin of hand"),exact(Metadata!D669,"UBERON:skin of forehead"))))</f>
        <v>0</v>
      </c>
      <c r="T669">
        <f>AND(IF(Metadata!E669="",FALSE,TRUE),exact(Metadata!E669,"human skin metagenome"))</f>
        <v>0</v>
      </c>
      <c r="U669">
        <f>AND(IF(Metadata!F669="",FALSE,TRUE),exact(Metadata!F669,"539655"))</f>
        <v>0</v>
      </c>
    </row>
    <row r="670" spans="1:21">
      <c r="A670" s="4">
        <f>IF(B670=" "," ",HYPERLINK(CONCATENATE("#metadata!",ADDRESS(INDEX($L$2:$L$1001,MATCH(ROWS($J$2:J670),$J$2:$J$1001,0),0),1)),INDEX($O$2:$O$1001,MATCH(ROWS($J$2:J670),$J$2:$J$1001,0),0)))</f>
        <v>0</v>
      </c>
      <c r="B670" s="3">
        <f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>0</v>
      </c>
      <c r="C670" s="3">
        <f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>0</v>
      </c>
      <c r="D670" s="3">
        <f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>0</v>
      </c>
      <c r="E670" s="3">
        <f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>0</v>
      </c>
      <c r="F670" s="3">
        <f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>0</v>
      </c>
      <c r="J670">
        <v>0</v>
      </c>
      <c r="K670">
        <v>0</v>
      </c>
      <c r="L670">
        <v>0</v>
      </c>
      <c r="M670">
        <f>IF(N670,TRUE,AND(Q670:U670))</f>
        <v>0</v>
      </c>
      <c r="N670">
        <f>COUNTBLANK(Metadata!B670:F670)=COLUMNS(Metadata!B670:F670)</f>
        <v>0</v>
      </c>
      <c r="O670">
        <v>0</v>
      </c>
      <c r="Q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>
        <f>AND(IF(Metadata!C670="",FALSE,TRUE),exact(Metadata!C670,"human-skin"))</f>
        <v>0</v>
      </c>
      <c r="S670">
        <f>OR(AND(IF(Metadata!D670="",FALSE,TRUE),OR(exact(Metadata!D670,"missing: not collected"),exact(Metadata!D670,"missing: not provided"))),AND(IF(Metadata!D670="",FALSE,TRUE),OR(exact(Metadata!D670,"UBERON:zone of skin"),exact(Metadata!D670,"UBERON:skin of hand"),exact(Metadata!D670,"UBERON:skin of forehead"))))</f>
        <v>0</v>
      </c>
      <c r="T670">
        <f>AND(IF(Metadata!E670="",FALSE,TRUE),exact(Metadata!E670,"human skin metagenome"))</f>
        <v>0</v>
      </c>
      <c r="U670">
        <f>AND(IF(Metadata!F670="",FALSE,TRUE),exact(Metadata!F670,"539655"))</f>
        <v>0</v>
      </c>
    </row>
    <row r="671" spans="1:21">
      <c r="A671" s="4">
        <f>IF(B671=" "," ",HYPERLINK(CONCATENATE("#metadata!",ADDRESS(INDEX($L$2:$L$1001,MATCH(ROWS($J$2:J671),$J$2:$J$1001,0),0),1)),INDEX($O$2:$O$1001,MATCH(ROWS($J$2:J671),$J$2:$J$1001,0),0)))</f>
        <v>0</v>
      </c>
      <c r="B671" s="3">
        <f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>0</v>
      </c>
      <c r="C671" s="3">
        <f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>0</v>
      </c>
      <c r="D671" s="3">
        <f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>0</v>
      </c>
      <c r="E671" s="3">
        <f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>0</v>
      </c>
      <c r="F671" s="3">
        <f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>0</v>
      </c>
      <c r="J671">
        <v>0</v>
      </c>
      <c r="K671">
        <v>0</v>
      </c>
      <c r="L671">
        <v>0</v>
      </c>
      <c r="M671">
        <f>IF(N671,TRUE,AND(Q671:U671))</f>
        <v>0</v>
      </c>
      <c r="N671">
        <f>COUNTBLANK(Metadata!B671:F671)=COLUMNS(Metadata!B671:F671)</f>
        <v>0</v>
      </c>
      <c r="O671">
        <v>0</v>
      </c>
      <c r="Q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>
        <f>AND(IF(Metadata!C671="",FALSE,TRUE),exact(Metadata!C671,"human-skin"))</f>
        <v>0</v>
      </c>
      <c r="S671">
        <f>OR(AND(IF(Metadata!D671="",FALSE,TRUE),OR(exact(Metadata!D671,"missing: not collected"),exact(Metadata!D671,"missing: not provided"))),AND(IF(Metadata!D671="",FALSE,TRUE),OR(exact(Metadata!D671,"UBERON:zone of skin"),exact(Metadata!D671,"UBERON:skin of hand"),exact(Metadata!D671,"UBERON:skin of forehead"))))</f>
        <v>0</v>
      </c>
      <c r="T671">
        <f>AND(IF(Metadata!E671="",FALSE,TRUE),exact(Metadata!E671,"human skin metagenome"))</f>
        <v>0</v>
      </c>
      <c r="U671">
        <f>AND(IF(Metadata!F671="",FALSE,TRUE),exact(Metadata!F671,"539655"))</f>
        <v>0</v>
      </c>
    </row>
    <row r="672" spans="1:21">
      <c r="A672" s="4">
        <f>IF(B672=" "," ",HYPERLINK(CONCATENATE("#metadata!",ADDRESS(INDEX($L$2:$L$1001,MATCH(ROWS($J$2:J672),$J$2:$J$1001,0),0),1)),INDEX($O$2:$O$1001,MATCH(ROWS($J$2:J672),$J$2:$J$1001,0),0)))</f>
        <v>0</v>
      </c>
      <c r="B672" s="3">
        <f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>0</v>
      </c>
      <c r="C672" s="3">
        <f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>0</v>
      </c>
      <c r="D672" s="3">
        <f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>0</v>
      </c>
      <c r="E672" s="3">
        <f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>0</v>
      </c>
      <c r="F672" s="3">
        <f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>0</v>
      </c>
      <c r="J672">
        <v>0</v>
      </c>
      <c r="K672">
        <v>0</v>
      </c>
      <c r="L672">
        <v>0</v>
      </c>
      <c r="M672">
        <f>IF(N672,TRUE,AND(Q672:U672))</f>
        <v>0</v>
      </c>
      <c r="N672">
        <f>COUNTBLANK(Metadata!B672:F672)=COLUMNS(Metadata!B672:F672)</f>
        <v>0</v>
      </c>
      <c r="O672">
        <v>0</v>
      </c>
      <c r="Q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>
        <f>AND(IF(Metadata!C672="",FALSE,TRUE),exact(Metadata!C672,"human-skin"))</f>
        <v>0</v>
      </c>
      <c r="S672">
        <f>OR(AND(IF(Metadata!D672="",FALSE,TRUE),OR(exact(Metadata!D672,"missing: not collected"),exact(Metadata!D672,"missing: not provided"))),AND(IF(Metadata!D672="",FALSE,TRUE),OR(exact(Metadata!D672,"UBERON:zone of skin"),exact(Metadata!D672,"UBERON:skin of hand"),exact(Metadata!D672,"UBERON:skin of forehead"))))</f>
        <v>0</v>
      </c>
      <c r="T672">
        <f>AND(IF(Metadata!E672="",FALSE,TRUE),exact(Metadata!E672,"human skin metagenome"))</f>
        <v>0</v>
      </c>
      <c r="U672">
        <f>AND(IF(Metadata!F672="",FALSE,TRUE),exact(Metadata!F672,"539655"))</f>
        <v>0</v>
      </c>
    </row>
    <row r="673" spans="1:21">
      <c r="A673" s="4">
        <f>IF(B673=" "," ",HYPERLINK(CONCATENATE("#metadata!",ADDRESS(INDEX($L$2:$L$1001,MATCH(ROWS($J$2:J673),$J$2:$J$1001,0),0),1)),INDEX($O$2:$O$1001,MATCH(ROWS($J$2:J673),$J$2:$J$1001,0),0)))</f>
        <v>0</v>
      </c>
      <c r="B673" s="3">
        <f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>0</v>
      </c>
      <c r="C673" s="3">
        <f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>0</v>
      </c>
      <c r="D673" s="3">
        <f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>0</v>
      </c>
      <c r="E673" s="3">
        <f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>0</v>
      </c>
      <c r="F673" s="3">
        <f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>0</v>
      </c>
      <c r="J673">
        <v>0</v>
      </c>
      <c r="K673">
        <v>0</v>
      </c>
      <c r="L673">
        <v>0</v>
      </c>
      <c r="M673">
        <f>IF(N673,TRUE,AND(Q673:U673))</f>
        <v>0</v>
      </c>
      <c r="N673">
        <f>COUNTBLANK(Metadata!B673:F673)=COLUMNS(Metadata!B673:F673)</f>
        <v>0</v>
      </c>
      <c r="O673">
        <v>0</v>
      </c>
      <c r="Q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>
        <f>AND(IF(Metadata!C673="",FALSE,TRUE),exact(Metadata!C673,"human-skin"))</f>
        <v>0</v>
      </c>
      <c r="S673">
        <f>OR(AND(IF(Metadata!D673="",FALSE,TRUE),OR(exact(Metadata!D673,"missing: not collected"),exact(Metadata!D673,"missing: not provided"))),AND(IF(Metadata!D673="",FALSE,TRUE),OR(exact(Metadata!D673,"UBERON:zone of skin"),exact(Metadata!D673,"UBERON:skin of hand"),exact(Metadata!D673,"UBERON:skin of forehead"))))</f>
        <v>0</v>
      </c>
      <c r="T673">
        <f>AND(IF(Metadata!E673="",FALSE,TRUE),exact(Metadata!E673,"human skin metagenome"))</f>
        <v>0</v>
      </c>
      <c r="U673">
        <f>AND(IF(Metadata!F673="",FALSE,TRUE),exact(Metadata!F673,"539655"))</f>
        <v>0</v>
      </c>
    </row>
    <row r="674" spans="1:21">
      <c r="A674" s="4">
        <f>IF(B674=" "," ",HYPERLINK(CONCATENATE("#metadata!",ADDRESS(INDEX($L$2:$L$1001,MATCH(ROWS($J$2:J674),$J$2:$J$1001,0),0),1)),INDEX($O$2:$O$1001,MATCH(ROWS($J$2:J674),$J$2:$J$1001,0),0)))</f>
        <v>0</v>
      </c>
      <c r="B674" s="3">
        <f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>0</v>
      </c>
      <c r="C674" s="3">
        <f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>0</v>
      </c>
      <c r="D674" s="3">
        <f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>0</v>
      </c>
      <c r="E674" s="3">
        <f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>0</v>
      </c>
      <c r="F674" s="3">
        <f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>0</v>
      </c>
      <c r="J674">
        <v>0</v>
      </c>
      <c r="K674">
        <v>0</v>
      </c>
      <c r="L674">
        <v>0</v>
      </c>
      <c r="M674">
        <f>IF(N674,TRUE,AND(Q674:U674))</f>
        <v>0</v>
      </c>
      <c r="N674">
        <f>COUNTBLANK(Metadata!B674:F674)=COLUMNS(Metadata!B674:F674)</f>
        <v>0</v>
      </c>
      <c r="O674">
        <v>0</v>
      </c>
      <c r="Q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>
        <f>AND(IF(Metadata!C674="",FALSE,TRUE),exact(Metadata!C674,"human-skin"))</f>
        <v>0</v>
      </c>
      <c r="S674">
        <f>OR(AND(IF(Metadata!D674="",FALSE,TRUE),OR(exact(Metadata!D674,"missing: not collected"),exact(Metadata!D674,"missing: not provided"))),AND(IF(Metadata!D674="",FALSE,TRUE),OR(exact(Metadata!D674,"UBERON:zone of skin"),exact(Metadata!D674,"UBERON:skin of hand"),exact(Metadata!D674,"UBERON:skin of forehead"))))</f>
        <v>0</v>
      </c>
      <c r="T674">
        <f>AND(IF(Metadata!E674="",FALSE,TRUE),exact(Metadata!E674,"human skin metagenome"))</f>
        <v>0</v>
      </c>
      <c r="U674">
        <f>AND(IF(Metadata!F674="",FALSE,TRUE),exact(Metadata!F674,"539655"))</f>
        <v>0</v>
      </c>
    </row>
    <row r="675" spans="1:21">
      <c r="A675" s="4">
        <f>IF(B675=" "," ",HYPERLINK(CONCATENATE("#metadata!",ADDRESS(INDEX($L$2:$L$1001,MATCH(ROWS($J$2:J675),$J$2:$J$1001,0),0),1)),INDEX($O$2:$O$1001,MATCH(ROWS($J$2:J675),$J$2:$J$1001,0),0)))</f>
        <v>0</v>
      </c>
      <c r="B675" s="3">
        <f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>0</v>
      </c>
      <c r="C675" s="3">
        <f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>0</v>
      </c>
      <c r="D675" s="3">
        <f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>0</v>
      </c>
      <c r="E675" s="3">
        <f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>0</v>
      </c>
      <c r="F675" s="3">
        <f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>0</v>
      </c>
      <c r="J675">
        <v>0</v>
      </c>
      <c r="K675">
        <v>0</v>
      </c>
      <c r="L675">
        <v>0</v>
      </c>
      <c r="M675">
        <f>IF(N675,TRUE,AND(Q675:U675))</f>
        <v>0</v>
      </c>
      <c r="N675">
        <f>COUNTBLANK(Metadata!B675:F675)=COLUMNS(Metadata!B675:F675)</f>
        <v>0</v>
      </c>
      <c r="O675">
        <v>0</v>
      </c>
      <c r="Q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>
        <f>AND(IF(Metadata!C675="",FALSE,TRUE),exact(Metadata!C675,"human-skin"))</f>
        <v>0</v>
      </c>
      <c r="S675">
        <f>OR(AND(IF(Metadata!D675="",FALSE,TRUE),OR(exact(Metadata!D675,"missing: not collected"),exact(Metadata!D675,"missing: not provided"))),AND(IF(Metadata!D675="",FALSE,TRUE),OR(exact(Metadata!D675,"UBERON:zone of skin"),exact(Metadata!D675,"UBERON:skin of hand"),exact(Metadata!D675,"UBERON:skin of forehead"))))</f>
        <v>0</v>
      </c>
      <c r="T675">
        <f>AND(IF(Metadata!E675="",FALSE,TRUE),exact(Metadata!E675,"human skin metagenome"))</f>
        <v>0</v>
      </c>
      <c r="U675">
        <f>AND(IF(Metadata!F675="",FALSE,TRUE),exact(Metadata!F675,"539655"))</f>
        <v>0</v>
      </c>
    </row>
    <row r="676" spans="1:21">
      <c r="A676" s="4">
        <f>IF(B676=" "," ",HYPERLINK(CONCATENATE("#metadata!",ADDRESS(INDEX($L$2:$L$1001,MATCH(ROWS($J$2:J676),$J$2:$J$1001,0),0),1)),INDEX($O$2:$O$1001,MATCH(ROWS($J$2:J676),$J$2:$J$1001,0),0)))</f>
        <v>0</v>
      </c>
      <c r="B676" s="3">
        <f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>0</v>
      </c>
      <c r="C676" s="3">
        <f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>0</v>
      </c>
      <c r="D676" s="3">
        <f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>0</v>
      </c>
      <c r="E676" s="3">
        <f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>0</v>
      </c>
      <c r="F676" s="3">
        <f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>0</v>
      </c>
      <c r="J676">
        <v>0</v>
      </c>
      <c r="K676">
        <v>0</v>
      </c>
      <c r="L676">
        <v>0</v>
      </c>
      <c r="M676">
        <f>IF(N676,TRUE,AND(Q676:U676))</f>
        <v>0</v>
      </c>
      <c r="N676">
        <f>COUNTBLANK(Metadata!B676:F676)=COLUMNS(Metadata!B676:F676)</f>
        <v>0</v>
      </c>
      <c r="O676">
        <v>0</v>
      </c>
      <c r="Q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>
        <f>AND(IF(Metadata!C676="",FALSE,TRUE),exact(Metadata!C676,"human-skin"))</f>
        <v>0</v>
      </c>
      <c r="S676">
        <f>OR(AND(IF(Metadata!D676="",FALSE,TRUE),OR(exact(Metadata!D676,"missing: not collected"),exact(Metadata!D676,"missing: not provided"))),AND(IF(Metadata!D676="",FALSE,TRUE),OR(exact(Metadata!D676,"UBERON:zone of skin"),exact(Metadata!D676,"UBERON:skin of hand"),exact(Metadata!D676,"UBERON:skin of forehead"))))</f>
        <v>0</v>
      </c>
      <c r="T676">
        <f>AND(IF(Metadata!E676="",FALSE,TRUE),exact(Metadata!E676,"human skin metagenome"))</f>
        <v>0</v>
      </c>
      <c r="U676">
        <f>AND(IF(Metadata!F676="",FALSE,TRUE),exact(Metadata!F676,"539655"))</f>
        <v>0</v>
      </c>
    </row>
    <row r="677" spans="1:21">
      <c r="A677" s="4">
        <f>IF(B677=" "," ",HYPERLINK(CONCATENATE("#metadata!",ADDRESS(INDEX($L$2:$L$1001,MATCH(ROWS($J$2:J677),$J$2:$J$1001,0),0),1)),INDEX($O$2:$O$1001,MATCH(ROWS($J$2:J677),$J$2:$J$1001,0),0)))</f>
        <v>0</v>
      </c>
      <c r="B677" s="3">
        <f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>0</v>
      </c>
      <c r="C677" s="3">
        <f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>0</v>
      </c>
      <c r="D677" s="3">
        <f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>0</v>
      </c>
      <c r="E677" s="3">
        <f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>0</v>
      </c>
      <c r="F677" s="3">
        <f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>0</v>
      </c>
      <c r="J677">
        <v>0</v>
      </c>
      <c r="K677">
        <v>0</v>
      </c>
      <c r="L677">
        <v>0</v>
      </c>
      <c r="M677">
        <f>IF(N677,TRUE,AND(Q677:U677))</f>
        <v>0</v>
      </c>
      <c r="N677">
        <f>COUNTBLANK(Metadata!B677:F677)=COLUMNS(Metadata!B677:F677)</f>
        <v>0</v>
      </c>
      <c r="O677">
        <v>0</v>
      </c>
      <c r="Q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>
        <f>AND(IF(Metadata!C677="",FALSE,TRUE),exact(Metadata!C677,"human-skin"))</f>
        <v>0</v>
      </c>
      <c r="S677">
        <f>OR(AND(IF(Metadata!D677="",FALSE,TRUE),OR(exact(Metadata!D677,"missing: not collected"),exact(Metadata!D677,"missing: not provided"))),AND(IF(Metadata!D677="",FALSE,TRUE),OR(exact(Metadata!D677,"UBERON:zone of skin"),exact(Metadata!D677,"UBERON:skin of hand"),exact(Metadata!D677,"UBERON:skin of forehead"))))</f>
        <v>0</v>
      </c>
      <c r="T677">
        <f>AND(IF(Metadata!E677="",FALSE,TRUE),exact(Metadata!E677,"human skin metagenome"))</f>
        <v>0</v>
      </c>
      <c r="U677">
        <f>AND(IF(Metadata!F677="",FALSE,TRUE),exact(Metadata!F677,"539655"))</f>
        <v>0</v>
      </c>
    </row>
    <row r="678" spans="1:21">
      <c r="A678" s="4">
        <f>IF(B678=" "," ",HYPERLINK(CONCATENATE("#metadata!",ADDRESS(INDEX($L$2:$L$1001,MATCH(ROWS($J$2:J678),$J$2:$J$1001,0),0),1)),INDEX($O$2:$O$1001,MATCH(ROWS($J$2:J678),$J$2:$J$1001,0),0)))</f>
        <v>0</v>
      </c>
      <c r="B678" s="3">
        <f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>0</v>
      </c>
      <c r="C678" s="3">
        <f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>0</v>
      </c>
      <c r="D678" s="3">
        <f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>0</v>
      </c>
      <c r="E678" s="3">
        <f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>0</v>
      </c>
      <c r="F678" s="3">
        <f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>0</v>
      </c>
      <c r="J678">
        <v>0</v>
      </c>
      <c r="K678">
        <v>0</v>
      </c>
      <c r="L678">
        <v>0</v>
      </c>
      <c r="M678">
        <f>IF(N678,TRUE,AND(Q678:U678))</f>
        <v>0</v>
      </c>
      <c r="N678">
        <f>COUNTBLANK(Metadata!B678:F678)=COLUMNS(Metadata!B678:F678)</f>
        <v>0</v>
      </c>
      <c r="O678">
        <v>0</v>
      </c>
      <c r="Q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>
        <f>AND(IF(Metadata!C678="",FALSE,TRUE),exact(Metadata!C678,"human-skin"))</f>
        <v>0</v>
      </c>
      <c r="S678">
        <f>OR(AND(IF(Metadata!D678="",FALSE,TRUE),OR(exact(Metadata!D678,"missing: not collected"),exact(Metadata!D678,"missing: not provided"))),AND(IF(Metadata!D678="",FALSE,TRUE),OR(exact(Metadata!D678,"UBERON:zone of skin"),exact(Metadata!D678,"UBERON:skin of hand"),exact(Metadata!D678,"UBERON:skin of forehead"))))</f>
        <v>0</v>
      </c>
      <c r="T678">
        <f>AND(IF(Metadata!E678="",FALSE,TRUE),exact(Metadata!E678,"human skin metagenome"))</f>
        <v>0</v>
      </c>
      <c r="U678">
        <f>AND(IF(Metadata!F678="",FALSE,TRUE),exact(Metadata!F678,"539655"))</f>
        <v>0</v>
      </c>
    </row>
    <row r="679" spans="1:21">
      <c r="A679" s="4">
        <f>IF(B679=" "," ",HYPERLINK(CONCATENATE("#metadata!",ADDRESS(INDEX($L$2:$L$1001,MATCH(ROWS($J$2:J679),$J$2:$J$1001,0),0),1)),INDEX($O$2:$O$1001,MATCH(ROWS($J$2:J679),$J$2:$J$1001,0),0)))</f>
        <v>0</v>
      </c>
      <c r="B679" s="3">
        <f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>0</v>
      </c>
      <c r="C679" s="3">
        <f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>0</v>
      </c>
      <c r="D679" s="3">
        <f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>0</v>
      </c>
      <c r="E679" s="3">
        <f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>0</v>
      </c>
      <c r="F679" s="3">
        <f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>0</v>
      </c>
      <c r="J679">
        <v>0</v>
      </c>
      <c r="K679">
        <v>0</v>
      </c>
      <c r="L679">
        <v>0</v>
      </c>
      <c r="M679">
        <f>IF(N679,TRUE,AND(Q679:U679))</f>
        <v>0</v>
      </c>
      <c r="N679">
        <f>COUNTBLANK(Metadata!B679:F679)=COLUMNS(Metadata!B679:F679)</f>
        <v>0</v>
      </c>
      <c r="O679">
        <v>0</v>
      </c>
      <c r="Q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>
        <f>AND(IF(Metadata!C679="",FALSE,TRUE),exact(Metadata!C679,"human-skin"))</f>
        <v>0</v>
      </c>
      <c r="S679">
        <f>OR(AND(IF(Metadata!D679="",FALSE,TRUE),OR(exact(Metadata!D679,"missing: not collected"),exact(Metadata!D679,"missing: not provided"))),AND(IF(Metadata!D679="",FALSE,TRUE),OR(exact(Metadata!D679,"UBERON:zone of skin"),exact(Metadata!D679,"UBERON:skin of hand"),exact(Metadata!D679,"UBERON:skin of forehead"))))</f>
        <v>0</v>
      </c>
      <c r="T679">
        <f>AND(IF(Metadata!E679="",FALSE,TRUE),exact(Metadata!E679,"human skin metagenome"))</f>
        <v>0</v>
      </c>
      <c r="U679">
        <f>AND(IF(Metadata!F679="",FALSE,TRUE),exact(Metadata!F679,"539655"))</f>
        <v>0</v>
      </c>
    </row>
    <row r="680" spans="1:21">
      <c r="A680" s="4">
        <f>IF(B680=" "," ",HYPERLINK(CONCATENATE("#metadata!",ADDRESS(INDEX($L$2:$L$1001,MATCH(ROWS($J$2:J680),$J$2:$J$1001,0),0),1)),INDEX($O$2:$O$1001,MATCH(ROWS($J$2:J680),$J$2:$J$1001,0),0)))</f>
        <v>0</v>
      </c>
      <c r="B680" s="3">
        <f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>0</v>
      </c>
      <c r="C680" s="3">
        <f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>0</v>
      </c>
      <c r="D680" s="3">
        <f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>0</v>
      </c>
      <c r="E680" s="3">
        <f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>0</v>
      </c>
      <c r="F680" s="3">
        <f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>0</v>
      </c>
      <c r="J680">
        <v>0</v>
      </c>
      <c r="K680">
        <v>0</v>
      </c>
      <c r="L680">
        <v>0</v>
      </c>
      <c r="M680">
        <f>IF(N680,TRUE,AND(Q680:U680))</f>
        <v>0</v>
      </c>
      <c r="N680">
        <f>COUNTBLANK(Metadata!B680:F680)=COLUMNS(Metadata!B680:F680)</f>
        <v>0</v>
      </c>
      <c r="O680">
        <v>0</v>
      </c>
      <c r="Q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>
        <f>AND(IF(Metadata!C680="",FALSE,TRUE),exact(Metadata!C680,"human-skin"))</f>
        <v>0</v>
      </c>
      <c r="S680">
        <f>OR(AND(IF(Metadata!D680="",FALSE,TRUE),OR(exact(Metadata!D680,"missing: not collected"),exact(Metadata!D680,"missing: not provided"))),AND(IF(Metadata!D680="",FALSE,TRUE),OR(exact(Metadata!D680,"UBERON:zone of skin"),exact(Metadata!D680,"UBERON:skin of hand"),exact(Metadata!D680,"UBERON:skin of forehead"))))</f>
        <v>0</v>
      </c>
      <c r="T680">
        <f>AND(IF(Metadata!E680="",FALSE,TRUE),exact(Metadata!E680,"human skin metagenome"))</f>
        <v>0</v>
      </c>
      <c r="U680">
        <f>AND(IF(Metadata!F680="",FALSE,TRUE),exact(Metadata!F680,"539655"))</f>
        <v>0</v>
      </c>
    </row>
    <row r="681" spans="1:21">
      <c r="A681" s="4">
        <f>IF(B681=" "," ",HYPERLINK(CONCATENATE("#metadata!",ADDRESS(INDEX($L$2:$L$1001,MATCH(ROWS($J$2:J681),$J$2:$J$1001,0),0),1)),INDEX($O$2:$O$1001,MATCH(ROWS($J$2:J681),$J$2:$J$1001,0),0)))</f>
        <v>0</v>
      </c>
      <c r="B681" s="3">
        <f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>0</v>
      </c>
      <c r="C681" s="3">
        <f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>0</v>
      </c>
      <c r="D681" s="3">
        <f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>0</v>
      </c>
      <c r="E681" s="3">
        <f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>0</v>
      </c>
      <c r="F681" s="3">
        <f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>0</v>
      </c>
      <c r="J681">
        <v>0</v>
      </c>
      <c r="K681">
        <v>0</v>
      </c>
      <c r="L681">
        <v>0</v>
      </c>
      <c r="M681">
        <f>IF(N681,TRUE,AND(Q681:U681))</f>
        <v>0</v>
      </c>
      <c r="N681">
        <f>COUNTBLANK(Metadata!B681:F681)=COLUMNS(Metadata!B681:F681)</f>
        <v>0</v>
      </c>
      <c r="O681">
        <v>0</v>
      </c>
      <c r="Q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>
        <f>AND(IF(Metadata!C681="",FALSE,TRUE),exact(Metadata!C681,"human-skin"))</f>
        <v>0</v>
      </c>
      <c r="S681">
        <f>OR(AND(IF(Metadata!D681="",FALSE,TRUE),OR(exact(Metadata!D681,"missing: not collected"),exact(Metadata!D681,"missing: not provided"))),AND(IF(Metadata!D681="",FALSE,TRUE),OR(exact(Metadata!D681,"UBERON:zone of skin"),exact(Metadata!D681,"UBERON:skin of hand"),exact(Metadata!D681,"UBERON:skin of forehead"))))</f>
        <v>0</v>
      </c>
      <c r="T681">
        <f>AND(IF(Metadata!E681="",FALSE,TRUE),exact(Metadata!E681,"human skin metagenome"))</f>
        <v>0</v>
      </c>
      <c r="U681">
        <f>AND(IF(Metadata!F681="",FALSE,TRUE),exact(Metadata!F681,"539655"))</f>
        <v>0</v>
      </c>
    </row>
    <row r="682" spans="1:21">
      <c r="A682" s="4">
        <f>IF(B682=" "," ",HYPERLINK(CONCATENATE("#metadata!",ADDRESS(INDEX($L$2:$L$1001,MATCH(ROWS($J$2:J682),$J$2:$J$1001,0),0),1)),INDEX($O$2:$O$1001,MATCH(ROWS($J$2:J682),$J$2:$J$1001,0),0)))</f>
        <v>0</v>
      </c>
      <c r="B682" s="3">
        <f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>0</v>
      </c>
      <c r="C682" s="3">
        <f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>0</v>
      </c>
      <c r="D682" s="3">
        <f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>0</v>
      </c>
      <c r="E682" s="3">
        <f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>0</v>
      </c>
      <c r="F682" s="3">
        <f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>0</v>
      </c>
      <c r="J682">
        <v>0</v>
      </c>
      <c r="K682">
        <v>0</v>
      </c>
      <c r="L682">
        <v>0</v>
      </c>
      <c r="M682">
        <f>IF(N682,TRUE,AND(Q682:U682))</f>
        <v>0</v>
      </c>
      <c r="N682">
        <f>COUNTBLANK(Metadata!B682:F682)=COLUMNS(Metadata!B682:F682)</f>
        <v>0</v>
      </c>
      <c r="O682">
        <v>0</v>
      </c>
      <c r="Q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>
        <f>AND(IF(Metadata!C682="",FALSE,TRUE),exact(Metadata!C682,"human-skin"))</f>
        <v>0</v>
      </c>
      <c r="S682">
        <f>OR(AND(IF(Metadata!D682="",FALSE,TRUE),OR(exact(Metadata!D682,"missing: not collected"),exact(Metadata!D682,"missing: not provided"))),AND(IF(Metadata!D682="",FALSE,TRUE),OR(exact(Metadata!D682,"UBERON:zone of skin"),exact(Metadata!D682,"UBERON:skin of hand"),exact(Metadata!D682,"UBERON:skin of forehead"))))</f>
        <v>0</v>
      </c>
      <c r="T682">
        <f>AND(IF(Metadata!E682="",FALSE,TRUE),exact(Metadata!E682,"human skin metagenome"))</f>
        <v>0</v>
      </c>
      <c r="U682">
        <f>AND(IF(Metadata!F682="",FALSE,TRUE),exact(Metadata!F682,"539655"))</f>
        <v>0</v>
      </c>
    </row>
    <row r="683" spans="1:21">
      <c r="A683" s="4">
        <f>IF(B683=" "," ",HYPERLINK(CONCATENATE("#metadata!",ADDRESS(INDEX($L$2:$L$1001,MATCH(ROWS($J$2:J683),$J$2:$J$1001,0),0),1)),INDEX($O$2:$O$1001,MATCH(ROWS($J$2:J683),$J$2:$J$1001,0),0)))</f>
        <v>0</v>
      </c>
      <c r="B683" s="3">
        <f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>0</v>
      </c>
      <c r="C683" s="3">
        <f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>0</v>
      </c>
      <c r="D683" s="3">
        <f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>0</v>
      </c>
      <c r="E683" s="3">
        <f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>0</v>
      </c>
      <c r="F683" s="3">
        <f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>0</v>
      </c>
      <c r="J683">
        <v>0</v>
      </c>
      <c r="K683">
        <v>0</v>
      </c>
      <c r="L683">
        <v>0</v>
      </c>
      <c r="M683">
        <f>IF(N683,TRUE,AND(Q683:U683))</f>
        <v>0</v>
      </c>
      <c r="N683">
        <f>COUNTBLANK(Metadata!B683:F683)=COLUMNS(Metadata!B683:F683)</f>
        <v>0</v>
      </c>
      <c r="O683">
        <v>0</v>
      </c>
      <c r="Q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>
        <f>AND(IF(Metadata!C683="",FALSE,TRUE),exact(Metadata!C683,"human-skin"))</f>
        <v>0</v>
      </c>
      <c r="S683">
        <f>OR(AND(IF(Metadata!D683="",FALSE,TRUE),OR(exact(Metadata!D683,"missing: not collected"),exact(Metadata!D683,"missing: not provided"))),AND(IF(Metadata!D683="",FALSE,TRUE),OR(exact(Metadata!D683,"UBERON:zone of skin"),exact(Metadata!D683,"UBERON:skin of hand"),exact(Metadata!D683,"UBERON:skin of forehead"))))</f>
        <v>0</v>
      </c>
      <c r="T683">
        <f>AND(IF(Metadata!E683="",FALSE,TRUE),exact(Metadata!E683,"human skin metagenome"))</f>
        <v>0</v>
      </c>
      <c r="U683">
        <f>AND(IF(Metadata!F683="",FALSE,TRUE),exact(Metadata!F683,"539655"))</f>
        <v>0</v>
      </c>
    </row>
    <row r="684" spans="1:21">
      <c r="A684" s="4">
        <f>IF(B684=" "," ",HYPERLINK(CONCATENATE("#metadata!",ADDRESS(INDEX($L$2:$L$1001,MATCH(ROWS($J$2:J684),$J$2:$J$1001,0),0),1)),INDEX($O$2:$O$1001,MATCH(ROWS($J$2:J684),$J$2:$J$1001,0),0)))</f>
        <v>0</v>
      </c>
      <c r="B684" s="3">
        <f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>0</v>
      </c>
      <c r="C684" s="3">
        <f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>0</v>
      </c>
      <c r="D684" s="3">
        <f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>0</v>
      </c>
      <c r="E684" s="3">
        <f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>0</v>
      </c>
      <c r="F684" s="3">
        <f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>0</v>
      </c>
      <c r="J684">
        <v>0</v>
      </c>
      <c r="K684">
        <v>0</v>
      </c>
      <c r="L684">
        <v>0</v>
      </c>
      <c r="M684">
        <f>IF(N684,TRUE,AND(Q684:U684))</f>
        <v>0</v>
      </c>
      <c r="N684">
        <f>COUNTBLANK(Metadata!B684:F684)=COLUMNS(Metadata!B684:F684)</f>
        <v>0</v>
      </c>
      <c r="O684">
        <v>0</v>
      </c>
      <c r="Q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>
        <f>AND(IF(Metadata!C684="",FALSE,TRUE),exact(Metadata!C684,"human-skin"))</f>
        <v>0</v>
      </c>
      <c r="S684">
        <f>OR(AND(IF(Metadata!D684="",FALSE,TRUE),OR(exact(Metadata!D684,"missing: not collected"),exact(Metadata!D684,"missing: not provided"))),AND(IF(Metadata!D684="",FALSE,TRUE),OR(exact(Metadata!D684,"UBERON:zone of skin"),exact(Metadata!D684,"UBERON:skin of hand"),exact(Metadata!D684,"UBERON:skin of forehead"))))</f>
        <v>0</v>
      </c>
      <c r="T684">
        <f>AND(IF(Metadata!E684="",FALSE,TRUE),exact(Metadata!E684,"human skin metagenome"))</f>
        <v>0</v>
      </c>
      <c r="U684">
        <f>AND(IF(Metadata!F684="",FALSE,TRUE),exact(Metadata!F684,"539655"))</f>
        <v>0</v>
      </c>
    </row>
    <row r="685" spans="1:21">
      <c r="A685" s="4">
        <f>IF(B685=" "," ",HYPERLINK(CONCATENATE("#metadata!",ADDRESS(INDEX($L$2:$L$1001,MATCH(ROWS($J$2:J685),$J$2:$J$1001,0),0),1)),INDEX($O$2:$O$1001,MATCH(ROWS($J$2:J685),$J$2:$J$1001,0),0)))</f>
        <v>0</v>
      </c>
      <c r="B685" s="3">
        <f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>0</v>
      </c>
      <c r="C685" s="3">
        <f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>0</v>
      </c>
      <c r="D685" s="3">
        <f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>0</v>
      </c>
      <c r="E685" s="3">
        <f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>0</v>
      </c>
      <c r="F685" s="3">
        <f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>0</v>
      </c>
      <c r="J685">
        <v>0</v>
      </c>
      <c r="K685">
        <v>0</v>
      </c>
      <c r="L685">
        <v>0</v>
      </c>
      <c r="M685">
        <f>IF(N685,TRUE,AND(Q685:U685))</f>
        <v>0</v>
      </c>
      <c r="N685">
        <f>COUNTBLANK(Metadata!B685:F685)=COLUMNS(Metadata!B685:F685)</f>
        <v>0</v>
      </c>
      <c r="O685">
        <v>0</v>
      </c>
      <c r="Q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>
        <f>AND(IF(Metadata!C685="",FALSE,TRUE),exact(Metadata!C685,"human-skin"))</f>
        <v>0</v>
      </c>
      <c r="S685">
        <f>OR(AND(IF(Metadata!D685="",FALSE,TRUE),OR(exact(Metadata!D685,"missing: not collected"),exact(Metadata!D685,"missing: not provided"))),AND(IF(Metadata!D685="",FALSE,TRUE),OR(exact(Metadata!D685,"UBERON:zone of skin"),exact(Metadata!D685,"UBERON:skin of hand"),exact(Metadata!D685,"UBERON:skin of forehead"))))</f>
        <v>0</v>
      </c>
      <c r="T685">
        <f>AND(IF(Metadata!E685="",FALSE,TRUE),exact(Metadata!E685,"human skin metagenome"))</f>
        <v>0</v>
      </c>
      <c r="U685">
        <f>AND(IF(Metadata!F685="",FALSE,TRUE),exact(Metadata!F685,"539655"))</f>
        <v>0</v>
      </c>
    </row>
    <row r="686" spans="1:21">
      <c r="A686" s="4">
        <f>IF(B686=" "," ",HYPERLINK(CONCATENATE("#metadata!",ADDRESS(INDEX($L$2:$L$1001,MATCH(ROWS($J$2:J686),$J$2:$J$1001,0),0),1)),INDEX($O$2:$O$1001,MATCH(ROWS($J$2:J686),$J$2:$J$1001,0),0)))</f>
        <v>0</v>
      </c>
      <c r="B686" s="3">
        <f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>0</v>
      </c>
      <c r="C686" s="3">
        <f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>0</v>
      </c>
      <c r="D686" s="3">
        <f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>0</v>
      </c>
      <c r="E686" s="3">
        <f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>0</v>
      </c>
      <c r="F686" s="3">
        <f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>0</v>
      </c>
      <c r="J686">
        <v>0</v>
      </c>
      <c r="K686">
        <v>0</v>
      </c>
      <c r="L686">
        <v>0</v>
      </c>
      <c r="M686">
        <f>IF(N686,TRUE,AND(Q686:U686))</f>
        <v>0</v>
      </c>
      <c r="N686">
        <f>COUNTBLANK(Metadata!B686:F686)=COLUMNS(Metadata!B686:F686)</f>
        <v>0</v>
      </c>
      <c r="O686">
        <v>0</v>
      </c>
      <c r="Q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>
        <f>AND(IF(Metadata!C686="",FALSE,TRUE),exact(Metadata!C686,"human-skin"))</f>
        <v>0</v>
      </c>
      <c r="S686">
        <f>OR(AND(IF(Metadata!D686="",FALSE,TRUE),OR(exact(Metadata!D686,"missing: not collected"),exact(Metadata!D686,"missing: not provided"))),AND(IF(Metadata!D686="",FALSE,TRUE),OR(exact(Metadata!D686,"UBERON:zone of skin"),exact(Metadata!D686,"UBERON:skin of hand"),exact(Metadata!D686,"UBERON:skin of forehead"))))</f>
        <v>0</v>
      </c>
      <c r="T686">
        <f>AND(IF(Metadata!E686="",FALSE,TRUE),exact(Metadata!E686,"human skin metagenome"))</f>
        <v>0</v>
      </c>
      <c r="U686">
        <f>AND(IF(Metadata!F686="",FALSE,TRUE),exact(Metadata!F686,"539655"))</f>
        <v>0</v>
      </c>
    </row>
    <row r="687" spans="1:21">
      <c r="A687" s="4">
        <f>IF(B687=" "," ",HYPERLINK(CONCATENATE("#metadata!",ADDRESS(INDEX($L$2:$L$1001,MATCH(ROWS($J$2:J687),$J$2:$J$1001,0),0),1)),INDEX($O$2:$O$1001,MATCH(ROWS($J$2:J687),$J$2:$J$1001,0),0)))</f>
        <v>0</v>
      </c>
      <c r="B687" s="3">
        <f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>0</v>
      </c>
      <c r="C687" s="3">
        <f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>0</v>
      </c>
      <c r="D687" s="3">
        <f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>0</v>
      </c>
      <c r="E687" s="3">
        <f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>0</v>
      </c>
      <c r="F687" s="3">
        <f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>0</v>
      </c>
      <c r="J687">
        <v>0</v>
      </c>
      <c r="K687">
        <v>0</v>
      </c>
      <c r="L687">
        <v>0</v>
      </c>
      <c r="M687">
        <f>IF(N687,TRUE,AND(Q687:U687))</f>
        <v>0</v>
      </c>
      <c r="N687">
        <f>COUNTBLANK(Metadata!B687:F687)=COLUMNS(Metadata!B687:F687)</f>
        <v>0</v>
      </c>
      <c r="O687">
        <v>0</v>
      </c>
      <c r="Q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>
        <f>AND(IF(Metadata!C687="",FALSE,TRUE),exact(Metadata!C687,"human-skin"))</f>
        <v>0</v>
      </c>
      <c r="S687">
        <f>OR(AND(IF(Metadata!D687="",FALSE,TRUE),OR(exact(Metadata!D687,"missing: not collected"),exact(Metadata!D687,"missing: not provided"))),AND(IF(Metadata!D687="",FALSE,TRUE),OR(exact(Metadata!D687,"UBERON:zone of skin"),exact(Metadata!D687,"UBERON:skin of hand"),exact(Metadata!D687,"UBERON:skin of forehead"))))</f>
        <v>0</v>
      </c>
      <c r="T687">
        <f>AND(IF(Metadata!E687="",FALSE,TRUE),exact(Metadata!E687,"human skin metagenome"))</f>
        <v>0</v>
      </c>
      <c r="U687">
        <f>AND(IF(Metadata!F687="",FALSE,TRUE),exact(Metadata!F687,"539655"))</f>
        <v>0</v>
      </c>
    </row>
    <row r="688" spans="1:21">
      <c r="A688" s="4">
        <f>IF(B688=" "," ",HYPERLINK(CONCATENATE("#metadata!",ADDRESS(INDEX($L$2:$L$1001,MATCH(ROWS($J$2:J688),$J$2:$J$1001,0),0),1)),INDEX($O$2:$O$1001,MATCH(ROWS($J$2:J688),$J$2:$J$1001,0),0)))</f>
        <v>0</v>
      </c>
      <c r="B688" s="3">
        <f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>0</v>
      </c>
      <c r="C688" s="3">
        <f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>0</v>
      </c>
      <c r="D688" s="3">
        <f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>0</v>
      </c>
      <c r="E688" s="3">
        <f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>0</v>
      </c>
      <c r="F688" s="3">
        <f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>0</v>
      </c>
      <c r="J688">
        <v>0</v>
      </c>
      <c r="K688">
        <v>0</v>
      </c>
      <c r="L688">
        <v>0</v>
      </c>
      <c r="M688">
        <f>IF(N688,TRUE,AND(Q688:U688))</f>
        <v>0</v>
      </c>
      <c r="N688">
        <f>COUNTBLANK(Metadata!B688:F688)=COLUMNS(Metadata!B688:F688)</f>
        <v>0</v>
      </c>
      <c r="O688">
        <v>0</v>
      </c>
      <c r="Q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>
        <f>AND(IF(Metadata!C688="",FALSE,TRUE),exact(Metadata!C688,"human-skin"))</f>
        <v>0</v>
      </c>
      <c r="S688">
        <f>OR(AND(IF(Metadata!D688="",FALSE,TRUE),OR(exact(Metadata!D688,"missing: not collected"),exact(Metadata!D688,"missing: not provided"))),AND(IF(Metadata!D688="",FALSE,TRUE),OR(exact(Metadata!D688,"UBERON:zone of skin"),exact(Metadata!D688,"UBERON:skin of hand"),exact(Metadata!D688,"UBERON:skin of forehead"))))</f>
        <v>0</v>
      </c>
      <c r="T688">
        <f>AND(IF(Metadata!E688="",FALSE,TRUE),exact(Metadata!E688,"human skin metagenome"))</f>
        <v>0</v>
      </c>
      <c r="U688">
        <f>AND(IF(Metadata!F688="",FALSE,TRUE),exact(Metadata!F688,"539655"))</f>
        <v>0</v>
      </c>
    </row>
    <row r="689" spans="1:21">
      <c r="A689" s="4">
        <f>IF(B689=" "," ",HYPERLINK(CONCATENATE("#metadata!",ADDRESS(INDEX($L$2:$L$1001,MATCH(ROWS($J$2:J689),$J$2:$J$1001,0),0),1)),INDEX($O$2:$O$1001,MATCH(ROWS($J$2:J689),$J$2:$J$1001,0),0)))</f>
        <v>0</v>
      </c>
      <c r="B689" s="3">
        <f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>0</v>
      </c>
      <c r="C689" s="3">
        <f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>0</v>
      </c>
      <c r="D689" s="3">
        <f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>0</v>
      </c>
      <c r="E689" s="3">
        <f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>0</v>
      </c>
      <c r="F689" s="3">
        <f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>0</v>
      </c>
      <c r="J689">
        <v>0</v>
      </c>
      <c r="K689">
        <v>0</v>
      </c>
      <c r="L689">
        <v>0</v>
      </c>
      <c r="M689">
        <f>IF(N689,TRUE,AND(Q689:U689))</f>
        <v>0</v>
      </c>
      <c r="N689">
        <f>COUNTBLANK(Metadata!B689:F689)=COLUMNS(Metadata!B689:F689)</f>
        <v>0</v>
      </c>
      <c r="O689">
        <v>0</v>
      </c>
      <c r="Q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>
        <f>AND(IF(Metadata!C689="",FALSE,TRUE),exact(Metadata!C689,"human-skin"))</f>
        <v>0</v>
      </c>
      <c r="S689">
        <f>OR(AND(IF(Metadata!D689="",FALSE,TRUE),OR(exact(Metadata!D689,"missing: not collected"),exact(Metadata!D689,"missing: not provided"))),AND(IF(Metadata!D689="",FALSE,TRUE),OR(exact(Metadata!D689,"UBERON:zone of skin"),exact(Metadata!D689,"UBERON:skin of hand"),exact(Metadata!D689,"UBERON:skin of forehead"))))</f>
        <v>0</v>
      </c>
      <c r="T689">
        <f>AND(IF(Metadata!E689="",FALSE,TRUE),exact(Metadata!E689,"human skin metagenome"))</f>
        <v>0</v>
      </c>
      <c r="U689">
        <f>AND(IF(Metadata!F689="",FALSE,TRUE),exact(Metadata!F689,"539655"))</f>
        <v>0</v>
      </c>
    </row>
    <row r="690" spans="1:21">
      <c r="A690" s="4">
        <f>IF(B690=" "," ",HYPERLINK(CONCATENATE("#metadata!",ADDRESS(INDEX($L$2:$L$1001,MATCH(ROWS($J$2:J690),$J$2:$J$1001,0),0),1)),INDEX($O$2:$O$1001,MATCH(ROWS($J$2:J690),$J$2:$J$1001,0),0)))</f>
        <v>0</v>
      </c>
      <c r="B690" s="3">
        <f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>0</v>
      </c>
      <c r="C690" s="3">
        <f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>0</v>
      </c>
      <c r="D690" s="3">
        <f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>0</v>
      </c>
      <c r="E690" s="3">
        <f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>0</v>
      </c>
      <c r="F690" s="3">
        <f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>0</v>
      </c>
      <c r="J690">
        <v>0</v>
      </c>
      <c r="K690">
        <v>0</v>
      </c>
      <c r="L690">
        <v>0</v>
      </c>
      <c r="M690">
        <f>IF(N690,TRUE,AND(Q690:U690))</f>
        <v>0</v>
      </c>
      <c r="N690">
        <f>COUNTBLANK(Metadata!B690:F690)=COLUMNS(Metadata!B690:F690)</f>
        <v>0</v>
      </c>
      <c r="O690">
        <v>0</v>
      </c>
      <c r="Q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>
        <f>AND(IF(Metadata!C690="",FALSE,TRUE),exact(Metadata!C690,"human-skin"))</f>
        <v>0</v>
      </c>
      <c r="S690">
        <f>OR(AND(IF(Metadata!D690="",FALSE,TRUE),OR(exact(Metadata!D690,"missing: not collected"),exact(Metadata!D690,"missing: not provided"))),AND(IF(Metadata!D690="",FALSE,TRUE),OR(exact(Metadata!D690,"UBERON:zone of skin"),exact(Metadata!D690,"UBERON:skin of hand"),exact(Metadata!D690,"UBERON:skin of forehead"))))</f>
        <v>0</v>
      </c>
      <c r="T690">
        <f>AND(IF(Metadata!E690="",FALSE,TRUE),exact(Metadata!E690,"human skin metagenome"))</f>
        <v>0</v>
      </c>
      <c r="U690">
        <f>AND(IF(Metadata!F690="",FALSE,TRUE),exact(Metadata!F690,"539655"))</f>
        <v>0</v>
      </c>
    </row>
    <row r="691" spans="1:21">
      <c r="A691" s="4">
        <f>IF(B691=" "," ",HYPERLINK(CONCATENATE("#metadata!",ADDRESS(INDEX($L$2:$L$1001,MATCH(ROWS($J$2:J691),$J$2:$J$1001,0),0),1)),INDEX($O$2:$O$1001,MATCH(ROWS($J$2:J691),$J$2:$J$1001,0),0)))</f>
        <v>0</v>
      </c>
      <c r="B691" s="3">
        <f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>0</v>
      </c>
      <c r="C691" s="3">
        <f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>0</v>
      </c>
      <c r="D691" s="3">
        <f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>0</v>
      </c>
      <c r="E691" s="3">
        <f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>0</v>
      </c>
      <c r="F691" s="3">
        <f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>0</v>
      </c>
      <c r="J691">
        <v>0</v>
      </c>
      <c r="K691">
        <v>0</v>
      </c>
      <c r="L691">
        <v>0</v>
      </c>
      <c r="M691">
        <f>IF(N691,TRUE,AND(Q691:U691))</f>
        <v>0</v>
      </c>
      <c r="N691">
        <f>COUNTBLANK(Metadata!B691:F691)=COLUMNS(Metadata!B691:F691)</f>
        <v>0</v>
      </c>
      <c r="O691">
        <v>0</v>
      </c>
      <c r="Q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>
        <f>AND(IF(Metadata!C691="",FALSE,TRUE),exact(Metadata!C691,"human-skin"))</f>
        <v>0</v>
      </c>
      <c r="S691">
        <f>OR(AND(IF(Metadata!D691="",FALSE,TRUE),OR(exact(Metadata!D691,"missing: not collected"),exact(Metadata!D691,"missing: not provided"))),AND(IF(Metadata!D691="",FALSE,TRUE),OR(exact(Metadata!D691,"UBERON:zone of skin"),exact(Metadata!D691,"UBERON:skin of hand"),exact(Metadata!D691,"UBERON:skin of forehead"))))</f>
        <v>0</v>
      </c>
      <c r="T691">
        <f>AND(IF(Metadata!E691="",FALSE,TRUE),exact(Metadata!E691,"human skin metagenome"))</f>
        <v>0</v>
      </c>
      <c r="U691">
        <f>AND(IF(Metadata!F691="",FALSE,TRUE),exact(Metadata!F691,"539655"))</f>
        <v>0</v>
      </c>
    </row>
    <row r="692" spans="1:21">
      <c r="A692" s="4">
        <f>IF(B692=" "," ",HYPERLINK(CONCATENATE("#metadata!",ADDRESS(INDEX($L$2:$L$1001,MATCH(ROWS($J$2:J692),$J$2:$J$1001,0),0),1)),INDEX($O$2:$O$1001,MATCH(ROWS($J$2:J692),$J$2:$J$1001,0),0)))</f>
        <v>0</v>
      </c>
      <c r="B692" s="3">
        <f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>0</v>
      </c>
      <c r="C692" s="3">
        <f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>0</v>
      </c>
      <c r="D692" s="3">
        <f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>0</v>
      </c>
      <c r="E692" s="3">
        <f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>0</v>
      </c>
      <c r="F692" s="3">
        <f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>0</v>
      </c>
      <c r="J692">
        <v>0</v>
      </c>
      <c r="K692">
        <v>0</v>
      </c>
      <c r="L692">
        <v>0</v>
      </c>
      <c r="M692">
        <f>IF(N692,TRUE,AND(Q692:U692))</f>
        <v>0</v>
      </c>
      <c r="N692">
        <f>COUNTBLANK(Metadata!B692:F692)=COLUMNS(Metadata!B692:F692)</f>
        <v>0</v>
      </c>
      <c r="O692">
        <v>0</v>
      </c>
      <c r="Q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>
        <f>AND(IF(Metadata!C692="",FALSE,TRUE),exact(Metadata!C692,"human-skin"))</f>
        <v>0</v>
      </c>
      <c r="S692">
        <f>OR(AND(IF(Metadata!D692="",FALSE,TRUE),OR(exact(Metadata!D692,"missing: not collected"),exact(Metadata!D692,"missing: not provided"))),AND(IF(Metadata!D692="",FALSE,TRUE),OR(exact(Metadata!D692,"UBERON:zone of skin"),exact(Metadata!D692,"UBERON:skin of hand"),exact(Metadata!D692,"UBERON:skin of forehead"))))</f>
        <v>0</v>
      </c>
      <c r="T692">
        <f>AND(IF(Metadata!E692="",FALSE,TRUE),exact(Metadata!E692,"human skin metagenome"))</f>
        <v>0</v>
      </c>
      <c r="U692">
        <f>AND(IF(Metadata!F692="",FALSE,TRUE),exact(Metadata!F692,"539655"))</f>
        <v>0</v>
      </c>
    </row>
    <row r="693" spans="1:21">
      <c r="A693" s="4">
        <f>IF(B693=" "," ",HYPERLINK(CONCATENATE("#metadata!",ADDRESS(INDEX($L$2:$L$1001,MATCH(ROWS($J$2:J693),$J$2:$J$1001,0),0),1)),INDEX($O$2:$O$1001,MATCH(ROWS($J$2:J693),$J$2:$J$1001,0),0)))</f>
        <v>0</v>
      </c>
      <c r="B693" s="3">
        <f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>0</v>
      </c>
      <c r="C693" s="3">
        <f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>0</v>
      </c>
      <c r="D693" s="3">
        <f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>0</v>
      </c>
      <c r="E693" s="3">
        <f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>0</v>
      </c>
      <c r="F693" s="3">
        <f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>0</v>
      </c>
      <c r="J693">
        <v>0</v>
      </c>
      <c r="K693">
        <v>0</v>
      </c>
      <c r="L693">
        <v>0</v>
      </c>
      <c r="M693">
        <f>IF(N693,TRUE,AND(Q693:U693))</f>
        <v>0</v>
      </c>
      <c r="N693">
        <f>COUNTBLANK(Metadata!B693:F693)=COLUMNS(Metadata!B693:F693)</f>
        <v>0</v>
      </c>
      <c r="O693">
        <v>0</v>
      </c>
      <c r="Q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>
        <f>AND(IF(Metadata!C693="",FALSE,TRUE),exact(Metadata!C693,"human-skin"))</f>
        <v>0</v>
      </c>
      <c r="S693">
        <f>OR(AND(IF(Metadata!D693="",FALSE,TRUE),OR(exact(Metadata!D693,"missing: not collected"),exact(Metadata!D693,"missing: not provided"))),AND(IF(Metadata!D693="",FALSE,TRUE),OR(exact(Metadata!D693,"UBERON:zone of skin"),exact(Metadata!D693,"UBERON:skin of hand"),exact(Metadata!D693,"UBERON:skin of forehead"))))</f>
        <v>0</v>
      </c>
      <c r="T693">
        <f>AND(IF(Metadata!E693="",FALSE,TRUE),exact(Metadata!E693,"human skin metagenome"))</f>
        <v>0</v>
      </c>
      <c r="U693">
        <f>AND(IF(Metadata!F693="",FALSE,TRUE),exact(Metadata!F693,"539655"))</f>
        <v>0</v>
      </c>
    </row>
    <row r="694" spans="1:21">
      <c r="A694" s="4">
        <f>IF(B694=" "," ",HYPERLINK(CONCATENATE("#metadata!",ADDRESS(INDEX($L$2:$L$1001,MATCH(ROWS($J$2:J694),$J$2:$J$1001,0),0),1)),INDEX($O$2:$O$1001,MATCH(ROWS($J$2:J694),$J$2:$J$1001,0),0)))</f>
        <v>0</v>
      </c>
      <c r="B694" s="3">
        <f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>0</v>
      </c>
      <c r="C694" s="3">
        <f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>0</v>
      </c>
      <c r="D694" s="3">
        <f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>0</v>
      </c>
      <c r="E694" s="3">
        <f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>0</v>
      </c>
      <c r="F694" s="3">
        <f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>0</v>
      </c>
      <c r="J694">
        <v>0</v>
      </c>
      <c r="K694">
        <v>0</v>
      </c>
      <c r="L694">
        <v>0</v>
      </c>
      <c r="M694">
        <f>IF(N694,TRUE,AND(Q694:U694))</f>
        <v>0</v>
      </c>
      <c r="N694">
        <f>COUNTBLANK(Metadata!B694:F694)=COLUMNS(Metadata!B694:F694)</f>
        <v>0</v>
      </c>
      <c r="O694">
        <v>0</v>
      </c>
      <c r="Q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>
        <f>AND(IF(Metadata!C694="",FALSE,TRUE),exact(Metadata!C694,"human-skin"))</f>
        <v>0</v>
      </c>
      <c r="S694">
        <f>OR(AND(IF(Metadata!D694="",FALSE,TRUE),OR(exact(Metadata!D694,"missing: not collected"),exact(Metadata!D694,"missing: not provided"))),AND(IF(Metadata!D694="",FALSE,TRUE),OR(exact(Metadata!D694,"UBERON:zone of skin"),exact(Metadata!D694,"UBERON:skin of hand"),exact(Metadata!D694,"UBERON:skin of forehead"))))</f>
        <v>0</v>
      </c>
      <c r="T694">
        <f>AND(IF(Metadata!E694="",FALSE,TRUE),exact(Metadata!E694,"human skin metagenome"))</f>
        <v>0</v>
      </c>
      <c r="U694">
        <f>AND(IF(Metadata!F694="",FALSE,TRUE),exact(Metadata!F694,"539655"))</f>
        <v>0</v>
      </c>
    </row>
    <row r="695" spans="1:21">
      <c r="A695" s="4">
        <f>IF(B695=" "," ",HYPERLINK(CONCATENATE("#metadata!",ADDRESS(INDEX($L$2:$L$1001,MATCH(ROWS($J$2:J695),$J$2:$J$1001,0),0),1)),INDEX($O$2:$O$1001,MATCH(ROWS($J$2:J695),$J$2:$J$1001,0),0)))</f>
        <v>0</v>
      </c>
      <c r="B695" s="3">
        <f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>0</v>
      </c>
      <c r="C695" s="3">
        <f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>0</v>
      </c>
      <c r="D695" s="3">
        <f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>0</v>
      </c>
      <c r="E695" s="3">
        <f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>0</v>
      </c>
      <c r="F695" s="3">
        <f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>0</v>
      </c>
      <c r="J695">
        <v>0</v>
      </c>
      <c r="K695">
        <v>0</v>
      </c>
      <c r="L695">
        <v>0</v>
      </c>
      <c r="M695">
        <f>IF(N695,TRUE,AND(Q695:U695))</f>
        <v>0</v>
      </c>
      <c r="N695">
        <f>COUNTBLANK(Metadata!B695:F695)=COLUMNS(Metadata!B695:F695)</f>
        <v>0</v>
      </c>
      <c r="O695">
        <v>0</v>
      </c>
      <c r="Q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>
        <f>AND(IF(Metadata!C695="",FALSE,TRUE),exact(Metadata!C695,"human-skin"))</f>
        <v>0</v>
      </c>
      <c r="S695">
        <f>OR(AND(IF(Metadata!D695="",FALSE,TRUE),OR(exact(Metadata!D695,"missing: not collected"),exact(Metadata!D695,"missing: not provided"))),AND(IF(Metadata!D695="",FALSE,TRUE),OR(exact(Metadata!D695,"UBERON:zone of skin"),exact(Metadata!D695,"UBERON:skin of hand"),exact(Metadata!D695,"UBERON:skin of forehead"))))</f>
        <v>0</v>
      </c>
      <c r="T695">
        <f>AND(IF(Metadata!E695="",FALSE,TRUE),exact(Metadata!E695,"human skin metagenome"))</f>
        <v>0</v>
      </c>
      <c r="U695">
        <f>AND(IF(Metadata!F695="",FALSE,TRUE),exact(Metadata!F695,"539655"))</f>
        <v>0</v>
      </c>
    </row>
    <row r="696" spans="1:21">
      <c r="A696" s="4">
        <f>IF(B696=" "," ",HYPERLINK(CONCATENATE("#metadata!",ADDRESS(INDEX($L$2:$L$1001,MATCH(ROWS($J$2:J696),$J$2:$J$1001,0),0),1)),INDEX($O$2:$O$1001,MATCH(ROWS($J$2:J696),$J$2:$J$1001,0),0)))</f>
        <v>0</v>
      </c>
      <c r="B696" s="3">
        <f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>0</v>
      </c>
      <c r="C696" s="3">
        <f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>0</v>
      </c>
      <c r="D696" s="3">
        <f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>0</v>
      </c>
      <c r="E696" s="3">
        <f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>0</v>
      </c>
      <c r="F696" s="3">
        <f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>0</v>
      </c>
      <c r="J696">
        <v>0</v>
      </c>
      <c r="K696">
        <v>0</v>
      </c>
      <c r="L696">
        <v>0</v>
      </c>
      <c r="M696">
        <f>IF(N696,TRUE,AND(Q696:U696))</f>
        <v>0</v>
      </c>
      <c r="N696">
        <f>COUNTBLANK(Metadata!B696:F696)=COLUMNS(Metadata!B696:F696)</f>
        <v>0</v>
      </c>
      <c r="O696">
        <v>0</v>
      </c>
      <c r="Q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>
        <f>AND(IF(Metadata!C696="",FALSE,TRUE),exact(Metadata!C696,"human-skin"))</f>
        <v>0</v>
      </c>
      <c r="S696">
        <f>OR(AND(IF(Metadata!D696="",FALSE,TRUE),OR(exact(Metadata!D696,"missing: not collected"),exact(Metadata!D696,"missing: not provided"))),AND(IF(Metadata!D696="",FALSE,TRUE),OR(exact(Metadata!D696,"UBERON:zone of skin"),exact(Metadata!D696,"UBERON:skin of hand"),exact(Metadata!D696,"UBERON:skin of forehead"))))</f>
        <v>0</v>
      </c>
      <c r="T696">
        <f>AND(IF(Metadata!E696="",FALSE,TRUE),exact(Metadata!E696,"human skin metagenome"))</f>
        <v>0</v>
      </c>
      <c r="U696">
        <f>AND(IF(Metadata!F696="",FALSE,TRUE),exact(Metadata!F696,"539655"))</f>
        <v>0</v>
      </c>
    </row>
    <row r="697" spans="1:21">
      <c r="A697" s="4">
        <f>IF(B697=" "," ",HYPERLINK(CONCATENATE("#metadata!",ADDRESS(INDEX($L$2:$L$1001,MATCH(ROWS($J$2:J697),$J$2:$J$1001,0),0),1)),INDEX($O$2:$O$1001,MATCH(ROWS($J$2:J697),$J$2:$J$1001,0),0)))</f>
        <v>0</v>
      </c>
      <c r="B697" s="3">
        <f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>0</v>
      </c>
      <c r="C697" s="3">
        <f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>0</v>
      </c>
      <c r="D697" s="3">
        <f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>0</v>
      </c>
      <c r="E697" s="3">
        <f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>0</v>
      </c>
      <c r="F697" s="3">
        <f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>0</v>
      </c>
      <c r="J697">
        <v>0</v>
      </c>
      <c r="K697">
        <v>0</v>
      </c>
      <c r="L697">
        <v>0</v>
      </c>
      <c r="M697">
        <f>IF(N697,TRUE,AND(Q697:U697))</f>
        <v>0</v>
      </c>
      <c r="N697">
        <f>COUNTBLANK(Metadata!B697:F697)=COLUMNS(Metadata!B697:F697)</f>
        <v>0</v>
      </c>
      <c r="O697">
        <v>0</v>
      </c>
      <c r="Q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>
        <f>AND(IF(Metadata!C697="",FALSE,TRUE),exact(Metadata!C697,"human-skin"))</f>
        <v>0</v>
      </c>
      <c r="S697">
        <f>OR(AND(IF(Metadata!D697="",FALSE,TRUE),OR(exact(Metadata!D697,"missing: not collected"),exact(Metadata!D697,"missing: not provided"))),AND(IF(Metadata!D697="",FALSE,TRUE),OR(exact(Metadata!D697,"UBERON:zone of skin"),exact(Metadata!D697,"UBERON:skin of hand"),exact(Metadata!D697,"UBERON:skin of forehead"))))</f>
        <v>0</v>
      </c>
      <c r="T697">
        <f>AND(IF(Metadata!E697="",FALSE,TRUE),exact(Metadata!E697,"human skin metagenome"))</f>
        <v>0</v>
      </c>
      <c r="U697">
        <f>AND(IF(Metadata!F697="",FALSE,TRUE),exact(Metadata!F697,"539655"))</f>
        <v>0</v>
      </c>
    </row>
    <row r="698" spans="1:21">
      <c r="A698" s="4">
        <f>IF(B698=" "," ",HYPERLINK(CONCATENATE("#metadata!",ADDRESS(INDEX($L$2:$L$1001,MATCH(ROWS($J$2:J698),$J$2:$J$1001,0),0),1)),INDEX($O$2:$O$1001,MATCH(ROWS($J$2:J698),$J$2:$J$1001,0),0)))</f>
        <v>0</v>
      </c>
      <c r="B698" s="3">
        <f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>0</v>
      </c>
      <c r="C698" s="3">
        <f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>0</v>
      </c>
      <c r="D698" s="3">
        <f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>0</v>
      </c>
      <c r="E698" s="3">
        <f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>0</v>
      </c>
      <c r="F698" s="3">
        <f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>0</v>
      </c>
      <c r="J698">
        <v>0</v>
      </c>
      <c r="K698">
        <v>0</v>
      </c>
      <c r="L698">
        <v>0</v>
      </c>
      <c r="M698">
        <f>IF(N698,TRUE,AND(Q698:U698))</f>
        <v>0</v>
      </c>
      <c r="N698">
        <f>COUNTBLANK(Metadata!B698:F698)=COLUMNS(Metadata!B698:F698)</f>
        <v>0</v>
      </c>
      <c r="O698">
        <v>0</v>
      </c>
      <c r="Q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>
        <f>AND(IF(Metadata!C698="",FALSE,TRUE),exact(Metadata!C698,"human-skin"))</f>
        <v>0</v>
      </c>
      <c r="S698">
        <f>OR(AND(IF(Metadata!D698="",FALSE,TRUE),OR(exact(Metadata!D698,"missing: not collected"),exact(Metadata!D698,"missing: not provided"))),AND(IF(Metadata!D698="",FALSE,TRUE),OR(exact(Metadata!D698,"UBERON:zone of skin"),exact(Metadata!D698,"UBERON:skin of hand"),exact(Metadata!D698,"UBERON:skin of forehead"))))</f>
        <v>0</v>
      </c>
      <c r="T698">
        <f>AND(IF(Metadata!E698="",FALSE,TRUE),exact(Metadata!E698,"human skin metagenome"))</f>
        <v>0</v>
      </c>
      <c r="U698">
        <f>AND(IF(Metadata!F698="",FALSE,TRUE),exact(Metadata!F698,"539655"))</f>
        <v>0</v>
      </c>
    </row>
    <row r="699" spans="1:21">
      <c r="A699" s="4">
        <f>IF(B699=" "," ",HYPERLINK(CONCATENATE("#metadata!",ADDRESS(INDEX($L$2:$L$1001,MATCH(ROWS($J$2:J699),$J$2:$J$1001,0),0),1)),INDEX($O$2:$O$1001,MATCH(ROWS($J$2:J699),$J$2:$J$1001,0),0)))</f>
        <v>0</v>
      </c>
      <c r="B699" s="3">
        <f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>0</v>
      </c>
      <c r="C699" s="3">
        <f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>0</v>
      </c>
      <c r="D699" s="3">
        <f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>0</v>
      </c>
      <c r="E699" s="3">
        <f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>0</v>
      </c>
      <c r="F699" s="3">
        <f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>0</v>
      </c>
      <c r="J699">
        <v>0</v>
      </c>
      <c r="K699">
        <v>0</v>
      </c>
      <c r="L699">
        <v>0</v>
      </c>
      <c r="M699">
        <f>IF(N699,TRUE,AND(Q699:U699))</f>
        <v>0</v>
      </c>
      <c r="N699">
        <f>COUNTBLANK(Metadata!B699:F699)=COLUMNS(Metadata!B699:F699)</f>
        <v>0</v>
      </c>
      <c r="O699">
        <v>0</v>
      </c>
      <c r="Q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>
        <f>AND(IF(Metadata!C699="",FALSE,TRUE),exact(Metadata!C699,"human-skin"))</f>
        <v>0</v>
      </c>
      <c r="S699">
        <f>OR(AND(IF(Metadata!D699="",FALSE,TRUE),OR(exact(Metadata!D699,"missing: not collected"),exact(Metadata!D699,"missing: not provided"))),AND(IF(Metadata!D699="",FALSE,TRUE),OR(exact(Metadata!D699,"UBERON:zone of skin"),exact(Metadata!D699,"UBERON:skin of hand"),exact(Metadata!D699,"UBERON:skin of forehead"))))</f>
        <v>0</v>
      </c>
      <c r="T699">
        <f>AND(IF(Metadata!E699="",FALSE,TRUE),exact(Metadata!E699,"human skin metagenome"))</f>
        <v>0</v>
      </c>
      <c r="U699">
        <f>AND(IF(Metadata!F699="",FALSE,TRUE),exact(Metadata!F699,"539655"))</f>
        <v>0</v>
      </c>
    </row>
    <row r="700" spans="1:21">
      <c r="A700" s="4">
        <f>IF(B700=" "," ",HYPERLINK(CONCATENATE("#metadata!",ADDRESS(INDEX($L$2:$L$1001,MATCH(ROWS($J$2:J700),$J$2:$J$1001,0),0),1)),INDEX($O$2:$O$1001,MATCH(ROWS($J$2:J700),$J$2:$J$1001,0),0)))</f>
        <v>0</v>
      </c>
      <c r="B700" s="3">
        <f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>0</v>
      </c>
      <c r="C700" s="3">
        <f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>0</v>
      </c>
      <c r="D700" s="3">
        <f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>0</v>
      </c>
      <c r="E700" s="3">
        <f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>0</v>
      </c>
      <c r="F700" s="3">
        <f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>0</v>
      </c>
      <c r="J700">
        <v>0</v>
      </c>
      <c r="K700">
        <v>0</v>
      </c>
      <c r="L700">
        <v>0</v>
      </c>
      <c r="M700">
        <f>IF(N700,TRUE,AND(Q700:U700))</f>
        <v>0</v>
      </c>
      <c r="N700">
        <f>COUNTBLANK(Metadata!B700:F700)=COLUMNS(Metadata!B700:F700)</f>
        <v>0</v>
      </c>
      <c r="O700">
        <v>0</v>
      </c>
      <c r="Q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>
        <f>AND(IF(Metadata!C700="",FALSE,TRUE),exact(Metadata!C700,"human-skin"))</f>
        <v>0</v>
      </c>
      <c r="S700">
        <f>OR(AND(IF(Metadata!D700="",FALSE,TRUE),OR(exact(Metadata!D700,"missing: not collected"),exact(Metadata!D700,"missing: not provided"))),AND(IF(Metadata!D700="",FALSE,TRUE),OR(exact(Metadata!D700,"UBERON:zone of skin"),exact(Metadata!D700,"UBERON:skin of hand"),exact(Metadata!D700,"UBERON:skin of forehead"))))</f>
        <v>0</v>
      </c>
      <c r="T700">
        <f>AND(IF(Metadata!E700="",FALSE,TRUE),exact(Metadata!E700,"human skin metagenome"))</f>
        <v>0</v>
      </c>
      <c r="U700">
        <f>AND(IF(Metadata!F700="",FALSE,TRUE),exact(Metadata!F700,"539655"))</f>
        <v>0</v>
      </c>
    </row>
    <row r="701" spans="1:21">
      <c r="A701" s="4">
        <f>IF(B701=" "," ",HYPERLINK(CONCATENATE("#metadata!",ADDRESS(INDEX($L$2:$L$1001,MATCH(ROWS($J$2:J701),$J$2:$J$1001,0),0),1)),INDEX($O$2:$O$1001,MATCH(ROWS($J$2:J701),$J$2:$J$1001,0),0)))</f>
        <v>0</v>
      </c>
      <c r="B701" s="3">
        <f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>0</v>
      </c>
      <c r="C701" s="3">
        <f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>0</v>
      </c>
      <c r="D701" s="3">
        <f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>0</v>
      </c>
      <c r="E701" s="3">
        <f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>0</v>
      </c>
      <c r="F701" s="3">
        <f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>0</v>
      </c>
      <c r="J701">
        <v>0</v>
      </c>
      <c r="K701">
        <v>0</v>
      </c>
      <c r="L701">
        <v>0</v>
      </c>
      <c r="M701">
        <f>IF(N701,TRUE,AND(Q701:U701))</f>
        <v>0</v>
      </c>
      <c r="N701">
        <f>COUNTBLANK(Metadata!B701:F701)=COLUMNS(Metadata!B701:F701)</f>
        <v>0</v>
      </c>
      <c r="O701">
        <v>0</v>
      </c>
      <c r="Q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>
        <f>AND(IF(Metadata!C701="",FALSE,TRUE),exact(Metadata!C701,"human-skin"))</f>
        <v>0</v>
      </c>
      <c r="S701">
        <f>OR(AND(IF(Metadata!D701="",FALSE,TRUE),OR(exact(Metadata!D701,"missing: not collected"),exact(Metadata!D701,"missing: not provided"))),AND(IF(Metadata!D701="",FALSE,TRUE),OR(exact(Metadata!D701,"UBERON:zone of skin"),exact(Metadata!D701,"UBERON:skin of hand"),exact(Metadata!D701,"UBERON:skin of forehead"))))</f>
        <v>0</v>
      </c>
      <c r="T701">
        <f>AND(IF(Metadata!E701="",FALSE,TRUE),exact(Metadata!E701,"human skin metagenome"))</f>
        <v>0</v>
      </c>
      <c r="U701">
        <f>AND(IF(Metadata!F701="",FALSE,TRUE),exact(Metadata!F701,"539655"))</f>
        <v>0</v>
      </c>
    </row>
    <row r="702" spans="1:21">
      <c r="A702" s="4">
        <f>IF(B702=" "," ",HYPERLINK(CONCATENATE("#metadata!",ADDRESS(INDEX($L$2:$L$1001,MATCH(ROWS($J$2:J702),$J$2:$J$1001,0),0),1)),INDEX($O$2:$O$1001,MATCH(ROWS($J$2:J702),$J$2:$J$1001,0),0)))</f>
        <v>0</v>
      </c>
      <c r="B702" s="3">
        <f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>0</v>
      </c>
      <c r="C702" s="3">
        <f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>0</v>
      </c>
      <c r="D702" s="3">
        <f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>0</v>
      </c>
      <c r="E702" s="3">
        <f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>0</v>
      </c>
      <c r="F702" s="3">
        <f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>0</v>
      </c>
      <c r="J702">
        <v>0</v>
      </c>
      <c r="K702">
        <v>0</v>
      </c>
      <c r="L702">
        <v>0</v>
      </c>
      <c r="M702">
        <f>IF(N702,TRUE,AND(Q702:U702))</f>
        <v>0</v>
      </c>
      <c r="N702">
        <f>COUNTBLANK(Metadata!B702:F702)=COLUMNS(Metadata!B702:F702)</f>
        <v>0</v>
      </c>
      <c r="O702">
        <v>0</v>
      </c>
      <c r="Q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>
        <f>AND(IF(Metadata!C702="",FALSE,TRUE),exact(Metadata!C702,"human-skin"))</f>
        <v>0</v>
      </c>
      <c r="S702">
        <f>OR(AND(IF(Metadata!D702="",FALSE,TRUE),OR(exact(Metadata!D702,"missing: not collected"),exact(Metadata!D702,"missing: not provided"))),AND(IF(Metadata!D702="",FALSE,TRUE),OR(exact(Metadata!D702,"UBERON:zone of skin"),exact(Metadata!D702,"UBERON:skin of hand"),exact(Metadata!D702,"UBERON:skin of forehead"))))</f>
        <v>0</v>
      </c>
      <c r="T702">
        <f>AND(IF(Metadata!E702="",FALSE,TRUE),exact(Metadata!E702,"human skin metagenome"))</f>
        <v>0</v>
      </c>
      <c r="U702">
        <f>AND(IF(Metadata!F702="",FALSE,TRUE),exact(Metadata!F702,"539655"))</f>
        <v>0</v>
      </c>
    </row>
    <row r="703" spans="1:21">
      <c r="A703" s="4">
        <f>IF(B703=" "," ",HYPERLINK(CONCATENATE("#metadata!",ADDRESS(INDEX($L$2:$L$1001,MATCH(ROWS($J$2:J703),$J$2:$J$1001,0),0),1)),INDEX($O$2:$O$1001,MATCH(ROWS($J$2:J703),$J$2:$J$1001,0),0)))</f>
        <v>0</v>
      </c>
      <c r="B703" s="3">
        <f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>0</v>
      </c>
      <c r="C703" s="3">
        <f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>0</v>
      </c>
      <c r="D703" s="3">
        <f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>0</v>
      </c>
      <c r="E703" s="3">
        <f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>0</v>
      </c>
      <c r="F703" s="3">
        <f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>0</v>
      </c>
      <c r="J703">
        <v>0</v>
      </c>
      <c r="K703">
        <v>0</v>
      </c>
      <c r="L703">
        <v>0</v>
      </c>
      <c r="M703">
        <f>IF(N703,TRUE,AND(Q703:U703))</f>
        <v>0</v>
      </c>
      <c r="N703">
        <f>COUNTBLANK(Metadata!B703:F703)=COLUMNS(Metadata!B703:F703)</f>
        <v>0</v>
      </c>
      <c r="O703">
        <v>0</v>
      </c>
      <c r="Q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>
        <f>AND(IF(Metadata!C703="",FALSE,TRUE),exact(Metadata!C703,"human-skin"))</f>
        <v>0</v>
      </c>
      <c r="S703">
        <f>OR(AND(IF(Metadata!D703="",FALSE,TRUE),OR(exact(Metadata!D703,"missing: not collected"),exact(Metadata!D703,"missing: not provided"))),AND(IF(Metadata!D703="",FALSE,TRUE),OR(exact(Metadata!D703,"UBERON:zone of skin"),exact(Metadata!D703,"UBERON:skin of hand"),exact(Metadata!D703,"UBERON:skin of forehead"))))</f>
        <v>0</v>
      </c>
      <c r="T703">
        <f>AND(IF(Metadata!E703="",FALSE,TRUE),exact(Metadata!E703,"human skin metagenome"))</f>
        <v>0</v>
      </c>
      <c r="U703">
        <f>AND(IF(Metadata!F703="",FALSE,TRUE),exact(Metadata!F703,"539655"))</f>
        <v>0</v>
      </c>
    </row>
    <row r="704" spans="1:21">
      <c r="A704" s="4">
        <f>IF(B704=" "," ",HYPERLINK(CONCATENATE("#metadata!",ADDRESS(INDEX($L$2:$L$1001,MATCH(ROWS($J$2:J704),$J$2:$J$1001,0),0),1)),INDEX($O$2:$O$1001,MATCH(ROWS($J$2:J704),$J$2:$J$1001,0),0)))</f>
        <v>0</v>
      </c>
      <c r="B704" s="3">
        <f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>0</v>
      </c>
      <c r="C704" s="3">
        <f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>0</v>
      </c>
      <c r="D704" s="3">
        <f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>0</v>
      </c>
      <c r="E704" s="3">
        <f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>0</v>
      </c>
      <c r="F704" s="3">
        <f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>0</v>
      </c>
      <c r="J704">
        <v>0</v>
      </c>
      <c r="K704">
        <v>0</v>
      </c>
      <c r="L704">
        <v>0</v>
      </c>
      <c r="M704">
        <f>IF(N704,TRUE,AND(Q704:U704))</f>
        <v>0</v>
      </c>
      <c r="N704">
        <f>COUNTBLANK(Metadata!B704:F704)=COLUMNS(Metadata!B704:F704)</f>
        <v>0</v>
      </c>
      <c r="O704">
        <v>0</v>
      </c>
      <c r="Q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>
        <f>AND(IF(Metadata!C704="",FALSE,TRUE),exact(Metadata!C704,"human-skin"))</f>
        <v>0</v>
      </c>
      <c r="S704">
        <f>OR(AND(IF(Metadata!D704="",FALSE,TRUE),OR(exact(Metadata!D704,"missing: not collected"),exact(Metadata!D704,"missing: not provided"))),AND(IF(Metadata!D704="",FALSE,TRUE),OR(exact(Metadata!D704,"UBERON:zone of skin"),exact(Metadata!D704,"UBERON:skin of hand"),exact(Metadata!D704,"UBERON:skin of forehead"))))</f>
        <v>0</v>
      </c>
      <c r="T704">
        <f>AND(IF(Metadata!E704="",FALSE,TRUE),exact(Metadata!E704,"human skin metagenome"))</f>
        <v>0</v>
      </c>
      <c r="U704">
        <f>AND(IF(Metadata!F704="",FALSE,TRUE),exact(Metadata!F704,"539655"))</f>
        <v>0</v>
      </c>
    </row>
    <row r="705" spans="1:21">
      <c r="A705" s="4">
        <f>IF(B705=" "," ",HYPERLINK(CONCATENATE("#metadata!",ADDRESS(INDEX($L$2:$L$1001,MATCH(ROWS($J$2:J705),$J$2:$J$1001,0),0),1)),INDEX($O$2:$O$1001,MATCH(ROWS($J$2:J705),$J$2:$J$1001,0),0)))</f>
        <v>0</v>
      </c>
      <c r="B705" s="3">
        <f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>0</v>
      </c>
      <c r="C705" s="3">
        <f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>0</v>
      </c>
      <c r="D705" s="3">
        <f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>0</v>
      </c>
      <c r="E705" s="3">
        <f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>0</v>
      </c>
      <c r="F705" s="3">
        <f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>0</v>
      </c>
      <c r="J705">
        <v>0</v>
      </c>
      <c r="K705">
        <v>0</v>
      </c>
      <c r="L705">
        <v>0</v>
      </c>
      <c r="M705">
        <f>IF(N705,TRUE,AND(Q705:U705))</f>
        <v>0</v>
      </c>
      <c r="N705">
        <f>COUNTBLANK(Metadata!B705:F705)=COLUMNS(Metadata!B705:F705)</f>
        <v>0</v>
      </c>
      <c r="O705">
        <v>0</v>
      </c>
      <c r="Q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>
        <f>AND(IF(Metadata!C705="",FALSE,TRUE),exact(Metadata!C705,"human-skin"))</f>
        <v>0</v>
      </c>
      <c r="S705">
        <f>OR(AND(IF(Metadata!D705="",FALSE,TRUE),OR(exact(Metadata!D705,"missing: not collected"),exact(Metadata!D705,"missing: not provided"))),AND(IF(Metadata!D705="",FALSE,TRUE),OR(exact(Metadata!D705,"UBERON:zone of skin"),exact(Metadata!D705,"UBERON:skin of hand"),exact(Metadata!D705,"UBERON:skin of forehead"))))</f>
        <v>0</v>
      </c>
      <c r="T705">
        <f>AND(IF(Metadata!E705="",FALSE,TRUE),exact(Metadata!E705,"human skin metagenome"))</f>
        <v>0</v>
      </c>
      <c r="U705">
        <f>AND(IF(Metadata!F705="",FALSE,TRUE),exact(Metadata!F705,"539655"))</f>
        <v>0</v>
      </c>
    </row>
    <row r="706" spans="1:21">
      <c r="A706" s="4">
        <f>IF(B706=" "," ",HYPERLINK(CONCATENATE("#metadata!",ADDRESS(INDEX($L$2:$L$1001,MATCH(ROWS($J$2:J706),$J$2:$J$1001,0),0),1)),INDEX($O$2:$O$1001,MATCH(ROWS($J$2:J706),$J$2:$J$1001,0),0)))</f>
        <v>0</v>
      </c>
      <c r="B706" s="3">
        <f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>0</v>
      </c>
      <c r="C706" s="3">
        <f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>0</v>
      </c>
      <c r="D706" s="3">
        <f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>0</v>
      </c>
      <c r="E706" s="3">
        <f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>0</v>
      </c>
      <c r="F706" s="3">
        <f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>0</v>
      </c>
      <c r="J706">
        <v>0</v>
      </c>
      <c r="K706">
        <v>0</v>
      </c>
      <c r="L706">
        <v>0</v>
      </c>
      <c r="M706">
        <f>IF(N706,TRUE,AND(Q706:U706))</f>
        <v>0</v>
      </c>
      <c r="N706">
        <f>COUNTBLANK(Metadata!B706:F706)=COLUMNS(Metadata!B706:F706)</f>
        <v>0</v>
      </c>
      <c r="O706">
        <v>0</v>
      </c>
      <c r="Q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>
        <f>AND(IF(Metadata!C706="",FALSE,TRUE),exact(Metadata!C706,"human-skin"))</f>
        <v>0</v>
      </c>
      <c r="S706">
        <f>OR(AND(IF(Metadata!D706="",FALSE,TRUE),OR(exact(Metadata!D706,"missing: not collected"),exact(Metadata!D706,"missing: not provided"))),AND(IF(Metadata!D706="",FALSE,TRUE),OR(exact(Metadata!D706,"UBERON:zone of skin"),exact(Metadata!D706,"UBERON:skin of hand"),exact(Metadata!D706,"UBERON:skin of forehead"))))</f>
        <v>0</v>
      </c>
      <c r="T706">
        <f>AND(IF(Metadata!E706="",FALSE,TRUE),exact(Metadata!E706,"human skin metagenome"))</f>
        <v>0</v>
      </c>
      <c r="U706">
        <f>AND(IF(Metadata!F706="",FALSE,TRUE),exact(Metadata!F706,"539655"))</f>
        <v>0</v>
      </c>
    </row>
    <row r="707" spans="1:21">
      <c r="A707" s="4">
        <f>IF(B707=" "," ",HYPERLINK(CONCATENATE("#metadata!",ADDRESS(INDEX($L$2:$L$1001,MATCH(ROWS($J$2:J707),$J$2:$J$1001,0),0),1)),INDEX($O$2:$O$1001,MATCH(ROWS($J$2:J707),$J$2:$J$1001,0),0)))</f>
        <v>0</v>
      </c>
      <c r="B707" s="3">
        <f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>0</v>
      </c>
      <c r="C707" s="3">
        <f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>0</v>
      </c>
      <c r="D707" s="3">
        <f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>0</v>
      </c>
      <c r="E707" s="3">
        <f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>0</v>
      </c>
      <c r="F707" s="3">
        <f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>0</v>
      </c>
      <c r="J707">
        <v>0</v>
      </c>
      <c r="K707">
        <v>0</v>
      </c>
      <c r="L707">
        <v>0</v>
      </c>
      <c r="M707">
        <f>IF(N707,TRUE,AND(Q707:U707))</f>
        <v>0</v>
      </c>
      <c r="N707">
        <f>COUNTBLANK(Metadata!B707:F707)=COLUMNS(Metadata!B707:F707)</f>
        <v>0</v>
      </c>
      <c r="O707">
        <v>0</v>
      </c>
      <c r="Q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>
        <f>AND(IF(Metadata!C707="",FALSE,TRUE),exact(Metadata!C707,"human-skin"))</f>
        <v>0</v>
      </c>
      <c r="S707">
        <f>OR(AND(IF(Metadata!D707="",FALSE,TRUE),OR(exact(Metadata!D707,"missing: not collected"),exact(Metadata!D707,"missing: not provided"))),AND(IF(Metadata!D707="",FALSE,TRUE),OR(exact(Metadata!D707,"UBERON:zone of skin"),exact(Metadata!D707,"UBERON:skin of hand"),exact(Metadata!D707,"UBERON:skin of forehead"))))</f>
        <v>0</v>
      </c>
      <c r="T707">
        <f>AND(IF(Metadata!E707="",FALSE,TRUE),exact(Metadata!E707,"human skin metagenome"))</f>
        <v>0</v>
      </c>
      <c r="U707">
        <f>AND(IF(Metadata!F707="",FALSE,TRUE),exact(Metadata!F707,"539655"))</f>
        <v>0</v>
      </c>
    </row>
    <row r="708" spans="1:21">
      <c r="A708" s="4">
        <f>IF(B708=" "," ",HYPERLINK(CONCATENATE("#metadata!",ADDRESS(INDEX($L$2:$L$1001,MATCH(ROWS($J$2:J708),$J$2:$J$1001,0),0),1)),INDEX($O$2:$O$1001,MATCH(ROWS($J$2:J708),$J$2:$J$1001,0),0)))</f>
        <v>0</v>
      </c>
      <c r="B708" s="3">
        <f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>0</v>
      </c>
      <c r="C708" s="3">
        <f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>0</v>
      </c>
      <c r="D708" s="3">
        <f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>0</v>
      </c>
      <c r="E708" s="3">
        <f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>0</v>
      </c>
      <c r="F708" s="3">
        <f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>0</v>
      </c>
      <c r="J708">
        <v>0</v>
      </c>
      <c r="K708">
        <v>0</v>
      </c>
      <c r="L708">
        <v>0</v>
      </c>
      <c r="M708">
        <f>IF(N708,TRUE,AND(Q708:U708))</f>
        <v>0</v>
      </c>
      <c r="N708">
        <f>COUNTBLANK(Metadata!B708:F708)=COLUMNS(Metadata!B708:F708)</f>
        <v>0</v>
      </c>
      <c r="O708">
        <v>0</v>
      </c>
      <c r="Q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>
        <f>AND(IF(Metadata!C708="",FALSE,TRUE),exact(Metadata!C708,"human-skin"))</f>
        <v>0</v>
      </c>
      <c r="S708">
        <f>OR(AND(IF(Metadata!D708="",FALSE,TRUE),OR(exact(Metadata!D708,"missing: not collected"),exact(Metadata!D708,"missing: not provided"))),AND(IF(Metadata!D708="",FALSE,TRUE),OR(exact(Metadata!D708,"UBERON:zone of skin"),exact(Metadata!D708,"UBERON:skin of hand"),exact(Metadata!D708,"UBERON:skin of forehead"))))</f>
        <v>0</v>
      </c>
      <c r="T708">
        <f>AND(IF(Metadata!E708="",FALSE,TRUE),exact(Metadata!E708,"human skin metagenome"))</f>
        <v>0</v>
      </c>
      <c r="U708">
        <f>AND(IF(Metadata!F708="",FALSE,TRUE),exact(Metadata!F708,"539655"))</f>
        <v>0</v>
      </c>
    </row>
    <row r="709" spans="1:21">
      <c r="A709" s="4">
        <f>IF(B709=" "," ",HYPERLINK(CONCATENATE("#metadata!",ADDRESS(INDEX($L$2:$L$1001,MATCH(ROWS($J$2:J709),$J$2:$J$1001,0),0),1)),INDEX($O$2:$O$1001,MATCH(ROWS($J$2:J709),$J$2:$J$1001,0),0)))</f>
        <v>0</v>
      </c>
      <c r="B709" s="3">
        <f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>0</v>
      </c>
      <c r="C709" s="3">
        <f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>0</v>
      </c>
      <c r="D709" s="3">
        <f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>0</v>
      </c>
      <c r="E709" s="3">
        <f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>0</v>
      </c>
      <c r="F709" s="3">
        <f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>0</v>
      </c>
      <c r="J709">
        <v>0</v>
      </c>
      <c r="K709">
        <v>0</v>
      </c>
      <c r="L709">
        <v>0</v>
      </c>
      <c r="M709">
        <f>IF(N709,TRUE,AND(Q709:U709))</f>
        <v>0</v>
      </c>
      <c r="N709">
        <f>COUNTBLANK(Metadata!B709:F709)=COLUMNS(Metadata!B709:F709)</f>
        <v>0</v>
      </c>
      <c r="O709">
        <v>0</v>
      </c>
      <c r="Q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>
        <f>AND(IF(Metadata!C709="",FALSE,TRUE),exact(Metadata!C709,"human-skin"))</f>
        <v>0</v>
      </c>
      <c r="S709">
        <f>OR(AND(IF(Metadata!D709="",FALSE,TRUE),OR(exact(Metadata!D709,"missing: not collected"),exact(Metadata!D709,"missing: not provided"))),AND(IF(Metadata!D709="",FALSE,TRUE),OR(exact(Metadata!D709,"UBERON:zone of skin"),exact(Metadata!D709,"UBERON:skin of hand"),exact(Metadata!D709,"UBERON:skin of forehead"))))</f>
        <v>0</v>
      </c>
      <c r="T709">
        <f>AND(IF(Metadata!E709="",FALSE,TRUE),exact(Metadata!E709,"human skin metagenome"))</f>
        <v>0</v>
      </c>
      <c r="U709">
        <f>AND(IF(Metadata!F709="",FALSE,TRUE),exact(Metadata!F709,"539655"))</f>
        <v>0</v>
      </c>
    </row>
    <row r="710" spans="1:21">
      <c r="A710" s="4">
        <f>IF(B710=" "," ",HYPERLINK(CONCATENATE("#metadata!",ADDRESS(INDEX($L$2:$L$1001,MATCH(ROWS($J$2:J710),$J$2:$J$1001,0),0),1)),INDEX($O$2:$O$1001,MATCH(ROWS($J$2:J710),$J$2:$J$1001,0),0)))</f>
        <v>0</v>
      </c>
      <c r="B710" s="3">
        <f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>0</v>
      </c>
      <c r="C710" s="3">
        <f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>0</v>
      </c>
      <c r="D710" s="3">
        <f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>0</v>
      </c>
      <c r="E710" s="3">
        <f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>0</v>
      </c>
      <c r="F710" s="3">
        <f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>0</v>
      </c>
      <c r="J710">
        <v>0</v>
      </c>
      <c r="K710">
        <v>0</v>
      </c>
      <c r="L710">
        <v>0</v>
      </c>
      <c r="M710">
        <f>IF(N710,TRUE,AND(Q710:U710))</f>
        <v>0</v>
      </c>
      <c r="N710">
        <f>COUNTBLANK(Metadata!B710:F710)=COLUMNS(Metadata!B710:F710)</f>
        <v>0</v>
      </c>
      <c r="O710">
        <v>0</v>
      </c>
      <c r="Q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>
        <f>AND(IF(Metadata!C710="",FALSE,TRUE),exact(Metadata!C710,"human-skin"))</f>
        <v>0</v>
      </c>
      <c r="S710">
        <f>OR(AND(IF(Metadata!D710="",FALSE,TRUE),OR(exact(Metadata!D710,"missing: not collected"),exact(Metadata!D710,"missing: not provided"))),AND(IF(Metadata!D710="",FALSE,TRUE),OR(exact(Metadata!D710,"UBERON:zone of skin"),exact(Metadata!D710,"UBERON:skin of hand"),exact(Metadata!D710,"UBERON:skin of forehead"))))</f>
        <v>0</v>
      </c>
      <c r="T710">
        <f>AND(IF(Metadata!E710="",FALSE,TRUE),exact(Metadata!E710,"human skin metagenome"))</f>
        <v>0</v>
      </c>
      <c r="U710">
        <f>AND(IF(Metadata!F710="",FALSE,TRUE),exact(Metadata!F710,"539655"))</f>
        <v>0</v>
      </c>
    </row>
    <row r="711" spans="1:21">
      <c r="A711" s="4">
        <f>IF(B711=" "," ",HYPERLINK(CONCATENATE("#metadata!",ADDRESS(INDEX($L$2:$L$1001,MATCH(ROWS($J$2:J711),$J$2:$J$1001,0),0),1)),INDEX($O$2:$O$1001,MATCH(ROWS($J$2:J711),$J$2:$J$1001,0),0)))</f>
        <v>0</v>
      </c>
      <c r="B711" s="3">
        <f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>0</v>
      </c>
      <c r="C711" s="3">
        <f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>0</v>
      </c>
      <c r="D711" s="3">
        <f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>0</v>
      </c>
      <c r="E711" s="3">
        <f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>0</v>
      </c>
      <c r="F711" s="3">
        <f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>0</v>
      </c>
      <c r="J711">
        <v>0</v>
      </c>
      <c r="K711">
        <v>0</v>
      </c>
      <c r="L711">
        <v>0</v>
      </c>
      <c r="M711">
        <f>IF(N711,TRUE,AND(Q711:U711))</f>
        <v>0</v>
      </c>
      <c r="N711">
        <f>COUNTBLANK(Metadata!B711:F711)=COLUMNS(Metadata!B711:F711)</f>
        <v>0</v>
      </c>
      <c r="O711">
        <v>0</v>
      </c>
      <c r="Q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>
        <f>AND(IF(Metadata!C711="",FALSE,TRUE),exact(Metadata!C711,"human-skin"))</f>
        <v>0</v>
      </c>
      <c r="S711">
        <f>OR(AND(IF(Metadata!D711="",FALSE,TRUE),OR(exact(Metadata!D711,"missing: not collected"),exact(Metadata!D711,"missing: not provided"))),AND(IF(Metadata!D711="",FALSE,TRUE),OR(exact(Metadata!D711,"UBERON:zone of skin"),exact(Metadata!D711,"UBERON:skin of hand"),exact(Metadata!D711,"UBERON:skin of forehead"))))</f>
        <v>0</v>
      </c>
      <c r="T711">
        <f>AND(IF(Metadata!E711="",FALSE,TRUE),exact(Metadata!E711,"human skin metagenome"))</f>
        <v>0</v>
      </c>
      <c r="U711">
        <f>AND(IF(Metadata!F711="",FALSE,TRUE),exact(Metadata!F711,"539655"))</f>
        <v>0</v>
      </c>
    </row>
    <row r="712" spans="1:21">
      <c r="A712" s="4">
        <f>IF(B712=" "," ",HYPERLINK(CONCATENATE("#metadata!",ADDRESS(INDEX($L$2:$L$1001,MATCH(ROWS($J$2:J712),$J$2:$J$1001,0),0),1)),INDEX($O$2:$O$1001,MATCH(ROWS($J$2:J712),$J$2:$J$1001,0),0)))</f>
        <v>0</v>
      </c>
      <c r="B712" s="3">
        <f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>0</v>
      </c>
      <c r="C712" s="3">
        <f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>0</v>
      </c>
      <c r="D712" s="3">
        <f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>0</v>
      </c>
      <c r="E712" s="3">
        <f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>0</v>
      </c>
      <c r="F712" s="3">
        <f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>0</v>
      </c>
      <c r="J712">
        <v>0</v>
      </c>
      <c r="K712">
        <v>0</v>
      </c>
      <c r="L712">
        <v>0</v>
      </c>
      <c r="M712">
        <f>IF(N712,TRUE,AND(Q712:U712))</f>
        <v>0</v>
      </c>
      <c r="N712">
        <f>COUNTBLANK(Metadata!B712:F712)=COLUMNS(Metadata!B712:F712)</f>
        <v>0</v>
      </c>
      <c r="O712">
        <v>0</v>
      </c>
      <c r="Q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>
        <f>AND(IF(Metadata!C712="",FALSE,TRUE),exact(Metadata!C712,"human-skin"))</f>
        <v>0</v>
      </c>
      <c r="S712">
        <f>OR(AND(IF(Metadata!D712="",FALSE,TRUE),OR(exact(Metadata!D712,"missing: not collected"),exact(Metadata!D712,"missing: not provided"))),AND(IF(Metadata!D712="",FALSE,TRUE),OR(exact(Metadata!D712,"UBERON:zone of skin"),exact(Metadata!D712,"UBERON:skin of hand"),exact(Metadata!D712,"UBERON:skin of forehead"))))</f>
        <v>0</v>
      </c>
      <c r="T712">
        <f>AND(IF(Metadata!E712="",FALSE,TRUE),exact(Metadata!E712,"human skin metagenome"))</f>
        <v>0</v>
      </c>
      <c r="U712">
        <f>AND(IF(Metadata!F712="",FALSE,TRUE),exact(Metadata!F712,"539655"))</f>
        <v>0</v>
      </c>
    </row>
    <row r="713" spans="1:21">
      <c r="A713" s="4">
        <f>IF(B713=" "," ",HYPERLINK(CONCATENATE("#metadata!",ADDRESS(INDEX($L$2:$L$1001,MATCH(ROWS($J$2:J713),$J$2:$J$1001,0),0),1)),INDEX($O$2:$O$1001,MATCH(ROWS($J$2:J713),$J$2:$J$1001,0),0)))</f>
        <v>0</v>
      </c>
      <c r="B713" s="3">
        <f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>0</v>
      </c>
      <c r="C713" s="3">
        <f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>0</v>
      </c>
      <c r="D713" s="3">
        <f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>0</v>
      </c>
      <c r="E713" s="3">
        <f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>0</v>
      </c>
      <c r="F713" s="3">
        <f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>0</v>
      </c>
      <c r="J713">
        <v>0</v>
      </c>
      <c r="K713">
        <v>0</v>
      </c>
      <c r="L713">
        <v>0</v>
      </c>
      <c r="M713">
        <f>IF(N713,TRUE,AND(Q713:U713))</f>
        <v>0</v>
      </c>
      <c r="N713">
        <f>COUNTBLANK(Metadata!B713:F713)=COLUMNS(Metadata!B713:F713)</f>
        <v>0</v>
      </c>
      <c r="O713">
        <v>0</v>
      </c>
      <c r="Q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>
        <f>AND(IF(Metadata!C713="",FALSE,TRUE),exact(Metadata!C713,"human-skin"))</f>
        <v>0</v>
      </c>
      <c r="S713">
        <f>OR(AND(IF(Metadata!D713="",FALSE,TRUE),OR(exact(Metadata!D713,"missing: not collected"),exact(Metadata!D713,"missing: not provided"))),AND(IF(Metadata!D713="",FALSE,TRUE),OR(exact(Metadata!D713,"UBERON:zone of skin"),exact(Metadata!D713,"UBERON:skin of hand"),exact(Metadata!D713,"UBERON:skin of forehead"))))</f>
        <v>0</v>
      </c>
      <c r="T713">
        <f>AND(IF(Metadata!E713="",FALSE,TRUE),exact(Metadata!E713,"human skin metagenome"))</f>
        <v>0</v>
      </c>
      <c r="U713">
        <f>AND(IF(Metadata!F713="",FALSE,TRUE),exact(Metadata!F713,"539655"))</f>
        <v>0</v>
      </c>
    </row>
    <row r="714" spans="1:21">
      <c r="A714" s="4">
        <f>IF(B714=" "," ",HYPERLINK(CONCATENATE("#metadata!",ADDRESS(INDEX($L$2:$L$1001,MATCH(ROWS($J$2:J714),$J$2:$J$1001,0),0),1)),INDEX($O$2:$O$1001,MATCH(ROWS($J$2:J714),$J$2:$J$1001,0),0)))</f>
        <v>0</v>
      </c>
      <c r="B714" s="3">
        <f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>0</v>
      </c>
      <c r="C714" s="3">
        <f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>0</v>
      </c>
      <c r="D714" s="3">
        <f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>0</v>
      </c>
      <c r="E714" s="3">
        <f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>0</v>
      </c>
      <c r="F714" s="3">
        <f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>0</v>
      </c>
      <c r="J714">
        <v>0</v>
      </c>
      <c r="K714">
        <v>0</v>
      </c>
      <c r="L714">
        <v>0</v>
      </c>
      <c r="M714">
        <f>IF(N714,TRUE,AND(Q714:U714))</f>
        <v>0</v>
      </c>
      <c r="N714">
        <f>COUNTBLANK(Metadata!B714:F714)=COLUMNS(Metadata!B714:F714)</f>
        <v>0</v>
      </c>
      <c r="O714">
        <v>0</v>
      </c>
      <c r="Q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>
        <f>AND(IF(Metadata!C714="",FALSE,TRUE),exact(Metadata!C714,"human-skin"))</f>
        <v>0</v>
      </c>
      <c r="S714">
        <f>OR(AND(IF(Metadata!D714="",FALSE,TRUE),OR(exact(Metadata!D714,"missing: not collected"),exact(Metadata!D714,"missing: not provided"))),AND(IF(Metadata!D714="",FALSE,TRUE),OR(exact(Metadata!D714,"UBERON:zone of skin"),exact(Metadata!D714,"UBERON:skin of hand"),exact(Metadata!D714,"UBERON:skin of forehead"))))</f>
        <v>0</v>
      </c>
      <c r="T714">
        <f>AND(IF(Metadata!E714="",FALSE,TRUE),exact(Metadata!E714,"human skin metagenome"))</f>
        <v>0</v>
      </c>
      <c r="U714">
        <f>AND(IF(Metadata!F714="",FALSE,TRUE),exact(Metadata!F714,"539655"))</f>
        <v>0</v>
      </c>
    </row>
    <row r="715" spans="1:21">
      <c r="A715" s="4">
        <f>IF(B715=" "," ",HYPERLINK(CONCATENATE("#metadata!",ADDRESS(INDEX($L$2:$L$1001,MATCH(ROWS($J$2:J715),$J$2:$J$1001,0),0),1)),INDEX($O$2:$O$1001,MATCH(ROWS($J$2:J715),$J$2:$J$1001,0),0)))</f>
        <v>0</v>
      </c>
      <c r="B715" s="3">
        <f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>0</v>
      </c>
      <c r="C715" s="3">
        <f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>0</v>
      </c>
      <c r="D715" s="3">
        <f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>0</v>
      </c>
      <c r="E715" s="3">
        <f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>0</v>
      </c>
      <c r="F715" s="3">
        <f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>0</v>
      </c>
      <c r="J715">
        <v>0</v>
      </c>
      <c r="K715">
        <v>0</v>
      </c>
      <c r="L715">
        <v>0</v>
      </c>
      <c r="M715">
        <f>IF(N715,TRUE,AND(Q715:U715))</f>
        <v>0</v>
      </c>
      <c r="N715">
        <f>COUNTBLANK(Metadata!B715:F715)=COLUMNS(Metadata!B715:F715)</f>
        <v>0</v>
      </c>
      <c r="O715">
        <v>0</v>
      </c>
      <c r="Q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>
        <f>AND(IF(Metadata!C715="",FALSE,TRUE),exact(Metadata!C715,"human-skin"))</f>
        <v>0</v>
      </c>
      <c r="S715">
        <f>OR(AND(IF(Metadata!D715="",FALSE,TRUE),OR(exact(Metadata!D715,"missing: not collected"),exact(Metadata!D715,"missing: not provided"))),AND(IF(Metadata!D715="",FALSE,TRUE),OR(exact(Metadata!D715,"UBERON:zone of skin"),exact(Metadata!D715,"UBERON:skin of hand"),exact(Metadata!D715,"UBERON:skin of forehead"))))</f>
        <v>0</v>
      </c>
      <c r="T715">
        <f>AND(IF(Metadata!E715="",FALSE,TRUE),exact(Metadata!E715,"human skin metagenome"))</f>
        <v>0</v>
      </c>
      <c r="U715">
        <f>AND(IF(Metadata!F715="",FALSE,TRUE),exact(Metadata!F715,"539655"))</f>
        <v>0</v>
      </c>
    </row>
    <row r="716" spans="1:21">
      <c r="A716" s="4">
        <f>IF(B716=" "," ",HYPERLINK(CONCATENATE("#metadata!",ADDRESS(INDEX($L$2:$L$1001,MATCH(ROWS($J$2:J716),$J$2:$J$1001,0),0),1)),INDEX($O$2:$O$1001,MATCH(ROWS($J$2:J716),$J$2:$J$1001,0),0)))</f>
        <v>0</v>
      </c>
      <c r="B716" s="3">
        <f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>0</v>
      </c>
      <c r="C716" s="3">
        <f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>0</v>
      </c>
      <c r="D716" s="3">
        <f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>0</v>
      </c>
      <c r="E716" s="3">
        <f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>0</v>
      </c>
      <c r="F716" s="3">
        <f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>0</v>
      </c>
      <c r="J716">
        <v>0</v>
      </c>
      <c r="K716">
        <v>0</v>
      </c>
      <c r="L716">
        <v>0</v>
      </c>
      <c r="M716">
        <f>IF(N716,TRUE,AND(Q716:U716))</f>
        <v>0</v>
      </c>
      <c r="N716">
        <f>COUNTBLANK(Metadata!B716:F716)=COLUMNS(Metadata!B716:F716)</f>
        <v>0</v>
      </c>
      <c r="O716">
        <v>0</v>
      </c>
      <c r="Q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>
        <f>AND(IF(Metadata!C716="",FALSE,TRUE),exact(Metadata!C716,"human-skin"))</f>
        <v>0</v>
      </c>
      <c r="S716">
        <f>OR(AND(IF(Metadata!D716="",FALSE,TRUE),OR(exact(Metadata!D716,"missing: not collected"),exact(Metadata!D716,"missing: not provided"))),AND(IF(Metadata!D716="",FALSE,TRUE),OR(exact(Metadata!D716,"UBERON:zone of skin"),exact(Metadata!D716,"UBERON:skin of hand"),exact(Metadata!D716,"UBERON:skin of forehead"))))</f>
        <v>0</v>
      </c>
      <c r="T716">
        <f>AND(IF(Metadata!E716="",FALSE,TRUE),exact(Metadata!E716,"human skin metagenome"))</f>
        <v>0</v>
      </c>
      <c r="U716">
        <f>AND(IF(Metadata!F716="",FALSE,TRUE),exact(Metadata!F716,"539655"))</f>
        <v>0</v>
      </c>
    </row>
    <row r="717" spans="1:21">
      <c r="A717" s="4">
        <f>IF(B717=" "," ",HYPERLINK(CONCATENATE("#metadata!",ADDRESS(INDEX($L$2:$L$1001,MATCH(ROWS($J$2:J717),$J$2:$J$1001,0),0),1)),INDEX($O$2:$O$1001,MATCH(ROWS($J$2:J717),$J$2:$J$1001,0),0)))</f>
        <v>0</v>
      </c>
      <c r="B717" s="3">
        <f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>0</v>
      </c>
      <c r="C717" s="3">
        <f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>0</v>
      </c>
      <c r="D717" s="3">
        <f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>0</v>
      </c>
      <c r="E717" s="3">
        <f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>0</v>
      </c>
      <c r="F717" s="3">
        <f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>0</v>
      </c>
      <c r="J717">
        <v>0</v>
      </c>
      <c r="K717">
        <v>0</v>
      </c>
      <c r="L717">
        <v>0</v>
      </c>
      <c r="M717">
        <f>IF(N717,TRUE,AND(Q717:U717))</f>
        <v>0</v>
      </c>
      <c r="N717">
        <f>COUNTBLANK(Metadata!B717:F717)=COLUMNS(Metadata!B717:F717)</f>
        <v>0</v>
      </c>
      <c r="O717">
        <v>0</v>
      </c>
      <c r="Q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>
        <f>AND(IF(Metadata!C717="",FALSE,TRUE),exact(Metadata!C717,"human-skin"))</f>
        <v>0</v>
      </c>
      <c r="S717">
        <f>OR(AND(IF(Metadata!D717="",FALSE,TRUE),OR(exact(Metadata!D717,"missing: not collected"),exact(Metadata!D717,"missing: not provided"))),AND(IF(Metadata!D717="",FALSE,TRUE),OR(exact(Metadata!D717,"UBERON:zone of skin"),exact(Metadata!D717,"UBERON:skin of hand"),exact(Metadata!D717,"UBERON:skin of forehead"))))</f>
        <v>0</v>
      </c>
      <c r="T717">
        <f>AND(IF(Metadata!E717="",FALSE,TRUE),exact(Metadata!E717,"human skin metagenome"))</f>
        <v>0</v>
      </c>
      <c r="U717">
        <f>AND(IF(Metadata!F717="",FALSE,TRUE),exact(Metadata!F717,"539655"))</f>
        <v>0</v>
      </c>
    </row>
    <row r="718" spans="1:21">
      <c r="A718" s="4">
        <f>IF(B718=" "," ",HYPERLINK(CONCATENATE("#metadata!",ADDRESS(INDEX($L$2:$L$1001,MATCH(ROWS($J$2:J718),$J$2:$J$1001,0),0),1)),INDEX($O$2:$O$1001,MATCH(ROWS($J$2:J718),$J$2:$J$1001,0),0)))</f>
        <v>0</v>
      </c>
      <c r="B718" s="3">
        <f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>0</v>
      </c>
      <c r="C718" s="3">
        <f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>0</v>
      </c>
      <c r="D718" s="3">
        <f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>0</v>
      </c>
      <c r="E718" s="3">
        <f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>0</v>
      </c>
      <c r="F718" s="3">
        <f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>0</v>
      </c>
      <c r="J718">
        <v>0</v>
      </c>
      <c r="K718">
        <v>0</v>
      </c>
      <c r="L718">
        <v>0</v>
      </c>
      <c r="M718">
        <f>IF(N718,TRUE,AND(Q718:U718))</f>
        <v>0</v>
      </c>
      <c r="N718">
        <f>COUNTBLANK(Metadata!B718:F718)=COLUMNS(Metadata!B718:F718)</f>
        <v>0</v>
      </c>
      <c r="O718">
        <v>0</v>
      </c>
      <c r="Q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>
        <f>AND(IF(Metadata!C718="",FALSE,TRUE),exact(Metadata!C718,"human-skin"))</f>
        <v>0</v>
      </c>
      <c r="S718">
        <f>OR(AND(IF(Metadata!D718="",FALSE,TRUE),OR(exact(Metadata!D718,"missing: not collected"),exact(Metadata!D718,"missing: not provided"))),AND(IF(Metadata!D718="",FALSE,TRUE),OR(exact(Metadata!D718,"UBERON:zone of skin"),exact(Metadata!D718,"UBERON:skin of hand"),exact(Metadata!D718,"UBERON:skin of forehead"))))</f>
        <v>0</v>
      </c>
      <c r="T718">
        <f>AND(IF(Metadata!E718="",FALSE,TRUE),exact(Metadata!E718,"human skin metagenome"))</f>
        <v>0</v>
      </c>
      <c r="U718">
        <f>AND(IF(Metadata!F718="",FALSE,TRUE),exact(Metadata!F718,"539655"))</f>
        <v>0</v>
      </c>
    </row>
    <row r="719" spans="1:21">
      <c r="A719" s="4">
        <f>IF(B719=" "," ",HYPERLINK(CONCATENATE("#metadata!",ADDRESS(INDEX($L$2:$L$1001,MATCH(ROWS($J$2:J719),$J$2:$J$1001,0),0),1)),INDEX($O$2:$O$1001,MATCH(ROWS($J$2:J719),$J$2:$J$1001,0),0)))</f>
        <v>0</v>
      </c>
      <c r="B719" s="3">
        <f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>0</v>
      </c>
      <c r="C719" s="3">
        <f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>0</v>
      </c>
      <c r="D719" s="3">
        <f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>0</v>
      </c>
      <c r="E719" s="3">
        <f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>0</v>
      </c>
      <c r="F719" s="3">
        <f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>0</v>
      </c>
      <c r="J719">
        <v>0</v>
      </c>
      <c r="K719">
        <v>0</v>
      </c>
      <c r="L719">
        <v>0</v>
      </c>
      <c r="M719">
        <f>IF(N719,TRUE,AND(Q719:U719))</f>
        <v>0</v>
      </c>
      <c r="N719">
        <f>COUNTBLANK(Metadata!B719:F719)=COLUMNS(Metadata!B719:F719)</f>
        <v>0</v>
      </c>
      <c r="O719">
        <v>0</v>
      </c>
      <c r="Q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>
        <f>AND(IF(Metadata!C719="",FALSE,TRUE),exact(Metadata!C719,"human-skin"))</f>
        <v>0</v>
      </c>
      <c r="S719">
        <f>OR(AND(IF(Metadata!D719="",FALSE,TRUE),OR(exact(Metadata!D719,"missing: not collected"),exact(Metadata!D719,"missing: not provided"))),AND(IF(Metadata!D719="",FALSE,TRUE),OR(exact(Metadata!D719,"UBERON:zone of skin"),exact(Metadata!D719,"UBERON:skin of hand"),exact(Metadata!D719,"UBERON:skin of forehead"))))</f>
        <v>0</v>
      </c>
      <c r="T719">
        <f>AND(IF(Metadata!E719="",FALSE,TRUE),exact(Metadata!E719,"human skin metagenome"))</f>
        <v>0</v>
      </c>
      <c r="U719">
        <f>AND(IF(Metadata!F719="",FALSE,TRUE),exact(Metadata!F719,"539655"))</f>
        <v>0</v>
      </c>
    </row>
    <row r="720" spans="1:21">
      <c r="A720" s="4">
        <f>IF(B720=" "," ",HYPERLINK(CONCATENATE("#metadata!",ADDRESS(INDEX($L$2:$L$1001,MATCH(ROWS($J$2:J720),$J$2:$J$1001,0),0),1)),INDEX($O$2:$O$1001,MATCH(ROWS($J$2:J720),$J$2:$J$1001,0),0)))</f>
        <v>0</v>
      </c>
      <c r="B720" s="3">
        <f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>0</v>
      </c>
      <c r="C720" s="3">
        <f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>0</v>
      </c>
      <c r="D720" s="3">
        <f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>0</v>
      </c>
      <c r="E720" s="3">
        <f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>0</v>
      </c>
      <c r="F720" s="3">
        <f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>0</v>
      </c>
      <c r="J720">
        <v>0</v>
      </c>
      <c r="K720">
        <v>0</v>
      </c>
      <c r="L720">
        <v>0</v>
      </c>
      <c r="M720">
        <f>IF(N720,TRUE,AND(Q720:U720))</f>
        <v>0</v>
      </c>
      <c r="N720">
        <f>COUNTBLANK(Metadata!B720:F720)=COLUMNS(Metadata!B720:F720)</f>
        <v>0</v>
      </c>
      <c r="O720">
        <v>0</v>
      </c>
      <c r="Q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>
        <f>AND(IF(Metadata!C720="",FALSE,TRUE),exact(Metadata!C720,"human-skin"))</f>
        <v>0</v>
      </c>
      <c r="S720">
        <f>OR(AND(IF(Metadata!D720="",FALSE,TRUE),OR(exact(Metadata!D720,"missing: not collected"),exact(Metadata!D720,"missing: not provided"))),AND(IF(Metadata!D720="",FALSE,TRUE),OR(exact(Metadata!D720,"UBERON:zone of skin"),exact(Metadata!D720,"UBERON:skin of hand"),exact(Metadata!D720,"UBERON:skin of forehead"))))</f>
        <v>0</v>
      </c>
      <c r="T720">
        <f>AND(IF(Metadata!E720="",FALSE,TRUE),exact(Metadata!E720,"human skin metagenome"))</f>
        <v>0</v>
      </c>
      <c r="U720">
        <f>AND(IF(Metadata!F720="",FALSE,TRUE),exact(Metadata!F720,"539655"))</f>
        <v>0</v>
      </c>
    </row>
    <row r="721" spans="1:21">
      <c r="A721" s="4">
        <f>IF(B721=" "," ",HYPERLINK(CONCATENATE("#metadata!",ADDRESS(INDEX($L$2:$L$1001,MATCH(ROWS($J$2:J721),$J$2:$J$1001,0),0),1)),INDEX($O$2:$O$1001,MATCH(ROWS($J$2:J721),$J$2:$J$1001,0),0)))</f>
        <v>0</v>
      </c>
      <c r="B721" s="3">
        <f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>0</v>
      </c>
      <c r="C721" s="3">
        <f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>0</v>
      </c>
      <c r="D721" s="3">
        <f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>0</v>
      </c>
      <c r="E721" s="3">
        <f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>0</v>
      </c>
      <c r="F721" s="3">
        <f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>0</v>
      </c>
      <c r="J721">
        <v>0</v>
      </c>
      <c r="K721">
        <v>0</v>
      </c>
      <c r="L721">
        <v>0</v>
      </c>
      <c r="M721">
        <f>IF(N721,TRUE,AND(Q721:U721))</f>
        <v>0</v>
      </c>
      <c r="N721">
        <f>COUNTBLANK(Metadata!B721:F721)=COLUMNS(Metadata!B721:F721)</f>
        <v>0</v>
      </c>
      <c r="O721">
        <v>0</v>
      </c>
      <c r="Q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>
        <f>AND(IF(Metadata!C721="",FALSE,TRUE),exact(Metadata!C721,"human-skin"))</f>
        <v>0</v>
      </c>
      <c r="S721">
        <f>OR(AND(IF(Metadata!D721="",FALSE,TRUE),OR(exact(Metadata!D721,"missing: not collected"),exact(Metadata!D721,"missing: not provided"))),AND(IF(Metadata!D721="",FALSE,TRUE),OR(exact(Metadata!D721,"UBERON:zone of skin"),exact(Metadata!D721,"UBERON:skin of hand"),exact(Metadata!D721,"UBERON:skin of forehead"))))</f>
        <v>0</v>
      </c>
      <c r="T721">
        <f>AND(IF(Metadata!E721="",FALSE,TRUE),exact(Metadata!E721,"human skin metagenome"))</f>
        <v>0</v>
      </c>
      <c r="U721">
        <f>AND(IF(Metadata!F721="",FALSE,TRUE),exact(Metadata!F721,"539655"))</f>
        <v>0</v>
      </c>
    </row>
    <row r="722" spans="1:21">
      <c r="A722" s="4">
        <f>IF(B722=" "," ",HYPERLINK(CONCATENATE("#metadata!",ADDRESS(INDEX($L$2:$L$1001,MATCH(ROWS($J$2:J722),$J$2:$J$1001,0),0),1)),INDEX($O$2:$O$1001,MATCH(ROWS($J$2:J722),$J$2:$J$1001,0),0)))</f>
        <v>0</v>
      </c>
      <c r="B722" s="3">
        <f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>0</v>
      </c>
      <c r="C722" s="3">
        <f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>0</v>
      </c>
      <c r="D722" s="3">
        <f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>0</v>
      </c>
      <c r="E722" s="3">
        <f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>0</v>
      </c>
      <c r="F722" s="3">
        <f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>0</v>
      </c>
      <c r="J722">
        <v>0</v>
      </c>
      <c r="K722">
        <v>0</v>
      </c>
      <c r="L722">
        <v>0</v>
      </c>
      <c r="M722">
        <f>IF(N722,TRUE,AND(Q722:U722))</f>
        <v>0</v>
      </c>
      <c r="N722">
        <f>COUNTBLANK(Metadata!B722:F722)=COLUMNS(Metadata!B722:F722)</f>
        <v>0</v>
      </c>
      <c r="O722">
        <v>0</v>
      </c>
      <c r="Q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>
        <f>AND(IF(Metadata!C722="",FALSE,TRUE),exact(Metadata!C722,"human-skin"))</f>
        <v>0</v>
      </c>
      <c r="S722">
        <f>OR(AND(IF(Metadata!D722="",FALSE,TRUE),OR(exact(Metadata!D722,"missing: not collected"),exact(Metadata!D722,"missing: not provided"))),AND(IF(Metadata!D722="",FALSE,TRUE),OR(exact(Metadata!D722,"UBERON:zone of skin"),exact(Metadata!D722,"UBERON:skin of hand"),exact(Metadata!D722,"UBERON:skin of forehead"))))</f>
        <v>0</v>
      </c>
      <c r="T722">
        <f>AND(IF(Metadata!E722="",FALSE,TRUE),exact(Metadata!E722,"human skin metagenome"))</f>
        <v>0</v>
      </c>
      <c r="U722">
        <f>AND(IF(Metadata!F722="",FALSE,TRUE),exact(Metadata!F722,"539655"))</f>
        <v>0</v>
      </c>
    </row>
    <row r="723" spans="1:21">
      <c r="A723" s="4">
        <f>IF(B723=" "," ",HYPERLINK(CONCATENATE("#metadata!",ADDRESS(INDEX($L$2:$L$1001,MATCH(ROWS($J$2:J723),$J$2:$J$1001,0),0),1)),INDEX($O$2:$O$1001,MATCH(ROWS($J$2:J723),$J$2:$J$1001,0),0)))</f>
        <v>0</v>
      </c>
      <c r="B723" s="3">
        <f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>0</v>
      </c>
      <c r="C723" s="3">
        <f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>0</v>
      </c>
      <c r="D723" s="3">
        <f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>0</v>
      </c>
      <c r="E723" s="3">
        <f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>0</v>
      </c>
      <c r="F723" s="3">
        <f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>0</v>
      </c>
      <c r="J723">
        <v>0</v>
      </c>
      <c r="K723">
        <v>0</v>
      </c>
      <c r="L723">
        <v>0</v>
      </c>
      <c r="M723">
        <f>IF(N723,TRUE,AND(Q723:U723))</f>
        <v>0</v>
      </c>
      <c r="N723">
        <f>COUNTBLANK(Metadata!B723:F723)=COLUMNS(Metadata!B723:F723)</f>
        <v>0</v>
      </c>
      <c r="O723">
        <v>0</v>
      </c>
      <c r="Q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>
        <f>AND(IF(Metadata!C723="",FALSE,TRUE),exact(Metadata!C723,"human-skin"))</f>
        <v>0</v>
      </c>
      <c r="S723">
        <f>OR(AND(IF(Metadata!D723="",FALSE,TRUE),OR(exact(Metadata!D723,"missing: not collected"),exact(Metadata!D723,"missing: not provided"))),AND(IF(Metadata!D723="",FALSE,TRUE),OR(exact(Metadata!D723,"UBERON:zone of skin"),exact(Metadata!D723,"UBERON:skin of hand"),exact(Metadata!D723,"UBERON:skin of forehead"))))</f>
        <v>0</v>
      </c>
      <c r="T723">
        <f>AND(IF(Metadata!E723="",FALSE,TRUE),exact(Metadata!E723,"human skin metagenome"))</f>
        <v>0</v>
      </c>
      <c r="U723">
        <f>AND(IF(Metadata!F723="",FALSE,TRUE),exact(Metadata!F723,"539655"))</f>
        <v>0</v>
      </c>
    </row>
    <row r="724" spans="1:21">
      <c r="A724" s="4">
        <f>IF(B724=" "," ",HYPERLINK(CONCATENATE("#metadata!",ADDRESS(INDEX($L$2:$L$1001,MATCH(ROWS($J$2:J724),$J$2:$J$1001,0),0),1)),INDEX($O$2:$O$1001,MATCH(ROWS($J$2:J724),$J$2:$J$1001,0),0)))</f>
        <v>0</v>
      </c>
      <c r="B724" s="3">
        <f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>0</v>
      </c>
      <c r="C724" s="3">
        <f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>0</v>
      </c>
      <c r="D724" s="3">
        <f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>0</v>
      </c>
      <c r="E724" s="3">
        <f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>0</v>
      </c>
      <c r="F724" s="3">
        <f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>0</v>
      </c>
      <c r="J724">
        <v>0</v>
      </c>
      <c r="K724">
        <v>0</v>
      </c>
      <c r="L724">
        <v>0</v>
      </c>
      <c r="M724">
        <f>IF(N724,TRUE,AND(Q724:U724))</f>
        <v>0</v>
      </c>
      <c r="N724">
        <f>COUNTBLANK(Metadata!B724:F724)=COLUMNS(Metadata!B724:F724)</f>
        <v>0</v>
      </c>
      <c r="O724">
        <v>0</v>
      </c>
      <c r="Q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>
        <f>AND(IF(Metadata!C724="",FALSE,TRUE),exact(Metadata!C724,"human-skin"))</f>
        <v>0</v>
      </c>
      <c r="S724">
        <f>OR(AND(IF(Metadata!D724="",FALSE,TRUE),OR(exact(Metadata!D724,"missing: not collected"),exact(Metadata!D724,"missing: not provided"))),AND(IF(Metadata!D724="",FALSE,TRUE),OR(exact(Metadata!D724,"UBERON:zone of skin"),exact(Metadata!D724,"UBERON:skin of hand"),exact(Metadata!D724,"UBERON:skin of forehead"))))</f>
        <v>0</v>
      </c>
      <c r="T724">
        <f>AND(IF(Metadata!E724="",FALSE,TRUE),exact(Metadata!E724,"human skin metagenome"))</f>
        <v>0</v>
      </c>
      <c r="U724">
        <f>AND(IF(Metadata!F724="",FALSE,TRUE),exact(Metadata!F724,"539655"))</f>
        <v>0</v>
      </c>
    </row>
    <row r="725" spans="1:21">
      <c r="A725" s="4">
        <f>IF(B725=" "," ",HYPERLINK(CONCATENATE("#metadata!",ADDRESS(INDEX($L$2:$L$1001,MATCH(ROWS($J$2:J725),$J$2:$J$1001,0),0),1)),INDEX($O$2:$O$1001,MATCH(ROWS($J$2:J725),$J$2:$J$1001,0),0)))</f>
        <v>0</v>
      </c>
      <c r="B725" s="3">
        <f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>0</v>
      </c>
      <c r="C725" s="3">
        <f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>0</v>
      </c>
      <c r="D725" s="3">
        <f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>0</v>
      </c>
      <c r="E725" s="3">
        <f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>0</v>
      </c>
      <c r="F725" s="3">
        <f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>0</v>
      </c>
      <c r="J725">
        <v>0</v>
      </c>
      <c r="K725">
        <v>0</v>
      </c>
      <c r="L725">
        <v>0</v>
      </c>
      <c r="M725">
        <f>IF(N725,TRUE,AND(Q725:U725))</f>
        <v>0</v>
      </c>
      <c r="N725">
        <f>COUNTBLANK(Metadata!B725:F725)=COLUMNS(Metadata!B725:F725)</f>
        <v>0</v>
      </c>
      <c r="O725">
        <v>0</v>
      </c>
      <c r="Q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>
        <f>AND(IF(Metadata!C725="",FALSE,TRUE),exact(Metadata!C725,"human-skin"))</f>
        <v>0</v>
      </c>
      <c r="S725">
        <f>OR(AND(IF(Metadata!D725="",FALSE,TRUE),OR(exact(Metadata!D725,"missing: not collected"),exact(Metadata!D725,"missing: not provided"))),AND(IF(Metadata!D725="",FALSE,TRUE),OR(exact(Metadata!D725,"UBERON:zone of skin"),exact(Metadata!D725,"UBERON:skin of hand"),exact(Metadata!D725,"UBERON:skin of forehead"))))</f>
        <v>0</v>
      </c>
      <c r="T725">
        <f>AND(IF(Metadata!E725="",FALSE,TRUE),exact(Metadata!E725,"human skin metagenome"))</f>
        <v>0</v>
      </c>
      <c r="U725">
        <f>AND(IF(Metadata!F725="",FALSE,TRUE),exact(Metadata!F725,"539655"))</f>
        <v>0</v>
      </c>
    </row>
    <row r="726" spans="1:21">
      <c r="A726" s="4">
        <f>IF(B726=" "," ",HYPERLINK(CONCATENATE("#metadata!",ADDRESS(INDEX($L$2:$L$1001,MATCH(ROWS($J$2:J726),$J$2:$J$1001,0),0),1)),INDEX($O$2:$O$1001,MATCH(ROWS($J$2:J726),$J$2:$J$1001,0),0)))</f>
        <v>0</v>
      </c>
      <c r="B726" s="3">
        <f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>0</v>
      </c>
      <c r="C726" s="3">
        <f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>0</v>
      </c>
      <c r="D726" s="3">
        <f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>0</v>
      </c>
      <c r="E726" s="3">
        <f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>0</v>
      </c>
      <c r="F726" s="3">
        <f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>0</v>
      </c>
      <c r="J726">
        <v>0</v>
      </c>
      <c r="K726">
        <v>0</v>
      </c>
      <c r="L726">
        <v>0</v>
      </c>
      <c r="M726">
        <f>IF(N726,TRUE,AND(Q726:U726))</f>
        <v>0</v>
      </c>
      <c r="N726">
        <f>COUNTBLANK(Metadata!B726:F726)=COLUMNS(Metadata!B726:F726)</f>
        <v>0</v>
      </c>
      <c r="O726">
        <v>0</v>
      </c>
      <c r="Q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>
        <f>AND(IF(Metadata!C726="",FALSE,TRUE),exact(Metadata!C726,"human-skin"))</f>
        <v>0</v>
      </c>
      <c r="S726">
        <f>OR(AND(IF(Metadata!D726="",FALSE,TRUE),OR(exact(Metadata!D726,"missing: not collected"),exact(Metadata!D726,"missing: not provided"))),AND(IF(Metadata!D726="",FALSE,TRUE),OR(exact(Metadata!D726,"UBERON:zone of skin"),exact(Metadata!D726,"UBERON:skin of hand"),exact(Metadata!D726,"UBERON:skin of forehead"))))</f>
        <v>0</v>
      </c>
      <c r="T726">
        <f>AND(IF(Metadata!E726="",FALSE,TRUE),exact(Metadata!E726,"human skin metagenome"))</f>
        <v>0</v>
      </c>
      <c r="U726">
        <f>AND(IF(Metadata!F726="",FALSE,TRUE),exact(Metadata!F726,"539655"))</f>
        <v>0</v>
      </c>
    </row>
    <row r="727" spans="1:21">
      <c r="A727" s="4">
        <f>IF(B727=" "," ",HYPERLINK(CONCATENATE("#metadata!",ADDRESS(INDEX($L$2:$L$1001,MATCH(ROWS($J$2:J727),$J$2:$J$1001,0),0),1)),INDEX($O$2:$O$1001,MATCH(ROWS($J$2:J727),$J$2:$J$1001,0),0)))</f>
        <v>0</v>
      </c>
      <c r="B727" s="3">
        <f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>0</v>
      </c>
      <c r="C727" s="3">
        <f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>0</v>
      </c>
      <c r="D727" s="3">
        <f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>0</v>
      </c>
      <c r="E727" s="3">
        <f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>0</v>
      </c>
      <c r="F727" s="3">
        <f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>0</v>
      </c>
      <c r="J727">
        <v>0</v>
      </c>
      <c r="K727">
        <v>0</v>
      </c>
      <c r="L727">
        <v>0</v>
      </c>
      <c r="M727">
        <f>IF(N727,TRUE,AND(Q727:U727))</f>
        <v>0</v>
      </c>
      <c r="N727">
        <f>COUNTBLANK(Metadata!B727:F727)=COLUMNS(Metadata!B727:F727)</f>
        <v>0</v>
      </c>
      <c r="O727">
        <v>0</v>
      </c>
      <c r="Q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>
        <f>AND(IF(Metadata!C727="",FALSE,TRUE),exact(Metadata!C727,"human-skin"))</f>
        <v>0</v>
      </c>
      <c r="S727">
        <f>OR(AND(IF(Metadata!D727="",FALSE,TRUE),OR(exact(Metadata!D727,"missing: not collected"),exact(Metadata!D727,"missing: not provided"))),AND(IF(Metadata!D727="",FALSE,TRUE),OR(exact(Metadata!D727,"UBERON:zone of skin"),exact(Metadata!D727,"UBERON:skin of hand"),exact(Metadata!D727,"UBERON:skin of forehead"))))</f>
        <v>0</v>
      </c>
      <c r="T727">
        <f>AND(IF(Metadata!E727="",FALSE,TRUE),exact(Metadata!E727,"human skin metagenome"))</f>
        <v>0</v>
      </c>
      <c r="U727">
        <f>AND(IF(Metadata!F727="",FALSE,TRUE),exact(Metadata!F727,"539655"))</f>
        <v>0</v>
      </c>
    </row>
    <row r="728" spans="1:21">
      <c r="A728" s="4">
        <f>IF(B728=" "," ",HYPERLINK(CONCATENATE("#metadata!",ADDRESS(INDEX($L$2:$L$1001,MATCH(ROWS($J$2:J728),$J$2:$J$1001,0),0),1)),INDEX($O$2:$O$1001,MATCH(ROWS($J$2:J728),$J$2:$J$1001,0),0)))</f>
        <v>0</v>
      </c>
      <c r="B728" s="3">
        <f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>0</v>
      </c>
      <c r="C728" s="3">
        <f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>0</v>
      </c>
      <c r="D728" s="3">
        <f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>0</v>
      </c>
      <c r="E728" s="3">
        <f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>0</v>
      </c>
      <c r="F728" s="3">
        <f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>0</v>
      </c>
      <c r="J728">
        <v>0</v>
      </c>
      <c r="K728">
        <v>0</v>
      </c>
      <c r="L728">
        <v>0</v>
      </c>
      <c r="M728">
        <f>IF(N728,TRUE,AND(Q728:U728))</f>
        <v>0</v>
      </c>
      <c r="N728">
        <f>COUNTBLANK(Metadata!B728:F728)=COLUMNS(Metadata!B728:F728)</f>
        <v>0</v>
      </c>
      <c r="O728">
        <v>0</v>
      </c>
      <c r="Q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>
        <f>AND(IF(Metadata!C728="",FALSE,TRUE),exact(Metadata!C728,"human-skin"))</f>
        <v>0</v>
      </c>
      <c r="S728">
        <f>OR(AND(IF(Metadata!D728="",FALSE,TRUE),OR(exact(Metadata!D728,"missing: not collected"),exact(Metadata!D728,"missing: not provided"))),AND(IF(Metadata!D728="",FALSE,TRUE),OR(exact(Metadata!D728,"UBERON:zone of skin"),exact(Metadata!D728,"UBERON:skin of hand"),exact(Metadata!D728,"UBERON:skin of forehead"))))</f>
        <v>0</v>
      </c>
      <c r="T728">
        <f>AND(IF(Metadata!E728="",FALSE,TRUE),exact(Metadata!E728,"human skin metagenome"))</f>
        <v>0</v>
      </c>
      <c r="U728">
        <f>AND(IF(Metadata!F728="",FALSE,TRUE),exact(Metadata!F728,"539655"))</f>
        <v>0</v>
      </c>
    </row>
    <row r="729" spans="1:21">
      <c r="A729" s="4">
        <f>IF(B729=" "," ",HYPERLINK(CONCATENATE("#metadata!",ADDRESS(INDEX($L$2:$L$1001,MATCH(ROWS($J$2:J729),$J$2:$J$1001,0),0),1)),INDEX($O$2:$O$1001,MATCH(ROWS($J$2:J729),$J$2:$J$1001,0),0)))</f>
        <v>0</v>
      </c>
      <c r="B729" s="3">
        <f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>0</v>
      </c>
      <c r="C729" s="3">
        <f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>0</v>
      </c>
      <c r="D729" s="3">
        <f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>0</v>
      </c>
      <c r="E729" s="3">
        <f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>0</v>
      </c>
      <c r="F729" s="3">
        <f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>0</v>
      </c>
      <c r="J729">
        <v>0</v>
      </c>
      <c r="K729">
        <v>0</v>
      </c>
      <c r="L729">
        <v>0</v>
      </c>
      <c r="M729">
        <f>IF(N729,TRUE,AND(Q729:U729))</f>
        <v>0</v>
      </c>
      <c r="N729">
        <f>COUNTBLANK(Metadata!B729:F729)=COLUMNS(Metadata!B729:F729)</f>
        <v>0</v>
      </c>
      <c r="O729">
        <v>0</v>
      </c>
      <c r="Q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>
        <f>AND(IF(Metadata!C729="",FALSE,TRUE),exact(Metadata!C729,"human-skin"))</f>
        <v>0</v>
      </c>
      <c r="S729">
        <f>OR(AND(IF(Metadata!D729="",FALSE,TRUE),OR(exact(Metadata!D729,"missing: not collected"),exact(Metadata!D729,"missing: not provided"))),AND(IF(Metadata!D729="",FALSE,TRUE),OR(exact(Metadata!D729,"UBERON:zone of skin"),exact(Metadata!D729,"UBERON:skin of hand"),exact(Metadata!D729,"UBERON:skin of forehead"))))</f>
        <v>0</v>
      </c>
      <c r="T729">
        <f>AND(IF(Metadata!E729="",FALSE,TRUE),exact(Metadata!E729,"human skin metagenome"))</f>
        <v>0</v>
      </c>
      <c r="U729">
        <f>AND(IF(Metadata!F729="",FALSE,TRUE),exact(Metadata!F729,"539655"))</f>
        <v>0</v>
      </c>
    </row>
    <row r="730" spans="1:21">
      <c r="A730" s="4">
        <f>IF(B730=" "," ",HYPERLINK(CONCATENATE("#metadata!",ADDRESS(INDEX($L$2:$L$1001,MATCH(ROWS($J$2:J730),$J$2:$J$1001,0),0),1)),INDEX($O$2:$O$1001,MATCH(ROWS($J$2:J730),$J$2:$J$1001,0),0)))</f>
        <v>0</v>
      </c>
      <c r="B730" s="3">
        <f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>0</v>
      </c>
      <c r="C730" s="3">
        <f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>0</v>
      </c>
      <c r="D730" s="3">
        <f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>0</v>
      </c>
      <c r="E730" s="3">
        <f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>0</v>
      </c>
      <c r="F730" s="3">
        <f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>0</v>
      </c>
      <c r="J730">
        <v>0</v>
      </c>
      <c r="K730">
        <v>0</v>
      </c>
      <c r="L730">
        <v>0</v>
      </c>
      <c r="M730">
        <f>IF(N730,TRUE,AND(Q730:U730))</f>
        <v>0</v>
      </c>
      <c r="N730">
        <f>COUNTBLANK(Metadata!B730:F730)=COLUMNS(Metadata!B730:F730)</f>
        <v>0</v>
      </c>
      <c r="O730">
        <v>0</v>
      </c>
      <c r="Q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>
        <f>AND(IF(Metadata!C730="",FALSE,TRUE),exact(Metadata!C730,"human-skin"))</f>
        <v>0</v>
      </c>
      <c r="S730">
        <f>OR(AND(IF(Metadata!D730="",FALSE,TRUE),OR(exact(Metadata!D730,"missing: not collected"),exact(Metadata!D730,"missing: not provided"))),AND(IF(Metadata!D730="",FALSE,TRUE),OR(exact(Metadata!D730,"UBERON:zone of skin"),exact(Metadata!D730,"UBERON:skin of hand"),exact(Metadata!D730,"UBERON:skin of forehead"))))</f>
        <v>0</v>
      </c>
      <c r="T730">
        <f>AND(IF(Metadata!E730="",FALSE,TRUE),exact(Metadata!E730,"human skin metagenome"))</f>
        <v>0</v>
      </c>
      <c r="U730">
        <f>AND(IF(Metadata!F730="",FALSE,TRUE),exact(Metadata!F730,"539655"))</f>
        <v>0</v>
      </c>
    </row>
    <row r="731" spans="1:21">
      <c r="A731" s="4">
        <f>IF(B731=" "," ",HYPERLINK(CONCATENATE("#metadata!",ADDRESS(INDEX($L$2:$L$1001,MATCH(ROWS($J$2:J731),$J$2:$J$1001,0),0),1)),INDEX($O$2:$O$1001,MATCH(ROWS($J$2:J731),$J$2:$J$1001,0),0)))</f>
        <v>0</v>
      </c>
      <c r="B731" s="3">
        <f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>0</v>
      </c>
      <c r="C731" s="3">
        <f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>0</v>
      </c>
      <c r="D731" s="3">
        <f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>0</v>
      </c>
      <c r="E731" s="3">
        <f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>0</v>
      </c>
      <c r="F731" s="3">
        <f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>0</v>
      </c>
      <c r="J731">
        <v>0</v>
      </c>
      <c r="K731">
        <v>0</v>
      </c>
      <c r="L731">
        <v>0</v>
      </c>
      <c r="M731">
        <f>IF(N731,TRUE,AND(Q731:U731))</f>
        <v>0</v>
      </c>
      <c r="N731">
        <f>COUNTBLANK(Metadata!B731:F731)=COLUMNS(Metadata!B731:F731)</f>
        <v>0</v>
      </c>
      <c r="O731">
        <v>0</v>
      </c>
      <c r="Q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>
        <f>AND(IF(Metadata!C731="",FALSE,TRUE),exact(Metadata!C731,"human-skin"))</f>
        <v>0</v>
      </c>
      <c r="S731">
        <f>OR(AND(IF(Metadata!D731="",FALSE,TRUE),OR(exact(Metadata!D731,"missing: not collected"),exact(Metadata!D731,"missing: not provided"))),AND(IF(Metadata!D731="",FALSE,TRUE),OR(exact(Metadata!D731,"UBERON:zone of skin"),exact(Metadata!D731,"UBERON:skin of hand"),exact(Metadata!D731,"UBERON:skin of forehead"))))</f>
        <v>0</v>
      </c>
      <c r="T731">
        <f>AND(IF(Metadata!E731="",FALSE,TRUE),exact(Metadata!E731,"human skin metagenome"))</f>
        <v>0</v>
      </c>
      <c r="U731">
        <f>AND(IF(Metadata!F731="",FALSE,TRUE),exact(Metadata!F731,"539655"))</f>
        <v>0</v>
      </c>
    </row>
    <row r="732" spans="1:21">
      <c r="A732" s="4">
        <f>IF(B732=" "," ",HYPERLINK(CONCATENATE("#metadata!",ADDRESS(INDEX($L$2:$L$1001,MATCH(ROWS($J$2:J732),$J$2:$J$1001,0),0),1)),INDEX($O$2:$O$1001,MATCH(ROWS($J$2:J732),$J$2:$J$1001,0),0)))</f>
        <v>0</v>
      </c>
      <c r="B732" s="3">
        <f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>0</v>
      </c>
      <c r="C732" s="3">
        <f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>0</v>
      </c>
      <c r="D732" s="3">
        <f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>0</v>
      </c>
      <c r="E732" s="3">
        <f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>0</v>
      </c>
      <c r="F732" s="3">
        <f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>0</v>
      </c>
      <c r="J732">
        <v>0</v>
      </c>
      <c r="K732">
        <v>0</v>
      </c>
      <c r="L732">
        <v>0</v>
      </c>
      <c r="M732">
        <f>IF(N732,TRUE,AND(Q732:U732))</f>
        <v>0</v>
      </c>
      <c r="N732">
        <f>COUNTBLANK(Metadata!B732:F732)=COLUMNS(Metadata!B732:F732)</f>
        <v>0</v>
      </c>
      <c r="O732">
        <v>0</v>
      </c>
      <c r="Q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>
        <f>AND(IF(Metadata!C732="",FALSE,TRUE),exact(Metadata!C732,"human-skin"))</f>
        <v>0</v>
      </c>
      <c r="S732">
        <f>OR(AND(IF(Metadata!D732="",FALSE,TRUE),OR(exact(Metadata!D732,"missing: not collected"),exact(Metadata!D732,"missing: not provided"))),AND(IF(Metadata!D732="",FALSE,TRUE),OR(exact(Metadata!D732,"UBERON:zone of skin"),exact(Metadata!D732,"UBERON:skin of hand"),exact(Metadata!D732,"UBERON:skin of forehead"))))</f>
        <v>0</v>
      </c>
      <c r="T732">
        <f>AND(IF(Metadata!E732="",FALSE,TRUE),exact(Metadata!E732,"human skin metagenome"))</f>
        <v>0</v>
      </c>
      <c r="U732">
        <f>AND(IF(Metadata!F732="",FALSE,TRUE),exact(Metadata!F732,"539655"))</f>
        <v>0</v>
      </c>
    </row>
    <row r="733" spans="1:21">
      <c r="A733" s="4">
        <f>IF(B733=" "," ",HYPERLINK(CONCATENATE("#metadata!",ADDRESS(INDEX($L$2:$L$1001,MATCH(ROWS($J$2:J733),$J$2:$J$1001,0),0),1)),INDEX($O$2:$O$1001,MATCH(ROWS($J$2:J733),$J$2:$J$1001,0),0)))</f>
        <v>0</v>
      </c>
      <c r="B733" s="3">
        <f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>0</v>
      </c>
      <c r="C733" s="3">
        <f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>0</v>
      </c>
      <c r="D733" s="3">
        <f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>0</v>
      </c>
      <c r="E733" s="3">
        <f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>0</v>
      </c>
      <c r="F733" s="3">
        <f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>0</v>
      </c>
      <c r="J733">
        <v>0</v>
      </c>
      <c r="K733">
        <v>0</v>
      </c>
      <c r="L733">
        <v>0</v>
      </c>
      <c r="M733">
        <f>IF(N733,TRUE,AND(Q733:U733))</f>
        <v>0</v>
      </c>
      <c r="N733">
        <f>COUNTBLANK(Metadata!B733:F733)=COLUMNS(Metadata!B733:F733)</f>
        <v>0</v>
      </c>
      <c r="O733">
        <v>0</v>
      </c>
      <c r="Q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>
        <f>AND(IF(Metadata!C733="",FALSE,TRUE),exact(Metadata!C733,"human-skin"))</f>
        <v>0</v>
      </c>
      <c r="S733">
        <f>OR(AND(IF(Metadata!D733="",FALSE,TRUE),OR(exact(Metadata!D733,"missing: not collected"),exact(Metadata!D733,"missing: not provided"))),AND(IF(Metadata!D733="",FALSE,TRUE),OR(exact(Metadata!D733,"UBERON:zone of skin"),exact(Metadata!D733,"UBERON:skin of hand"),exact(Metadata!D733,"UBERON:skin of forehead"))))</f>
        <v>0</v>
      </c>
      <c r="T733">
        <f>AND(IF(Metadata!E733="",FALSE,TRUE),exact(Metadata!E733,"human skin metagenome"))</f>
        <v>0</v>
      </c>
      <c r="U733">
        <f>AND(IF(Metadata!F733="",FALSE,TRUE),exact(Metadata!F733,"539655"))</f>
        <v>0</v>
      </c>
    </row>
    <row r="734" spans="1:21">
      <c r="A734" s="4">
        <f>IF(B734=" "," ",HYPERLINK(CONCATENATE("#metadata!",ADDRESS(INDEX($L$2:$L$1001,MATCH(ROWS($J$2:J734),$J$2:$J$1001,0),0),1)),INDEX($O$2:$O$1001,MATCH(ROWS($J$2:J734),$J$2:$J$1001,0),0)))</f>
        <v>0</v>
      </c>
      <c r="B734" s="3">
        <f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>0</v>
      </c>
      <c r="C734" s="3">
        <f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>0</v>
      </c>
      <c r="D734" s="3">
        <f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>0</v>
      </c>
      <c r="E734" s="3">
        <f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>0</v>
      </c>
      <c r="F734" s="3">
        <f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>0</v>
      </c>
      <c r="J734">
        <v>0</v>
      </c>
      <c r="K734">
        <v>0</v>
      </c>
      <c r="L734">
        <v>0</v>
      </c>
      <c r="M734">
        <f>IF(N734,TRUE,AND(Q734:U734))</f>
        <v>0</v>
      </c>
      <c r="N734">
        <f>COUNTBLANK(Metadata!B734:F734)=COLUMNS(Metadata!B734:F734)</f>
        <v>0</v>
      </c>
      <c r="O734">
        <v>0</v>
      </c>
      <c r="Q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>
        <f>AND(IF(Metadata!C734="",FALSE,TRUE),exact(Metadata!C734,"human-skin"))</f>
        <v>0</v>
      </c>
      <c r="S734">
        <f>OR(AND(IF(Metadata!D734="",FALSE,TRUE),OR(exact(Metadata!D734,"missing: not collected"),exact(Metadata!D734,"missing: not provided"))),AND(IF(Metadata!D734="",FALSE,TRUE),OR(exact(Metadata!D734,"UBERON:zone of skin"),exact(Metadata!D734,"UBERON:skin of hand"),exact(Metadata!D734,"UBERON:skin of forehead"))))</f>
        <v>0</v>
      </c>
      <c r="T734">
        <f>AND(IF(Metadata!E734="",FALSE,TRUE),exact(Metadata!E734,"human skin metagenome"))</f>
        <v>0</v>
      </c>
      <c r="U734">
        <f>AND(IF(Metadata!F734="",FALSE,TRUE),exact(Metadata!F734,"539655"))</f>
        <v>0</v>
      </c>
    </row>
    <row r="735" spans="1:21">
      <c r="A735" s="4">
        <f>IF(B735=" "," ",HYPERLINK(CONCATENATE("#metadata!",ADDRESS(INDEX($L$2:$L$1001,MATCH(ROWS($J$2:J735),$J$2:$J$1001,0),0),1)),INDEX($O$2:$O$1001,MATCH(ROWS($J$2:J735),$J$2:$J$1001,0),0)))</f>
        <v>0</v>
      </c>
      <c r="B735" s="3">
        <f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>0</v>
      </c>
      <c r="C735" s="3">
        <f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>0</v>
      </c>
      <c r="D735" s="3">
        <f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>0</v>
      </c>
      <c r="E735" s="3">
        <f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>0</v>
      </c>
      <c r="F735" s="3">
        <f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>0</v>
      </c>
      <c r="J735">
        <v>0</v>
      </c>
      <c r="K735">
        <v>0</v>
      </c>
      <c r="L735">
        <v>0</v>
      </c>
      <c r="M735">
        <f>IF(N735,TRUE,AND(Q735:U735))</f>
        <v>0</v>
      </c>
      <c r="N735">
        <f>COUNTBLANK(Metadata!B735:F735)=COLUMNS(Metadata!B735:F735)</f>
        <v>0</v>
      </c>
      <c r="O735">
        <v>0</v>
      </c>
      <c r="Q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>
        <f>AND(IF(Metadata!C735="",FALSE,TRUE),exact(Metadata!C735,"human-skin"))</f>
        <v>0</v>
      </c>
      <c r="S735">
        <f>OR(AND(IF(Metadata!D735="",FALSE,TRUE),OR(exact(Metadata!D735,"missing: not collected"),exact(Metadata!D735,"missing: not provided"))),AND(IF(Metadata!D735="",FALSE,TRUE),OR(exact(Metadata!D735,"UBERON:zone of skin"),exact(Metadata!D735,"UBERON:skin of hand"),exact(Metadata!D735,"UBERON:skin of forehead"))))</f>
        <v>0</v>
      </c>
      <c r="T735">
        <f>AND(IF(Metadata!E735="",FALSE,TRUE),exact(Metadata!E735,"human skin metagenome"))</f>
        <v>0</v>
      </c>
      <c r="U735">
        <f>AND(IF(Metadata!F735="",FALSE,TRUE),exact(Metadata!F735,"539655"))</f>
        <v>0</v>
      </c>
    </row>
    <row r="736" spans="1:21">
      <c r="A736" s="4">
        <f>IF(B736=" "," ",HYPERLINK(CONCATENATE("#metadata!",ADDRESS(INDEX($L$2:$L$1001,MATCH(ROWS($J$2:J736),$J$2:$J$1001,0),0),1)),INDEX($O$2:$O$1001,MATCH(ROWS($J$2:J736),$J$2:$J$1001,0),0)))</f>
        <v>0</v>
      </c>
      <c r="B736" s="3">
        <f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>0</v>
      </c>
      <c r="C736" s="3">
        <f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>0</v>
      </c>
      <c r="D736" s="3">
        <f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>0</v>
      </c>
      <c r="E736" s="3">
        <f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>0</v>
      </c>
      <c r="F736" s="3">
        <f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>0</v>
      </c>
      <c r="J736">
        <v>0</v>
      </c>
      <c r="K736">
        <v>0</v>
      </c>
      <c r="L736">
        <v>0</v>
      </c>
      <c r="M736">
        <f>IF(N736,TRUE,AND(Q736:U736))</f>
        <v>0</v>
      </c>
      <c r="N736">
        <f>COUNTBLANK(Metadata!B736:F736)=COLUMNS(Metadata!B736:F736)</f>
        <v>0</v>
      </c>
      <c r="O736">
        <v>0</v>
      </c>
      <c r="Q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>
        <f>AND(IF(Metadata!C736="",FALSE,TRUE),exact(Metadata!C736,"human-skin"))</f>
        <v>0</v>
      </c>
      <c r="S736">
        <f>OR(AND(IF(Metadata!D736="",FALSE,TRUE),OR(exact(Metadata!D736,"missing: not collected"),exact(Metadata!D736,"missing: not provided"))),AND(IF(Metadata!D736="",FALSE,TRUE),OR(exact(Metadata!D736,"UBERON:zone of skin"),exact(Metadata!D736,"UBERON:skin of hand"),exact(Metadata!D736,"UBERON:skin of forehead"))))</f>
        <v>0</v>
      </c>
      <c r="T736">
        <f>AND(IF(Metadata!E736="",FALSE,TRUE),exact(Metadata!E736,"human skin metagenome"))</f>
        <v>0</v>
      </c>
      <c r="U736">
        <f>AND(IF(Metadata!F736="",FALSE,TRUE),exact(Metadata!F736,"539655"))</f>
        <v>0</v>
      </c>
    </row>
    <row r="737" spans="1:21">
      <c r="A737" s="4">
        <f>IF(B737=" "," ",HYPERLINK(CONCATENATE("#metadata!",ADDRESS(INDEX($L$2:$L$1001,MATCH(ROWS($J$2:J737),$J$2:$J$1001,0),0),1)),INDEX($O$2:$O$1001,MATCH(ROWS($J$2:J737),$J$2:$J$1001,0),0)))</f>
        <v>0</v>
      </c>
      <c r="B737" s="3">
        <f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>0</v>
      </c>
      <c r="C737" s="3">
        <f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>0</v>
      </c>
      <c r="D737" s="3">
        <f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>0</v>
      </c>
      <c r="E737" s="3">
        <f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>0</v>
      </c>
      <c r="F737" s="3">
        <f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>0</v>
      </c>
      <c r="J737">
        <v>0</v>
      </c>
      <c r="K737">
        <v>0</v>
      </c>
      <c r="L737">
        <v>0</v>
      </c>
      <c r="M737">
        <f>IF(N737,TRUE,AND(Q737:U737))</f>
        <v>0</v>
      </c>
      <c r="N737">
        <f>COUNTBLANK(Metadata!B737:F737)=COLUMNS(Metadata!B737:F737)</f>
        <v>0</v>
      </c>
      <c r="O737">
        <v>0</v>
      </c>
      <c r="Q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>
        <f>AND(IF(Metadata!C737="",FALSE,TRUE),exact(Metadata!C737,"human-skin"))</f>
        <v>0</v>
      </c>
      <c r="S737">
        <f>OR(AND(IF(Metadata!D737="",FALSE,TRUE),OR(exact(Metadata!D737,"missing: not collected"),exact(Metadata!D737,"missing: not provided"))),AND(IF(Metadata!D737="",FALSE,TRUE),OR(exact(Metadata!D737,"UBERON:zone of skin"),exact(Metadata!D737,"UBERON:skin of hand"),exact(Metadata!D737,"UBERON:skin of forehead"))))</f>
        <v>0</v>
      </c>
      <c r="T737">
        <f>AND(IF(Metadata!E737="",FALSE,TRUE),exact(Metadata!E737,"human skin metagenome"))</f>
        <v>0</v>
      </c>
      <c r="U737">
        <f>AND(IF(Metadata!F737="",FALSE,TRUE),exact(Metadata!F737,"539655"))</f>
        <v>0</v>
      </c>
    </row>
    <row r="738" spans="1:21">
      <c r="A738" s="4">
        <f>IF(B738=" "," ",HYPERLINK(CONCATENATE("#metadata!",ADDRESS(INDEX($L$2:$L$1001,MATCH(ROWS($J$2:J738),$J$2:$J$1001,0),0),1)),INDEX($O$2:$O$1001,MATCH(ROWS($J$2:J738),$J$2:$J$1001,0),0)))</f>
        <v>0</v>
      </c>
      <c r="B738" s="3">
        <f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>0</v>
      </c>
      <c r="C738" s="3">
        <f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>0</v>
      </c>
      <c r="D738" s="3">
        <f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>0</v>
      </c>
      <c r="E738" s="3">
        <f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>0</v>
      </c>
      <c r="F738" s="3">
        <f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>0</v>
      </c>
      <c r="J738">
        <v>0</v>
      </c>
      <c r="K738">
        <v>0</v>
      </c>
      <c r="L738">
        <v>0</v>
      </c>
      <c r="M738">
        <f>IF(N738,TRUE,AND(Q738:U738))</f>
        <v>0</v>
      </c>
      <c r="N738">
        <f>COUNTBLANK(Metadata!B738:F738)=COLUMNS(Metadata!B738:F738)</f>
        <v>0</v>
      </c>
      <c r="O738">
        <v>0</v>
      </c>
      <c r="Q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>
        <f>AND(IF(Metadata!C738="",FALSE,TRUE),exact(Metadata!C738,"human-skin"))</f>
        <v>0</v>
      </c>
      <c r="S738">
        <f>OR(AND(IF(Metadata!D738="",FALSE,TRUE),OR(exact(Metadata!D738,"missing: not collected"),exact(Metadata!D738,"missing: not provided"))),AND(IF(Metadata!D738="",FALSE,TRUE),OR(exact(Metadata!D738,"UBERON:zone of skin"),exact(Metadata!D738,"UBERON:skin of hand"),exact(Metadata!D738,"UBERON:skin of forehead"))))</f>
        <v>0</v>
      </c>
      <c r="T738">
        <f>AND(IF(Metadata!E738="",FALSE,TRUE),exact(Metadata!E738,"human skin metagenome"))</f>
        <v>0</v>
      </c>
      <c r="U738">
        <f>AND(IF(Metadata!F738="",FALSE,TRUE),exact(Metadata!F738,"539655"))</f>
        <v>0</v>
      </c>
    </row>
    <row r="739" spans="1:21">
      <c r="A739" s="4">
        <f>IF(B739=" "," ",HYPERLINK(CONCATENATE("#metadata!",ADDRESS(INDEX($L$2:$L$1001,MATCH(ROWS($J$2:J739),$J$2:$J$1001,0),0),1)),INDEX($O$2:$O$1001,MATCH(ROWS($J$2:J739),$J$2:$J$1001,0),0)))</f>
        <v>0</v>
      </c>
      <c r="B739" s="3">
        <f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>0</v>
      </c>
      <c r="C739" s="3">
        <f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>0</v>
      </c>
      <c r="D739" s="3">
        <f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>0</v>
      </c>
      <c r="E739" s="3">
        <f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>0</v>
      </c>
      <c r="F739" s="3">
        <f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>0</v>
      </c>
      <c r="J739">
        <v>0</v>
      </c>
      <c r="K739">
        <v>0</v>
      </c>
      <c r="L739">
        <v>0</v>
      </c>
      <c r="M739">
        <f>IF(N739,TRUE,AND(Q739:U739))</f>
        <v>0</v>
      </c>
      <c r="N739">
        <f>COUNTBLANK(Metadata!B739:F739)=COLUMNS(Metadata!B739:F739)</f>
        <v>0</v>
      </c>
      <c r="O739">
        <v>0</v>
      </c>
      <c r="Q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>
        <f>AND(IF(Metadata!C739="",FALSE,TRUE),exact(Metadata!C739,"human-skin"))</f>
        <v>0</v>
      </c>
      <c r="S739">
        <f>OR(AND(IF(Metadata!D739="",FALSE,TRUE),OR(exact(Metadata!D739,"missing: not collected"),exact(Metadata!D739,"missing: not provided"))),AND(IF(Metadata!D739="",FALSE,TRUE),OR(exact(Metadata!D739,"UBERON:zone of skin"),exact(Metadata!D739,"UBERON:skin of hand"),exact(Metadata!D739,"UBERON:skin of forehead"))))</f>
        <v>0</v>
      </c>
      <c r="T739">
        <f>AND(IF(Metadata!E739="",FALSE,TRUE),exact(Metadata!E739,"human skin metagenome"))</f>
        <v>0</v>
      </c>
      <c r="U739">
        <f>AND(IF(Metadata!F739="",FALSE,TRUE),exact(Metadata!F739,"539655"))</f>
        <v>0</v>
      </c>
    </row>
    <row r="740" spans="1:21">
      <c r="A740" s="4">
        <f>IF(B740=" "," ",HYPERLINK(CONCATENATE("#metadata!",ADDRESS(INDEX($L$2:$L$1001,MATCH(ROWS($J$2:J740),$J$2:$J$1001,0),0),1)),INDEX($O$2:$O$1001,MATCH(ROWS($J$2:J740),$J$2:$J$1001,0),0)))</f>
        <v>0</v>
      </c>
      <c r="B740" s="3">
        <f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>0</v>
      </c>
      <c r="C740" s="3">
        <f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>0</v>
      </c>
      <c r="D740" s="3">
        <f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>0</v>
      </c>
      <c r="E740" s="3">
        <f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>0</v>
      </c>
      <c r="F740" s="3">
        <f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>0</v>
      </c>
      <c r="J740">
        <v>0</v>
      </c>
      <c r="K740">
        <v>0</v>
      </c>
      <c r="L740">
        <v>0</v>
      </c>
      <c r="M740">
        <f>IF(N740,TRUE,AND(Q740:U740))</f>
        <v>0</v>
      </c>
      <c r="N740">
        <f>COUNTBLANK(Metadata!B740:F740)=COLUMNS(Metadata!B740:F740)</f>
        <v>0</v>
      </c>
      <c r="O740">
        <v>0</v>
      </c>
      <c r="Q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>
        <f>AND(IF(Metadata!C740="",FALSE,TRUE),exact(Metadata!C740,"human-skin"))</f>
        <v>0</v>
      </c>
      <c r="S740">
        <f>OR(AND(IF(Metadata!D740="",FALSE,TRUE),OR(exact(Metadata!D740,"missing: not collected"),exact(Metadata!D740,"missing: not provided"))),AND(IF(Metadata!D740="",FALSE,TRUE),OR(exact(Metadata!D740,"UBERON:zone of skin"),exact(Metadata!D740,"UBERON:skin of hand"),exact(Metadata!D740,"UBERON:skin of forehead"))))</f>
        <v>0</v>
      </c>
      <c r="T740">
        <f>AND(IF(Metadata!E740="",FALSE,TRUE),exact(Metadata!E740,"human skin metagenome"))</f>
        <v>0</v>
      </c>
      <c r="U740">
        <f>AND(IF(Metadata!F740="",FALSE,TRUE),exact(Metadata!F740,"539655"))</f>
        <v>0</v>
      </c>
    </row>
    <row r="741" spans="1:21">
      <c r="A741" s="4">
        <f>IF(B741=" "," ",HYPERLINK(CONCATENATE("#metadata!",ADDRESS(INDEX($L$2:$L$1001,MATCH(ROWS($J$2:J741),$J$2:$J$1001,0),0),1)),INDEX($O$2:$O$1001,MATCH(ROWS($J$2:J741),$J$2:$J$1001,0),0)))</f>
        <v>0</v>
      </c>
      <c r="B741" s="3">
        <f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>0</v>
      </c>
      <c r="C741" s="3">
        <f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>0</v>
      </c>
      <c r="D741" s="3">
        <f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>0</v>
      </c>
      <c r="E741" s="3">
        <f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>0</v>
      </c>
      <c r="F741" s="3">
        <f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>0</v>
      </c>
      <c r="J741">
        <v>0</v>
      </c>
      <c r="K741">
        <v>0</v>
      </c>
      <c r="L741">
        <v>0</v>
      </c>
      <c r="M741">
        <f>IF(N741,TRUE,AND(Q741:U741))</f>
        <v>0</v>
      </c>
      <c r="N741">
        <f>COUNTBLANK(Metadata!B741:F741)=COLUMNS(Metadata!B741:F741)</f>
        <v>0</v>
      </c>
      <c r="O741">
        <v>0</v>
      </c>
      <c r="Q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>
        <f>AND(IF(Metadata!C741="",FALSE,TRUE),exact(Metadata!C741,"human-skin"))</f>
        <v>0</v>
      </c>
      <c r="S741">
        <f>OR(AND(IF(Metadata!D741="",FALSE,TRUE),OR(exact(Metadata!D741,"missing: not collected"),exact(Metadata!D741,"missing: not provided"))),AND(IF(Metadata!D741="",FALSE,TRUE),OR(exact(Metadata!D741,"UBERON:zone of skin"),exact(Metadata!D741,"UBERON:skin of hand"),exact(Metadata!D741,"UBERON:skin of forehead"))))</f>
        <v>0</v>
      </c>
      <c r="T741">
        <f>AND(IF(Metadata!E741="",FALSE,TRUE),exact(Metadata!E741,"human skin metagenome"))</f>
        <v>0</v>
      </c>
      <c r="U741">
        <f>AND(IF(Metadata!F741="",FALSE,TRUE),exact(Metadata!F741,"539655"))</f>
        <v>0</v>
      </c>
    </row>
    <row r="742" spans="1:21">
      <c r="A742" s="4">
        <f>IF(B742=" "," ",HYPERLINK(CONCATENATE("#metadata!",ADDRESS(INDEX($L$2:$L$1001,MATCH(ROWS($J$2:J742),$J$2:$J$1001,0),0),1)),INDEX($O$2:$O$1001,MATCH(ROWS($J$2:J742),$J$2:$J$1001,0),0)))</f>
        <v>0</v>
      </c>
      <c r="B742" s="3">
        <f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>0</v>
      </c>
      <c r="C742" s="3">
        <f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>0</v>
      </c>
      <c r="D742" s="3">
        <f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>0</v>
      </c>
      <c r="E742" s="3">
        <f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>0</v>
      </c>
      <c r="F742" s="3">
        <f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>0</v>
      </c>
      <c r="J742">
        <v>0</v>
      </c>
      <c r="K742">
        <v>0</v>
      </c>
      <c r="L742">
        <v>0</v>
      </c>
      <c r="M742">
        <f>IF(N742,TRUE,AND(Q742:U742))</f>
        <v>0</v>
      </c>
      <c r="N742">
        <f>COUNTBLANK(Metadata!B742:F742)=COLUMNS(Metadata!B742:F742)</f>
        <v>0</v>
      </c>
      <c r="O742">
        <v>0</v>
      </c>
      <c r="Q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>
        <f>AND(IF(Metadata!C742="",FALSE,TRUE),exact(Metadata!C742,"human-skin"))</f>
        <v>0</v>
      </c>
      <c r="S742">
        <f>OR(AND(IF(Metadata!D742="",FALSE,TRUE),OR(exact(Metadata!D742,"missing: not collected"),exact(Metadata!D742,"missing: not provided"))),AND(IF(Metadata!D742="",FALSE,TRUE),OR(exact(Metadata!D742,"UBERON:zone of skin"),exact(Metadata!D742,"UBERON:skin of hand"),exact(Metadata!D742,"UBERON:skin of forehead"))))</f>
        <v>0</v>
      </c>
      <c r="T742">
        <f>AND(IF(Metadata!E742="",FALSE,TRUE),exact(Metadata!E742,"human skin metagenome"))</f>
        <v>0</v>
      </c>
      <c r="U742">
        <f>AND(IF(Metadata!F742="",FALSE,TRUE),exact(Metadata!F742,"539655"))</f>
        <v>0</v>
      </c>
    </row>
    <row r="743" spans="1:21">
      <c r="A743" s="4">
        <f>IF(B743=" "," ",HYPERLINK(CONCATENATE("#metadata!",ADDRESS(INDEX($L$2:$L$1001,MATCH(ROWS($J$2:J743),$J$2:$J$1001,0),0),1)),INDEX($O$2:$O$1001,MATCH(ROWS($J$2:J743),$J$2:$J$1001,0),0)))</f>
        <v>0</v>
      </c>
      <c r="B743" s="3">
        <f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>0</v>
      </c>
      <c r="C743" s="3">
        <f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>0</v>
      </c>
      <c r="D743" s="3">
        <f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>0</v>
      </c>
      <c r="E743" s="3">
        <f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>0</v>
      </c>
      <c r="F743" s="3">
        <f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>0</v>
      </c>
      <c r="J743">
        <v>0</v>
      </c>
      <c r="K743">
        <v>0</v>
      </c>
      <c r="L743">
        <v>0</v>
      </c>
      <c r="M743">
        <f>IF(N743,TRUE,AND(Q743:U743))</f>
        <v>0</v>
      </c>
      <c r="N743">
        <f>COUNTBLANK(Metadata!B743:F743)=COLUMNS(Metadata!B743:F743)</f>
        <v>0</v>
      </c>
      <c r="O743">
        <v>0</v>
      </c>
      <c r="Q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>
        <f>AND(IF(Metadata!C743="",FALSE,TRUE),exact(Metadata!C743,"human-skin"))</f>
        <v>0</v>
      </c>
      <c r="S743">
        <f>OR(AND(IF(Metadata!D743="",FALSE,TRUE),OR(exact(Metadata!D743,"missing: not collected"),exact(Metadata!D743,"missing: not provided"))),AND(IF(Metadata!D743="",FALSE,TRUE),OR(exact(Metadata!D743,"UBERON:zone of skin"),exact(Metadata!D743,"UBERON:skin of hand"),exact(Metadata!D743,"UBERON:skin of forehead"))))</f>
        <v>0</v>
      </c>
      <c r="T743">
        <f>AND(IF(Metadata!E743="",FALSE,TRUE),exact(Metadata!E743,"human skin metagenome"))</f>
        <v>0</v>
      </c>
      <c r="U743">
        <f>AND(IF(Metadata!F743="",FALSE,TRUE),exact(Metadata!F743,"539655"))</f>
        <v>0</v>
      </c>
    </row>
    <row r="744" spans="1:21">
      <c r="A744" s="4">
        <f>IF(B744=" "," ",HYPERLINK(CONCATENATE("#metadata!",ADDRESS(INDEX($L$2:$L$1001,MATCH(ROWS($J$2:J744),$J$2:$J$1001,0),0),1)),INDEX($O$2:$O$1001,MATCH(ROWS($J$2:J744),$J$2:$J$1001,0),0)))</f>
        <v>0</v>
      </c>
      <c r="B744" s="3">
        <f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>0</v>
      </c>
      <c r="C744" s="3">
        <f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>0</v>
      </c>
      <c r="D744" s="3">
        <f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>0</v>
      </c>
      <c r="E744" s="3">
        <f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>0</v>
      </c>
      <c r="F744" s="3">
        <f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>0</v>
      </c>
      <c r="J744">
        <v>0</v>
      </c>
      <c r="K744">
        <v>0</v>
      </c>
      <c r="L744">
        <v>0</v>
      </c>
      <c r="M744">
        <f>IF(N744,TRUE,AND(Q744:U744))</f>
        <v>0</v>
      </c>
      <c r="N744">
        <f>COUNTBLANK(Metadata!B744:F744)=COLUMNS(Metadata!B744:F744)</f>
        <v>0</v>
      </c>
      <c r="O744">
        <v>0</v>
      </c>
      <c r="Q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>
        <f>AND(IF(Metadata!C744="",FALSE,TRUE),exact(Metadata!C744,"human-skin"))</f>
        <v>0</v>
      </c>
      <c r="S744">
        <f>OR(AND(IF(Metadata!D744="",FALSE,TRUE),OR(exact(Metadata!D744,"missing: not collected"),exact(Metadata!D744,"missing: not provided"))),AND(IF(Metadata!D744="",FALSE,TRUE),OR(exact(Metadata!D744,"UBERON:zone of skin"),exact(Metadata!D744,"UBERON:skin of hand"),exact(Metadata!D744,"UBERON:skin of forehead"))))</f>
        <v>0</v>
      </c>
      <c r="T744">
        <f>AND(IF(Metadata!E744="",FALSE,TRUE),exact(Metadata!E744,"human skin metagenome"))</f>
        <v>0</v>
      </c>
      <c r="U744">
        <f>AND(IF(Metadata!F744="",FALSE,TRUE),exact(Metadata!F744,"539655"))</f>
        <v>0</v>
      </c>
    </row>
    <row r="745" spans="1:21">
      <c r="A745" s="4">
        <f>IF(B745=" "," ",HYPERLINK(CONCATENATE("#metadata!",ADDRESS(INDEX($L$2:$L$1001,MATCH(ROWS($J$2:J745),$J$2:$J$1001,0),0),1)),INDEX($O$2:$O$1001,MATCH(ROWS($J$2:J745),$J$2:$J$1001,0),0)))</f>
        <v>0</v>
      </c>
      <c r="B745" s="3">
        <f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>0</v>
      </c>
      <c r="C745" s="3">
        <f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>0</v>
      </c>
      <c r="D745" s="3">
        <f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>0</v>
      </c>
      <c r="E745" s="3">
        <f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>0</v>
      </c>
      <c r="F745" s="3">
        <f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>0</v>
      </c>
      <c r="J745">
        <v>0</v>
      </c>
      <c r="K745">
        <v>0</v>
      </c>
      <c r="L745">
        <v>0</v>
      </c>
      <c r="M745">
        <f>IF(N745,TRUE,AND(Q745:U745))</f>
        <v>0</v>
      </c>
      <c r="N745">
        <f>COUNTBLANK(Metadata!B745:F745)=COLUMNS(Metadata!B745:F745)</f>
        <v>0</v>
      </c>
      <c r="O745">
        <v>0</v>
      </c>
      <c r="Q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>
        <f>AND(IF(Metadata!C745="",FALSE,TRUE),exact(Metadata!C745,"human-skin"))</f>
        <v>0</v>
      </c>
      <c r="S745">
        <f>OR(AND(IF(Metadata!D745="",FALSE,TRUE),OR(exact(Metadata!D745,"missing: not collected"),exact(Metadata!D745,"missing: not provided"))),AND(IF(Metadata!D745="",FALSE,TRUE),OR(exact(Metadata!D745,"UBERON:zone of skin"),exact(Metadata!D745,"UBERON:skin of hand"),exact(Metadata!D745,"UBERON:skin of forehead"))))</f>
        <v>0</v>
      </c>
      <c r="T745">
        <f>AND(IF(Metadata!E745="",FALSE,TRUE),exact(Metadata!E745,"human skin metagenome"))</f>
        <v>0</v>
      </c>
      <c r="U745">
        <f>AND(IF(Metadata!F745="",FALSE,TRUE),exact(Metadata!F745,"539655"))</f>
        <v>0</v>
      </c>
    </row>
    <row r="746" spans="1:21">
      <c r="A746" s="4">
        <f>IF(B746=" "," ",HYPERLINK(CONCATENATE("#metadata!",ADDRESS(INDEX($L$2:$L$1001,MATCH(ROWS($J$2:J746),$J$2:$J$1001,0),0),1)),INDEX($O$2:$O$1001,MATCH(ROWS($J$2:J746),$J$2:$J$1001,0),0)))</f>
        <v>0</v>
      </c>
      <c r="B746" s="3">
        <f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>0</v>
      </c>
      <c r="C746" s="3">
        <f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>0</v>
      </c>
      <c r="D746" s="3">
        <f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>0</v>
      </c>
      <c r="E746" s="3">
        <f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>0</v>
      </c>
      <c r="F746" s="3">
        <f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>0</v>
      </c>
      <c r="J746">
        <v>0</v>
      </c>
      <c r="K746">
        <v>0</v>
      </c>
      <c r="L746">
        <v>0</v>
      </c>
      <c r="M746">
        <f>IF(N746,TRUE,AND(Q746:U746))</f>
        <v>0</v>
      </c>
      <c r="N746">
        <f>COUNTBLANK(Metadata!B746:F746)=COLUMNS(Metadata!B746:F746)</f>
        <v>0</v>
      </c>
      <c r="O746">
        <v>0</v>
      </c>
      <c r="Q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>
        <f>AND(IF(Metadata!C746="",FALSE,TRUE),exact(Metadata!C746,"human-skin"))</f>
        <v>0</v>
      </c>
      <c r="S746">
        <f>OR(AND(IF(Metadata!D746="",FALSE,TRUE),OR(exact(Metadata!D746,"missing: not collected"),exact(Metadata!D746,"missing: not provided"))),AND(IF(Metadata!D746="",FALSE,TRUE),OR(exact(Metadata!D746,"UBERON:zone of skin"),exact(Metadata!D746,"UBERON:skin of hand"),exact(Metadata!D746,"UBERON:skin of forehead"))))</f>
        <v>0</v>
      </c>
      <c r="T746">
        <f>AND(IF(Metadata!E746="",FALSE,TRUE),exact(Metadata!E746,"human skin metagenome"))</f>
        <v>0</v>
      </c>
      <c r="U746">
        <f>AND(IF(Metadata!F746="",FALSE,TRUE),exact(Metadata!F746,"539655"))</f>
        <v>0</v>
      </c>
    </row>
    <row r="747" spans="1:21">
      <c r="A747" s="4">
        <f>IF(B747=" "," ",HYPERLINK(CONCATENATE("#metadata!",ADDRESS(INDEX($L$2:$L$1001,MATCH(ROWS($J$2:J747),$J$2:$J$1001,0),0),1)),INDEX($O$2:$O$1001,MATCH(ROWS($J$2:J747),$J$2:$J$1001,0),0)))</f>
        <v>0</v>
      </c>
      <c r="B747" s="3">
        <f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>0</v>
      </c>
      <c r="C747" s="3">
        <f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>0</v>
      </c>
      <c r="D747" s="3">
        <f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>0</v>
      </c>
      <c r="E747" s="3">
        <f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>0</v>
      </c>
      <c r="F747" s="3">
        <f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>0</v>
      </c>
      <c r="J747">
        <v>0</v>
      </c>
      <c r="K747">
        <v>0</v>
      </c>
      <c r="L747">
        <v>0</v>
      </c>
      <c r="M747">
        <f>IF(N747,TRUE,AND(Q747:U747))</f>
        <v>0</v>
      </c>
      <c r="N747">
        <f>COUNTBLANK(Metadata!B747:F747)=COLUMNS(Metadata!B747:F747)</f>
        <v>0</v>
      </c>
      <c r="O747">
        <v>0</v>
      </c>
      <c r="Q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>
        <f>AND(IF(Metadata!C747="",FALSE,TRUE),exact(Metadata!C747,"human-skin"))</f>
        <v>0</v>
      </c>
      <c r="S747">
        <f>OR(AND(IF(Metadata!D747="",FALSE,TRUE),OR(exact(Metadata!D747,"missing: not collected"),exact(Metadata!D747,"missing: not provided"))),AND(IF(Metadata!D747="",FALSE,TRUE),OR(exact(Metadata!D747,"UBERON:zone of skin"),exact(Metadata!D747,"UBERON:skin of hand"),exact(Metadata!D747,"UBERON:skin of forehead"))))</f>
        <v>0</v>
      </c>
      <c r="T747">
        <f>AND(IF(Metadata!E747="",FALSE,TRUE),exact(Metadata!E747,"human skin metagenome"))</f>
        <v>0</v>
      </c>
      <c r="U747">
        <f>AND(IF(Metadata!F747="",FALSE,TRUE),exact(Metadata!F747,"539655"))</f>
        <v>0</v>
      </c>
    </row>
    <row r="748" spans="1:21">
      <c r="A748" s="4">
        <f>IF(B748=" "," ",HYPERLINK(CONCATENATE("#metadata!",ADDRESS(INDEX($L$2:$L$1001,MATCH(ROWS($J$2:J748),$J$2:$J$1001,0),0),1)),INDEX($O$2:$O$1001,MATCH(ROWS($J$2:J748),$J$2:$J$1001,0),0)))</f>
        <v>0</v>
      </c>
      <c r="B748" s="3">
        <f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>0</v>
      </c>
      <c r="C748" s="3">
        <f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>0</v>
      </c>
      <c r="D748" s="3">
        <f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>0</v>
      </c>
      <c r="E748" s="3">
        <f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>0</v>
      </c>
      <c r="F748" s="3">
        <f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>0</v>
      </c>
      <c r="J748">
        <v>0</v>
      </c>
      <c r="K748">
        <v>0</v>
      </c>
      <c r="L748">
        <v>0</v>
      </c>
      <c r="M748">
        <f>IF(N748,TRUE,AND(Q748:U748))</f>
        <v>0</v>
      </c>
      <c r="N748">
        <f>COUNTBLANK(Metadata!B748:F748)=COLUMNS(Metadata!B748:F748)</f>
        <v>0</v>
      </c>
      <c r="O748">
        <v>0</v>
      </c>
      <c r="Q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>
        <f>AND(IF(Metadata!C748="",FALSE,TRUE),exact(Metadata!C748,"human-skin"))</f>
        <v>0</v>
      </c>
      <c r="S748">
        <f>OR(AND(IF(Metadata!D748="",FALSE,TRUE),OR(exact(Metadata!D748,"missing: not collected"),exact(Metadata!D748,"missing: not provided"))),AND(IF(Metadata!D748="",FALSE,TRUE),OR(exact(Metadata!D748,"UBERON:zone of skin"),exact(Metadata!D748,"UBERON:skin of hand"),exact(Metadata!D748,"UBERON:skin of forehead"))))</f>
        <v>0</v>
      </c>
      <c r="T748">
        <f>AND(IF(Metadata!E748="",FALSE,TRUE),exact(Metadata!E748,"human skin metagenome"))</f>
        <v>0</v>
      </c>
      <c r="U748">
        <f>AND(IF(Metadata!F748="",FALSE,TRUE),exact(Metadata!F748,"539655"))</f>
        <v>0</v>
      </c>
    </row>
    <row r="749" spans="1:21">
      <c r="A749" s="4">
        <f>IF(B749=" "," ",HYPERLINK(CONCATENATE("#metadata!",ADDRESS(INDEX($L$2:$L$1001,MATCH(ROWS($J$2:J749),$J$2:$J$1001,0),0),1)),INDEX($O$2:$O$1001,MATCH(ROWS($J$2:J749),$J$2:$J$1001,0),0)))</f>
        <v>0</v>
      </c>
      <c r="B749" s="3">
        <f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>0</v>
      </c>
      <c r="C749" s="3">
        <f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>0</v>
      </c>
      <c r="D749" s="3">
        <f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>0</v>
      </c>
      <c r="E749" s="3">
        <f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>0</v>
      </c>
      <c r="F749" s="3">
        <f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>0</v>
      </c>
      <c r="J749">
        <v>0</v>
      </c>
      <c r="K749">
        <v>0</v>
      </c>
      <c r="L749">
        <v>0</v>
      </c>
      <c r="M749">
        <f>IF(N749,TRUE,AND(Q749:U749))</f>
        <v>0</v>
      </c>
      <c r="N749">
        <f>COUNTBLANK(Metadata!B749:F749)=COLUMNS(Metadata!B749:F749)</f>
        <v>0</v>
      </c>
      <c r="O749">
        <v>0</v>
      </c>
      <c r="Q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>
        <f>AND(IF(Metadata!C749="",FALSE,TRUE),exact(Metadata!C749,"human-skin"))</f>
        <v>0</v>
      </c>
      <c r="S749">
        <f>OR(AND(IF(Metadata!D749="",FALSE,TRUE),OR(exact(Metadata!D749,"missing: not collected"),exact(Metadata!D749,"missing: not provided"))),AND(IF(Metadata!D749="",FALSE,TRUE),OR(exact(Metadata!D749,"UBERON:zone of skin"),exact(Metadata!D749,"UBERON:skin of hand"),exact(Metadata!D749,"UBERON:skin of forehead"))))</f>
        <v>0</v>
      </c>
      <c r="T749">
        <f>AND(IF(Metadata!E749="",FALSE,TRUE),exact(Metadata!E749,"human skin metagenome"))</f>
        <v>0</v>
      </c>
      <c r="U749">
        <f>AND(IF(Metadata!F749="",FALSE,TRUE),exact(Metadata!F749,"539655"))</f>
        <v>0</v>
      </c>
    </row>
    <row r="750" spans="1:21">
      <c r="A750" s="4">
        <f>IF(B750=" "," ",HYPERLINK(CONCATENATE("#metadata!",ADDRESS(INDEX($L$2:$L$1001,MATCH(ROWS($J$2:J750),$J$2:$J$1001,0),0),1)),INDEX($O$2:$O$1001,MATCH(ROWS($J$2:J750),$J$2:$J$1001,0),0)))</f>
        <v>0</v>
      </c>
      <c r="B750" s="3">
        <f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>0</v>
      </c>
      <c r="C750" s="3">
        <f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>0</v>
      </c>
      <c r="D750" s="3">
        <f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>0</v>
      </c>
      <c r="E750" s="3">
        <f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>0</v>
      </c>
      <c r="F750" s="3">
        <f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>0</v>
      </c>
      <c r="J750">
        <v>0</v>
      </c>
      <c r="K750">
        <v>0</v>
      </c>
      <c r="L750">
        <v>0</v>
      </c>
      <c r="M750">
        <f>IF(N750,TRUE,AND(Q750:U750))</f>
        <v>0</v>
      </c>
      <c r="N750">
        <f>COUNTBLANK(Metadata!B750:F750)=COLUMNS(Metadata!B750:F750)</f>
        <v>0</v>
      </c>
      <c r="O750">
        <v>0</v>
      </c>
      <c r="Q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>
        <f>AND(IF(Metadata!C750="",FALSE,TRUE),exact(Metadata!C750,"human-skin"))</f>
        <v>0</v>
      </c>
      <c r="S750">
        <f>OR(AND(IF(Metadata!D750="",FALSE,TRUE),OR(exact(Metadata!D750,"missing: not collected"),exact(Metadata!D750,"missing: not provided"))),AND(IF(Metadata!D750="",FALSE,TRUE),OR(exact(Metadata!D750,"UBERON:zone of skin"),exact(Metadata!D750,"UBERON:skin of hand"),exact(Metadata!D750,"UBERON:skin of forehead"))))</f>
        <v>0</v>
      </c>
      <c r="T750">
        <f>AND(IF(Metadata!E750="",FALSE,TRUE),exact(Metadata!E750,"human skin metagenome"))</f>
        <v>0</v>
      </c>
      <c r="U750">
        <f>AND(IF(Metadata!F750="",FALSE,TRUE),exact(Metadata!F750,"539655"))</f>
        <v>0</v>
      </c>
    </row>
    <row r="751" spans="1:21">
      <c r="A751" s="4">
        <f>IF(B751=" "," ",HYPERLINK(CONCATENATE("#metadata!",ADDRESS(INDEX($L$2:$L$1001,MATCH(ROWS($J$2:J751),$J$2:$J$1001,0),0),1)),INDEX($O$2:$O$1001,MATCH(ROWS($J$2:J751),$J$2:$J$1001,0),0)))</f>
        <v>0</v>
      </c>
      <c r="B751" s="3">
        <f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>0</v>
      </c>
      <c r="C751" s="3">
        <f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>0</v>
      </c>
      <c r="D751" s="3">
        <f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>0</v>
      </c>
      <c r="E751" s="3">
        <f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>0</v>
      </c>
      <c r="F751" s="3">
        <f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>0</v>
      </c>
      <c r="J751">
        <v>0</v>
      </c>
      <c r="K751">
        <v>0</v>
      </c>
      <c r="L751">
        <v>0</v>
      </c>
      <c r="M751">
        <f>IF(N751,TRUE,AND(Q751:U751))</f>
        <v>0</v>
      </c>
      <c r="N751">
        <f>COUNTBLANK(Metadata!B751:F751)=COLUMNS(Metadata!B751:F751)</f>
        <v>0</v>
      </c>
      <c r="O751">
        <v>0</v>
      </c>
      <c r="Q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>
        <f>AND(IF(Metadata!C751="",FALSE,TRUE),exact(Metadata!C751,"human-skin"))</f>
        <v>0</v>
      </c>
      <c r="S751">
        <f>OR(AND(IF(Metadata!D751="",FALSE,TRUE),OR(exact(Metadata!D751,"missing: not collected"),exact(Metadata!D751,"missing: not provided"))),AND(IF(Metadata!D751="",FALSE,TRUE),OR(exact(Metadata!D751,"UBERON:zone of skin"),exact(Metadata!D751,"UBERON:skin of hand"),exact(Metadata!D751,"UBERON:skin of forehead"))))</f>
        <v>0</v>
      </c>
      <c r="T751">
        <f>AND(IF(Metadata!E751="",FALSE,TRUE),exact(Metadata!E751,"human skin metagenome"))</f>
        <v>0</v>
      </c>
      <c r="U751">
        <f>AND(IF(Metadata!F751="",FALSE,TRUE),exact(Metadata!F751,"539655"))</f>
        <v>0</v>
      </c>
    </row>
    <row r="752" spans="1:21">
      <c r="A752" s="4">
        <f>IF(B752=" "," ",HYPERLINK(CONCATENATE("#metadata!",ADDRESS(INDEX($L$2:$L$1001,MATCH(ROWS($J$2:J752),$J$2:$J$1001,0),0),1)),INDEX($O$2:$O$1001,MATCH(ROWS($J$2:J752),$J$2:$J$1001,0),0)))</f>
        <v>0</v>
      </c>
      <c r="B752" s="3">
        <f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>0</v>
      </c>
      <c r="C752" s="3">
        <f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>0</v>
      </c>
      <c r="D752" s="3">
        <f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>0</v>
      </c>
      <c r="E752" s="3">
        <f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>0</v>
      </c>
      <c r="F752" s="3">
        <f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>0</v>
      </c>
      <c r="J752">
        <v>0</v>
      </c>
      <c r="K752">
        <v>0</v>
      </c>
      <c r="L752">
        <v>0</v>
      </c>
      <c r="M752">
        <f>IF(N752,TRUE,AND(Q752:U752))</f>
        <v>0</v>
      </c>
      <c r="N752">
        <f>COUNTBLANK(Metadata!B752:F752)=COLUMNS(Metadata!B752:F752)</f>
        <v>0</v>
      </c>
      <c r="O752">
        <v>0</v>
      </c>
      <c r="Q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>
        <f>AND(IF(Metadata!C752="",FALSE,TRUE),exact(Metadata!C752,"human-skin"))</f>
        <v>0</v>
      </c>
      <c r="S752">
        <f>OR(AND(IF(Metadata!D752="",FALSE,TRUE),OR(exact(Metadata!D752,"missing: not collected"),exact(Metadata!D752,"missing: not provided"))),AND(IF(Metadata!D752="",FALSE,TRUE),OR(exact(Metadata!D752,"UBERON:zone of skin"),exact(Metadata!D752,"UBERON:skin of hand"),exact(Metadata!D752,"UBERON:skin of forehead"))))</f>
        <v>0</v>
      </c>
      <c r="T752">
        <f>AND(IF(Metadata!E752="",FALSE,TRUE),exact(Metadata!E752,"human skin metagenome"))</f>
        <v>0</v>
      </c>
      <c r="U752">
        <f>AND(IF(Metadata!F752="",FALSE,TRUE),exact(Metadata!F752,"539655"))</f>
        <v>0</v>
      </c>
    </row>
    <row r="753" spans="1:21">
      <c r="A753" s="4">
        <f>IF(B753=" "," ",HYPERLINK(CONCATENATE("#metadata!",ADDRESS(INDEX($L$2:$L$1001,MATCH(ROWS($J$2:J753),$J$2:$J$1001,0),0),1)),INDEX($O$2:$O$1001,MATCH(ROWS($J$2:J753),$J$2:$J$1001,0),0)))</f>
        <v>0</v>
      </c>
      <c r="B753" s="3">
        <f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>0</v>
      </c>
      <c r="C753" s="3">
        <f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>0</v>
      </c>
      <c r="D753" s="3">
        <f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>0</v>
      </c>
      <c r="E753" s="3">
        <f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>0</v>
      </c>
      <c r="F753" s="3">
        <f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>0</v>
      </c>
      <c r="J753">
        <v>0</v>
      </c>
      <c r="K753">
        <v>0</v>
      </c>
      <c r="L753">
        <v>0</v>
      </c>
      <c r="M753">
        <f>IF(N753,TRUE,AND(Q753:U753))</f>
        <v>0</v>
      </c>
      <c r="N753">
        <f>COUNTBLANK(Metadata!B753:F753)=COLUMNS(Metadata!B753:F753)</f>
        <v>0</v>
      </c>
      <c r="O753">
        <v>0</v>
      </c>
      <c r="Q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>
        <f>AND(IF(Metadata!C753="",FALSE,TRUE),exact(Metadata!C753,"human-skin"))</f>
        <v>0</v>
      </c>
      <c r="S753">
        <f>OR(AND(IF(Metadata!D753="",FALSE,TRUE),OR(exact(Metadata!D753,"missing: not collected"),exact(Metadata!D753,"missing: not provided"))),AND(IF(Metadata!D753="",FALSE,TRUE),OR(exact(Metadata!D753,"UBERON:zone of skin"),exact(Metadata!D753,"UBERON:skin of hand"),exact(Metadata!D753,"UBERON:skin of forehead"))))</f>
        <v>0</v>
      </c>
      <c r="T753">
        <f>AND(IF(Metadata!E753="",FALSE,TRUE),exact(Metadata!E753,"human skin metagenome"))</f>
        <v>0</v>
      </c>
      <c r="U753">
        <f>AND(IF(Metadata!F753="",FALSE,TRUE),exact(Metadata!F753,"539655"))</f>
        <v>0</v>
      </c>
    </row>
    <row r="754" spans="1:21">
      <c r="A754" s="4">
        <f>IF(B754=" "," ",HYPERLINK(CONCATENATE("#metadata!",ADDRESS(INDEX($L$2:$L$1001,MATCH(ROWS($J$2:J754),$J$2:$J$1001,0),0),1)),INDEX($O$2:$O$1001,MATCH(ROWS($J$2:J754),$J$2:$J$1001,0),0)))</f>
        <v>0</v>
      </c>
      <c r="B754" s="3">
        <f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>0</v>
      </c>
      <c r="C754" s="3">
        <f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>0</v>
      </c>
      <c r="D754" s="3">
        <f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>0</v>
      </c>
      <c r="E754" s="3">
        <f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>0</v>
      </c>
      <c r="F754" s="3">
        <f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>0</v>
      </c>
      <c r="J754">
        <v>0</v>
      </c>
      <c r="K754">
        <v>0</v>
      </c>
      <c r="L754">
        <v>0</v>
      </c>
      <c r="M754">
        <f>IF(N754,TRUE,AND(Q754:U754))</f>
        <v>0</v>
      </c>
      <c r="N754">
        <f>COUNTBLANK(Metadata!B754:F754)=COLUMNS(Metadata!B754:F754)</f>
        <v>0</v>
      </c>
      <c r="O754">
        <v>0</v>
      </c>
      <c r="Q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>
        <f>AND(IF(Metadata!C754="",FALSE,TRUE),exact(Metadata!C754,"human-skin"))</f>
        <v>0</v>
      </c>
      <c r="S754">
        <f>OR(AND(IF(Metadata!D754="",FALSE,TRUE),OR(exact(Metadata!D754,"missing: not collected"),exact(Metadata!D754,"missing: not provided"))),AND(IF(Metadata!D754="",FALSE,TRUE),OR(exact(Metadata!D754,"UBERON:zone of skin"),exact(Metadata!D754,"UBERON:skin of hand"),exact(Metadata!D754,"UBERON:skin of forehead"))))</f>
        <v>0</v>
      </c>
      <c r="T754">
        <f>AND(IF(Metadata!E754="",FALSE,TRUE),exact(Metadata!E754,"human skin metagenome"))</f>
        <v>0</v>
      </c>
      <c r="U754">
        <f>AND(IF(Metadata!F754="",FALSE,TRUE),exact(Metadata!F754,"539655"))</f>
        <v>0</v>
      </c>
    </row>
    <row r="755" spans="1:21">
      <c r="A755" s="4">
        <f>IF(B755=" "," ",HYPERLINK(CONCATENATE("#metadata!",ADDRESS(INDEX($L$2:$L$1001,MATCH(ROWS($J$2:J755),$J$2:$J$1001,0),0),1)),INDEX($O$2:$O$1001,MATCH(ROWS($J$2:J755),$J$2:$J$1001,0),0)))</f>
        <v>0</v>
      </c>
      <c r="B755" s="3">
        <f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>0</v>
      </c>
      <c r="C755" s="3">
        <f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>0</v>
      </c>
      <c r="D755" s="3">
        <f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>0</v>
      </c>
      <c r="E755" s="3">
        <f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>0</v>
      </c>
      <c r="F755" s="3">
        <f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>0</v>
      </c>
      <c r="J755">
        <v>0</v>
      </c>
      <c r="K755">
        <v>0</v>
      </c>
      <c r="L755">
        <v>0</v>
      </c>
      <c r="M755">
        <f>IF(N755,TRUE,AND(Q755:U755))</f>
        <v>0</v>
      </c>
      <c r="N755">
        <f>COUNTBLANK(Metadata!B755:F755)=COLUMNS(Metadata!B755:F755)</f>
        <v>0</v>
      </c>
      <c r="O755">
        <v>0</v>
      </c>
      <c r="Q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>
        <f>AND(IF(Metadata!C755="",FALSE,TRUE),exact(Metadata!C755,"human-skin"))</f>
        <v>0</v>
      </c>
      <c r="S755">
        <f>OR(AND(IF(Metadata!D755="",FALSE,TRUE),OR(exact(Metadata!D755,"missing: not collected"),exact(Metadata!D755,"missing: not provided"))),AND(IF(Metadata!D755="",FALSE,TRUE),OR(exact(Metadata!D755,"UBERON:zone of skin"),exact(Metadata!D755,"UBERON:skin of hand"),exact(Metadata!D755,"UBERON:skin of forehead"))))</f>
        <v>0</v>
      </c>
      <c r="T755">
        <f>AND(IF(Metadata!E755="",FALSE,TRUE),exact(Metadata!E755,"human skin metagenome"))</f>
        <v>0</v>
      </c>
      <c r="U755">
        <f>AND(IF(Metadata!F755="",FALSE,TRUE),exact(Metadata!F755,"539655"))</f>
        <v>0</v>
      </c>
    </row>
    <row r="756" spans="1:21">
      <c r="A756" s="4">
        <f>IF(B756=" "," ",HYPERLINK(CONCATENATE("#metadata!",ADDRESS(INDEX($L$2:$L$1001,MATCH(ROWS($J$2:J756),$J$2:$J$1001,0),0),1)),INDEX($O$2:$O$1001,MATCH(ROWS($J$2:J756),$J$2:$J$1001,0),0)))</f>
        <v>0</v>
      </c>
      <c r="B756" s="3">
        <f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>0</v>
      </c>
      <c r="C756" s="3">
        <f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>0</v>
      </c>
      <c r="D756" s="3">
        <f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>0</v>
      </c>
      <c r="E756" s="3">
        <f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>0</v>
      </c>
      <c r="F756" s="3">
        <f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>0</v>
      </c>
      <c r="J756">
        <v>0</v>
      </c>
      <c r="K756">
        <v>0</v>
      </c>
      <c r="L756">
        <v>0</v>
      </c>
      <c r="M756">
        <f>IF(N756,TRUE,AND(Q756:U756))</f>
        <v>0</v>
      </c>
      <c r="N756">
        <f>COUNTBLANK(Metadata!B756:F756)=COLUMNS(Metadata!B756:F756)</f>
        <v>0</v>
      </c>
      <c r="O756">
        <v>0</v>
      </c>
      <c r="Q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>
        <f>AND(IF(Metadata!C756="",FALSE,TRUE),exact(Metadata!C756,"human-skin"))</f>
        <v>0</v>
      </c>
      <c r="S756">
        <f>OR(AND(IF(Metadata!D756="",FALSE,TRUE),OR(exact(Metadata!D756,"missing: not collected"),exact(Metadata!D756,"missing: not provided"))),AND(IF(Metadata!D756="",FALSE,TRUE),OR(exact(Metadata!D756,"UBERON:zone of skin"),exact(Metadata!D756,"UBERON:skin of hand"),exact(Metadata!D756,"UBERON:skin of forehead"))))</f>
        <v>0</v>
      </c>
      <c r="T756">
        <f>AND(IF(Metadata!E756="",FALSE,TRUE),exact(Metadata!E756,"human skin metagenome"))</f>
        <v>0</v>
      </c>
      <c r="U756">
        <f>AND(IF(Metadata!F756="",FALSE,TRUE),exact(Metadata!F756,"539655"))</f>
        <v>0</v>
      </c>
    </row>
    <row r="757" spans="1:21">
      <c r="A757" s="4">
        <f>IF(B757=" "," ",HYPERLINK(CONCATENATE("#metadata!",ADDRESS(INDEX($L$2:$L$1001,MATCH(ROWS($J$2:J757),$J$2:$J$1001,0),0),1)),INDEX($O$2:$O$1001,MATCH(ROWS($J$2:J757),$J$2:$J$1001,0),0)))</f>
        <v>0</v>
      </c>
      <c r="B757" s="3">
        <f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>0</v>
      </c>
      <c r="C757" s="3">
        <f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>0</v>
      </c>
      <c r="D757" s="3">
        <f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>0</v>
      </c>
      <c r="E757" s="3">
        <f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>0</v>
      </c>
      <c r="F757" s="3">
        <f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>0</v>
      </c>
      <c r="J757">
        <v>0</v>
      </c>
      <c r="K757">
        <v>0</v>
      </c>
      <c r="L757">
        <v>0</v>
      </c>
      <c r="M757">
        <f>IF(N757,TRUE,AND(Q757:U757))</f>
        <v>0</v>
      </c>
      <c r="N757">
        <f>COUNTBLANK(Metadata!B757:F757)=COLUMNS(Metadata!B757:F757)</f>
        <v>0</v>
      </c>
      <c r="O757">
        <v>0</v>
      </c>
      <c r="Q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>
        <f>AND(IF(Metadata!C757="",FALSE,TRUE),exact(Metadata!C757,"human-skin"))</f>
        <v>0</v>
      </c>
      <c r="S757">
        <f>OR(AND(IF(Metadata!D757="",FALSE,TRUE),OR(exact(Metadata!D757,"missing: not collected"),exact(Metadata!D757,"missing: not provided"))),AND(IF(Metadata!D757="",FALSE,TRUE),OR(exact(Metadata!D757,"UBERON:zone of skin"),exact(Metadata!D757,"UBERON:skin of hand"),exact(Metadata!D757,"UBERON:skin of forehead"))))</f>
        <v>0</v>
      </c>
      <c r="T757">
        <f>AND(IF(Metadata!E757="",FALSE,TRUE),exact(Metadata!E757,"human skin metagenome"))</f>
        <v>0</v>
      </c>
      <c r="U757">
        <f>AND(IF(Metadata!F757="",FALSE,TRUE),exact(Metadata!F757,"539655"))</f>
        <v>0</v>
      </c>
    </row>
    <row r="758" spans="1:21">
      <c r="A758" s="4">
        <f>IF(B758=" "," ",HYPERLINK(CONCATENATE("#metadata!",ADDRESS(INDEX($L$2:$L$1001,MATCH(ROWS($J$2:J758),$J$2:$J$1001,0),0),1)),INDEX($O$2:$O$1001,MATCH(ROWS($J$2:J758),$J$2:$J$1001,0),0)))</f>
        <v>0</v>
      </c>
      <c r="B758" s="3">
        <f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>0</v>
      </c>
      <c r="C758" s="3">
        <f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>0</v>
      </c>
      <c r="D758" s="3">
        <f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>0</v>
      </c>
      <c r="E758" s="3">
        <f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>0</v>
      </c>
      <c r="F758" s="3">
        <f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>0</v>
      </c>
      <c r="J758">
        <v>0</v>
      </c>
      <c r="K758">
        <v>0</v>
      </c>
      <c r="L758">
        <v>0</v>
      </c>
      <c r="M758">
        <f>IF(N758,TRUE,AND(Q758:U758))</f>
        <v>0</v>
      </c>
      <c r="N758">
        <f>COUNTBLANK(Metadata!B758:F758)=COLUMNS(Metadata!B758:F758)</f>
        <v>0</v>
      </c>
      <c r="O758">
        <v>0</v>
      </c>
      <c r="Q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>
        <f>AND(IF(Metadata!C758="",FALSE,TRUE),exact(Metadata!C758,"human-skin"))</f>
        <v>0</v>
      </c>
      <c r="S758">
        <f>OR(AND(IF(Metadata!D758="",FALSE,TRUE),OR(exact(Metadata!D758,"missing: not collected"),exact(Metadata!D758,"missing: not provided"))),AND(IF(Metadata!D758="",FALSE,TRUE),OR(exact(Metadata!D758,"UBERON:zone of skin"),exact(Metadata!D758,"UBERON:skin of hand"),exact(Metadata!D758,"UBERON:skin of forehead"))))</f>
        <v>0</v>
      </c>
      <c r="T758">
        <f>AND(IF(Metadata!E758="",FALSE,TRUE),exact(Metadata!E758,"human skin metagenome"))</f>
        <v>0</v>
      </c>
      <c r="U758">
        <f>AND(IF(Metadata!F758="",FALSE,TRUE),exact(Metadata!F758,"539655"))</f>
        <v>0</v>
      </c>
    </row>
    <row r="759" spans="1:21">
      <c r="A759" s="4">
        <f>IF(B759=" "," ",HYPERLINK(CONCATENATE("#metadata!",ADDRESS(INDEX($L$2:$L$1001,MATCH(ROWS($J$2:J759),$J$2:$J$1001,0),0),1)),INDEX($O$2:$O$1001,MATCH(ROWS($J$2:J759),$J$2:$J$1001,0),0)))</f>
        <v>0</v>
      </c>
      <c r="B759" s="3">
        <f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>0</v>
      </c>
      <c r="C759" s="3">
        <f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>0</v>
      </c>
      <c r="D759" s="3">
        <f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>0</v>
      </c>
      <c r="E759" s="3">
        <f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>0</v>
      </c>
      <c r="F759" s="3">
        <f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>0</v>
      </c>
      <c r="J759">
        <v>0</v>
      </c>
      <c r="K759">
        <v>0</v>
      </c>
      <c r="L759">
        <v>0</v>
      </c>
      <c r="M759">
        <f>IF(N759,TRUE,AND(Q759:U759))</f>
        <v>0</v>
      </c>
      <c r="N759">
        <f>COUNTBLANK(Metadata!B759:F759)=COLUMNS(Metadata!B759:F759)</f>
        <v>0</v>
      </c>
      <c r="O759">
        <v>0</v>
      </c>
      <c r="Q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>
        <f>AND(IF(Metadata!C759="",FALSE,TRUE),exact(Metadata!C759,"human-skin"))</f>
        <v>0</v>
      </c>
      <c r="S759">
        <f>OR(AND(IF(Metadata!D759="",FALSE,TRUE),OR(exact(Metadata!D759,"missing: not collected"),exact(Metadata!D759,"missing: not provided"))),AND(IF(Metadata!D759="",FALSE,TRUE),OR(exact(Metadata!D759,"UBERON:zone of skin"),exact(Metadata!D759,"UBERON:skin of hand"),exact(Metadata!D759,"UBERON:skin of forehead"))))</f>
        <v>0</v>
      </c>
      <c r="T759">
        <f>AND(IF(Metadata!E759="",FALSE,TRUE),exact(Metadata!E759,"human skin metagenome"))</f>
        <v>0</v>
      </c>
      <c r="U759">
        <f>AND(IF(Metadata!F759="",FALSE,TRUE),exact(Metadata!F759,"539655"))</f>
        <v>0</v>
      </c>
    </row>
    <row r="760" spans="1:21">
      <c r="A760" s="4">
        <f>IF(B760=" "," ",HYPERLINK(CONCATENATE("#metadata!",ADDRESS(INDEX($L$2:$L$1001,MATCH(ROWS($J$2:J760),$J$2:$J$1001,0),0),1)),INDEX($O$2:$O$1001,MATCH(ROWS($J$2:J760),$J$2:$J$1001,0),0)))</f>
        <v>0</v>
      </c>
      <c r="B760" s="3">
        <f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>0</v>
      </c>
      <c r="C760" s="3">
        <f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>0</v>
      </c>
      <c r="D760" s="3">
        <f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>0</v>
      </c>
      <c r="E760" s="3">
        <f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>0</v>
      </c>
      <c r="F760" s="3">
        <f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>0</v>
      </c>
      <c r="J760">
        <v>0</v>
      </c>
      <c r="K760">
        <v>0</v>
      </c>
      <c r="L760">
        <v>0</v>
      </c>
      <c r="M760">
        <f>IF(N760,TRUE,AND(Q760:U760))</f>
        <v>0</v>
      </c>
      <c r="N760">
        <f>COUNTBLANK(Metadata!B760:F760)=COLUMNS(Metadata!B760:F760)</f>
        <v>0</v>
      </c>
      <c r="O760">
        <v>0</v>
      </c>
      <c r="Q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>
        <f>AND(IF(Metadata!C760="",FALSE,TRUE),exact(Metadata!C760,"human-skin"))</f>
        <v>0</v>
      </c>
      <c r="S760">
        <f>OR(AND(IF(Metadata!D760="",FALSE,TRUE),OR(exact(Metadata!D760,"missing: not collected"),exact(Metadata!D760,"missing: not provided"))),AND(IF(Metadata!D760="",FALSE,TRUE),OR(exact(Metadata!D760,"UBERON:zone of skin"),exact(Metadata!D760,"UBERON:skin of hand"),exact(Metadata!D760,"UBERON:skin of forehead"))))</f>
        <v>0</v>
      </c>
      <c r="T760">
        <f>AND(IF(Metadata!E760="",FALSE,TRUE),exact(Metadata!E760,"human skin metagenome"))</f>
        <v>0</v>
      </c>
      <c r="U760">
        <f>AND(IF(Metadata!F760="",FALSE,TRUE),exact(Metadata!F760,"539655"))</f>
        <v>0</v>
      </c>
    </row>
    <row r="761" spans="1:21">
      <c r="A761" s="4">
        <f>IF(B761=" "," ",HYPERLINK(CONCATENATE("#metadata!",ADDRESS(INDEX($L$2:$L$1001,MATCH(ROWS($J$2:J761),$J$2:$J$1001,0),0),1)),INDEX($O$2:$O$1001,MATCH(ROWS($J$2:J761),$J$2:$J$1001,0),0)))</f>
        <v>0</v>
      </c>
      <c r="B761" s="3">
        <f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>0</v>
      </c>
      <c r="C761" s="3">
        <f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>0</v>
      </c>
      <c r="D761" s="3">
        <f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>0</v>
      </c>
      <c r="E761" s="3">
        <f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>0</v>
      </c>
      <c r="F761" s="3">
        <f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>0</v>
      </c>
      <c r="J761">
        <v>0</v>
      </c>
      <c r="K761">
        <v>0</v>
      </c>
      <c r="L761">
        <v>0</v>
      </c>
      <c r="M761">
        <f>IF(N761,TRUE,AND(Q761:U761))</f>
        <v>0</v>
      </c>
      <c r="N761">
        <f>COUNTBLANK(Metadata!B761:F761)=COLUMNS(Metadata!B761:F761)</f>
        <v>0</v>
      </c>
      <c r="O761">
        <v>0</v>
      </c>
      <c r="Q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>
        <f>AND(IF(Metadata!C761="",FALSE,TRUE),exact(Metadata!C761,"human-skin"))</f>
        <v>0</v>
      </c>
      <c r="S761">
        <f>OR(AND(IF(Metadata!D761="",FALSE,TRUE),OR(exact(Metadata!D761,"missing: not collected"),exact(Metadata!D761,"missing: not provided"))),AND(IF(Metadata!D761="",FALSE,TRUE),OR(exact(Metadata!D761,"UBERON:zone of skin"),exact(Metadata!D761,"UBERON:skin of hand"),exact(Metadata!D761,"UBERON:skin of forehead"))))</f>
        <v>0</v>
      </c>
      <c r="T761">
        <f>AND(IF(Metadata!E761="",FALSE,TRUE),exact(Metadata!E761,"human skin metagenome"))</f>
        <v>0</v>
      </c>
      <c r="U761">
        <f>AND(IF(Metadata!F761="",FALSE,TRUE),exact(Metadata!F761,"539655"))</f>
        <v>0</v>
      </c>
    </row>
    <row r="762" spans="1:21">
      <c r="A762" s="4">
        <f>IF(B762=" "," ",HYPERLINK(CONCATENATE("#metadata!",ADDRESS(INDEX($L$2:$L$1001,MATCH(ROWS($J$2:J762),$J$2:$J$1001,0),0),1)),INDEX($O$2:$O$1001,MATCH(ROWS($J$2:J762),$J$2:$J$1001,0),0)))</f>
        <v>0</v>
      </c>
      <c r="B762" s="3">
        <f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>0</v>
      </c>
      <c r="C762" s="3">
        <f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>0</v>
      </c>
      <c r="D762" s="3">
        <f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>0</v>
      </c>
      <c r="E762" s="3">
        <f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>0</v>
      </c>
      <c r="F762" s="3">
        <f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>0</v>
      </c>
      <c r="J762">
        <v>0</v>
      </c>
      <c r="K762">
        <v>0</v>
      </c>
      <c r="L762">
        <v>0</v>
      </c>
      <c r="M762">
        <f>IF(N762,TRUE,AND(Q762:U762))</f>
        <v>0</v>
      </c>
      <c r="N762">
        <f>COUNTBLANK(Metadata!B762:F762)=COLUMNS(Metadata!B762:F762)</f>
        <v>0</v>
      </c>
      <c r="O762">
        <v>0</v>
      </c>
      <c r="Q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>
        <f>AND(IF(Metadata!C762="",FALSE,TRUE),exact(Metadata!C762,"human-skin"))</f>
        <v>0</v>
      </c>
      <c r="S762">
        <f>OR(AND(IF(Metadata!D762="",FALSE,TRUE),OR(exact(Metadata!D762,"missing: not collected"),exact(Metadata!D762,"missing: not provided"))),AND(IF(Metadata!D762="",FALSE,TRUE),OR(exact(Metadata!D762,"UBERON:zone of skin"),exact(Metadata!D762,"UBERON:skin of hand"),exact(Metadata!D762,"UBERON:skin of forehead"))))</f>
        <v>0</v>
      </c>
      <c r="T762">
        <f>AND(IF(Metadata!E762="",FALSE,TRUE),exact(Metadata!E762,"human skin metagenome"))</f>
        <v>0</v>
      </c>
      <c r="U762">
        <f>AND(IF(Metadata!F762="",FALSE,TRUE),exact(Metadata!F762,"539655"))</f>
        <v>0</v>
      </c>
    </row>
    <row r="763" spans="1:21">
      <c r="A763" s="4">
        <f>IF(B763=" "," ",HYPERLINK(CONCATENATE("#metadata!",ADDRESS(INDEX($L$2:$L$1001,MATCH(ROWS($J$2:J763),$J$2:$J$1001,0),0),1)),INDEX($O$2:$O$1001,MATCH(ROWS($J$2:J763),$J$2:$J$1001,0),0)))</f>
        <v>0</v>
      </c>
      <c r="B763" s="3">
        <f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>0</v>
      </c>
      <c r="C763" s="3">
        <f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>0</v>
      </c>
      <c r="D763" s="3">
        <f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>0</v>
      </c>
      <c r="E763" s="3">
        <f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>0</v>
      </c>
      <c r="F763" s="3">
        <f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>0</v>
      </c>
      <c r="J763">
        <v>0</v>
      </c>
      <c r="K763">
        <v>0</v>
      </c>
      <c r="L763">
        <v>0</v>
      </c>
      <c r="M763">
        <f>IF(N763,TRUE,AND(Q763:U763))</f>
        <v>0</v>
      </c>
      <c r="N763">
        <f>COUNTBLANK(Metadata!B763:F763)=COLUMNS(Metadata!B763:F763)</f>
        <v>0</v>
      </c>
      <c r="O763">
        <v>0</v>
      </c>
      <c r="Q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>
        <f>AND(IF(Metadata!C763="",FALSE,TRUE),exact(Metadata!C763,"human-skin"))</f>
        <v>0</v>
      </c>
      <c r="S763">
        <f>OR(AND(IF(Metadata!D763="",FALSE,TRUE),OR(exact(Metadata!D763,"missing: not collected"),exact(Metadata!D763,"missing: not provided"))),AND(IF(Metadata!D763="",FALSE,TRUE),OR(exact(Metadata!D763,"UBERON:zone of skin"),exact(Metadata!D763,"UBERON:skin of hand"),exact(Metadata!D763,"UBERON:skin of forehead"))))</f>
        <v>0</v>
      </c>
      <c r="T763">
        <f>AND(IF(Metadata!E763="",FALSE,TRUE),exact(Metadata!E763,"human skin metagenome"))</f>
        <v>0</v>
      </c>
      <c r="U763">
        <f>AND(IF(Metadata!F763="",FALSE,TRUE),exact(Metadata!F763,"539655"))</f>
        <v>0</v>
      </c>
    </row>
    <row r="764" spans="1:21">
      <c r="A764" s="4">
        <f>IF(B764=" "," ",HYPERLINK(CONCATENATE("#metadata!",ADDRESS(INDEX($L$2:$L$1001,MATCH(ROWS($J$2:J764),$J$2:$J$1001,0),0),1)),INDEX($O$2:$O$1001,MATCH(ROWS($J$2:J764),$J$2:$J$1001,0),0)))</f>
        <v>0</v>
      </c>
      <c r="B764" s="3">
        <f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>0</v>
      </c>
      <c r="C764" s="3">
        <f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>0</v>
      </c>
      <c r="D764" s="3">
        <f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>0</v>
      </c>
      <c r="E764" s="3">
        <f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>0</v>
      </c>
      <c r="F764" s="3">
        <f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>0</v>
      </c>
      <c r="J764">
        <v>0</v>
      </c>
      <c r="K764">
        <v>0</v>
      </c>
      <c r="L764">
        <v>0</v>
      </c>
      <c r="M764">
        <f>IF(N764,TRUE,AND(Q764:U764))</f>
        <v>0</v>
      </c>
      <c r="N764">
        <f>COUNTBLANK(Metadata!B764:F764)=COLUMNS(Metadata!B764:F764)</f>
        <v>0</v>
      </c>
      <c r="O764">
        <v>0</v>
      </c>
      <c r="Q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>
        <f>AND(IF(Metadata!C764="",FALSE,TRUE),exact(Metadata!C764,"human-skin"))</f>
        <v>0</v>
      </c>
      <c r="S764">
        <f>OR(AND(IF(Metadata!D764="",FALSE,TRUE),OR(exact(Metadata!D764,"missing: not collected"),exact(Metadata!D764,"missing: not provided"))),AND(IF(Metadata!D764="",FALSE,TRUE),OR(exact(Metadata!D764,"UBERON:zone of skin"),exact(Metadata!D764,"UBERON:skin of hand"),exact(Metadata!D764,"UBERON:skin of forehead"))))</f>
        <v>0</v>
      </c>
      <c r="T764">
        <f>AND(IF(Metadata!E764="",FALSE,TRUE),exact(Metadata!E764,"human skin metagenome"))</f>
        <v>0</v>
      </c>
      <c r="U764">
        <f>AND(IF(Metadata!F764="",FALSE,TRUE),exact(Metadata!F764,"539655"))</f>
        <v>0</v>
      </c>
    </row>
    <row r="765" spans="1:21">
      <c r="A765" s="4">
        <f>IF(B765=" "," ",HYPERLINK(CONCATENATE("#metadata!",ADDRESS(INDEX($L$2:$L$1001,MATCH(ROWS($J$2:J765),$J$2:$J$1001,0),0),1)),INDEX($O$2:$O$1001,MATCH(ROWS($J$2:J765),$J$2:$J$1001,0),0)))</f>
        <v>0</v>
      </c>
      <c r="B765" s="3">
        <f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>0</v>
      </c>
      <c r="C765" s="3">
        <f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>0</v>
      </c>
      <c r="D765" s="3">
        <f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>0</v>
      </c>
      <c r="E765" s="3">
        <f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>0</v>
      </c>
      <c r="F765" s="3">
        <f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>0</v>
      </c>
      <c r="J765">
        <v>0</v>
      </c>
      <c r="K765">
        <v>0</v>
      </c>
      <c r="L765">
        <v>0</v>
      </c>
      <c r="M765">
        <f>IF(N765,TRUE,AND(Q765:U765))</f>
        <v>0</v>
      </c>
      <c r="N765">
        <f>COUNTBLANK(Metadata!B765:F765)=COLUMNS(Metadata!B765:F765)</f>
        <v>0</v>
      </c>
      <c r="O765">
        <v>0</v>
      </c>
      <c r="Q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>
        <f>AND(IF(Metadata!C765="",FALSE,TRUE),exact(Metadata!C765,"human-skin"))</f>
        <v>0</v>
      </c>
      <c r="S765">
        <f>OR(AND(IF(Metadata!D765="",FALSE,TRUE),OR(exact(Metadata!D765,"missing: not collected"),exact(Metadata!D765,"missing: not provided"))),AND(IF(Metadata!D765="",FALSE,TRUE),OR(exact(Metadata!D765,"UBERON:zone of skin"),exact(Metadata!D765,"UBERON:skin of hand"),exact(Metadata!D765,"UBERON:skin of forehead"))))</f>
        <v>0</v>
      </c>
      <c r="T765">
        <f>AND(IF(Metadata!E765="",FALSE,TRUE),exact(Metadata!E765,"human skin metagenome"))</f>
        <v>0</v>
      </c>
      <c r="U765">
        <f>AND(IF(Metadata!F765="",FALSE,TRUE),exact(Metadata!F765,"539655"))</f>
        <v>0</v>
      </c>
    </row>
    <row r="766" spans="1:21">
      <c r="A766" s="4">
        <f>IF(B766=" "," ",HYPERLINK(CONCATENATE("#metadata!",ADDRESS(INDEX($L$2:$L$1001,MATCH(ROWS($J$2:J766),$J$2:$J$1001,0),0),1)),INDEX($O$2:$O$1001,MATCH(ROWS($J$2:J766),$J$2:$J$1001,0),0)))</f>
        <v>0</v>
      </c>
      <c r="B766" s="3">
        <f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>0</v>
      </c>
      <c r="C766" s="3">
        <f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>0</v>
      </c>
      <c r="D766" s="3">
        <f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>0</v>
      </c>
      <c r="E766" s="3">
        <f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>0</v>
      </c>
      <c r="F766" s="3">
        <f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>0</v>
      </c>
      <c r="J766">
        <v>0</v>
      </c>
      <c r="K766">
        <v>0</v>
      </c>
      <c r="L766">
        <v>0</v>
      </c>
      <c r="M766">
        <f>IF(N766,TRUE,AND(Q766:U766))</f>
        <v>0</v>
      </c>
      <c r="N766">
        <f>COUNTBLANK(Metadata!B766:F766)=COLUMNS(Metadata!B766:F766)</f>
        <v>0</v>
      </c>
      <c r="O766">
        <v>0</v>
      </c>
      <c r="Q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>
        <f>AND(IF(Metadata!C766="",FALSE,TRUE),exact(Metadata!C766,"human-skin"))</f>
        <v>0</v>
      </c>
      <c r="S766">
        <f>OR(AND(IF(Metadata!D766="",FALSE,TRUE),OR(exact(Metadata!D766,"missing: not collected"),exact(Metadata!D766,"missing: not provided"))),AND(IF(Metadata!D766="",FALSE,TRUE),OR(exact(Metadata!D766,"UBERON:zone of skin"),exact(Metadata!D766,"UBERON:skin of hand"),exact(Metadata!D766,"UBERON:skin of forehead"))))</f>
        <v>0</v>
      </c>
      <c r="T766">
        <f>AND(IF(Metadata!E766="",FALSE,TRUE),exact(Metadata!E766,"human skin metagenome"))</f>
        <v>0</v>
      </c>
      <c r="U766">
        <f>AND(IF(Metadata!F766="",FALSE,TRUE),exact(Metadata!F766,"539655"))</f>
        <v>0</v>
      </c>
    </row>
    <row r="767" spans="1:21">
      <c r="A767" s="4">
        <f>IF(B767=" "," ",HYPERLINK(CONCATENATE("#metadata!",ADDRESS(INDEX($L$2:$L$1001,MATCH(ROWS($J$2:J767),$J$2:$J$1001,0),0),1)),INDEX($O$2:$O$1001,MATCH(ROWS($J$2:J767),$J$2:$J$1001,0),0)))</f>
        <v>0</v>
      </c>
      <c r="B767" s="3">
        <f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>0</v>
      </c>
      <c r="C767" s="3">
        <f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>0</v>
      </c>
      <c r="D767" s="3">
        <f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>0</v>
      </c>
      <c r="E767" s="3">
        <f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>0</v>
      </c>
      <c r="F767" s="3">
        <f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>0</v>
      </c>
      <c r="J767">
        <v>0</v>
      </c>
      <c r="K767">
        <v>0</v>
      </c>
      <c r="L767">
        <v>0</v>
      </c>
      <c r="M767">
        <f>IF(N767,TRUE,AND(Q767:U767))</f>
        <v>0</v>
      </c>
      <c r="N767">
        <f>COUNTBLANK(Metadata!B767:F767)=COLUMNS(Metadata!B767:F767)</f>
        <v>0</v>
      </c>
      <c r="O767">
        <v>0</v>
      </c>
      <c r="Q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>
        <f>AND(IF(Metadata!C767="",FALSE,TRUE),exact(Metadata!C767,"human-skin"))</f>
        <v>0</v>
      </c>
      <c r="S767">
        <f>OR(AND(IF(Metadata!D767="",FALSE,TRUE),OR(exact(Metadata!D767,"missing: not collected"),exact(Metadata!D767,"missing: not provided"))),AND(IF(Metadata!D767="",FALSE,TRUE),OR(exact(Metadata!D767,"UBERON:zone of skin"),exact(Metadata!D767,"UBERON:skin of hand"),exact(Metadata!D767,"UBERON:skin of forehead"))))</f>
        <v>0</v>
      </c>
      <c r="T767">
        <f>AND(IF(Metadata!E767="",FALSE,TRUE),exact(Metadata!E767,"human skin metagenome"))</f>
        <v>0</v>
      </c>
      <c r="U767">
        <f>AND(IF(Metadata!F767="",FALSE,TRUE),exact(Metadata!F767,"539655"))</f>
        <v>0</v>
      </c>
    </row>
    <row r="768" spans="1:21">
      <c r="A768" s="4">
        <f>IF(B768=" "," ",HYPERLINK(CONCATENATE("#metadata!",ADDRESS(INDEX($L$2:$L$1001,MATCH(ROWS($J$2:J768),$J$2:$J$1001,0),0),1)),INDEX($O$2:$O$1001,MATCH(ROWS($J$2:J768),$J$2:$J$1001,0),0)))</f>
        <v>0</v>
      </c>
      <c r="B768" s="3">
        <f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>0</v>
      </c>
      <c r="C768" s="3">
        <f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>0</v>
      </c>
      <c r="D768" s="3">
        <f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>0</v>
      </c>
      <c r="E768" s="3">
        <f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>0</v>
      </c>
      <c r="F768" s="3">
        <f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>0</v>
      </c>
      <c r="J768">
        <v>0</v>
      </c>
      <c r="K768">
        <v>0</v>
      </c>
      <c r="L768">
        <v>0</v>
      </c>
      <c r="M768">
        <f>IF(N768,TRUE,AND(Q768:U768))</f>
        <v>0</v>
      </c>
      <c r="N768">
        <f>COUNTBLANK(Metadata!B768:F768)=COLUMNS(Metadata!B768:F768)</f>
        <v>0</v>
      </c>
      <c r="O768">
        <v>0</v>
      </c>
      <c r="Q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>
        <f>AND(IF(Metadata!C768="",FALSE,TRUE),exact(Metadata!C768,"human-skin"))</f>
        <v>0</v>
      </c>
      <c r="S768">
        <f>OR(AND(IF(Metadata!D768="",FALSE,TRUE),OR(exact(Metadata!D768,"missing: not collected"),exact(Metadata!D768,"missing: not provided"))),AND(IF(Metadata!D768="",FALSE,TRUE),OR(exact(Metadata!D768,"UBERON:zone of skin"),exact(Metadata!D768,"UBERON:skin of hand"),exact(Metadata!D768,"UBERON:skin of forehead"))))</f>
        <v>0</v>
      </c>
      <c r="T768">
        <f>AND(IF(Metadata!E768="",FALSE,TRUE),exact(Metadata!E768,"human skin metagenome"))</f>
        <v>0</v>
      </c>
      <c r="U768">
        <f>AND(IF(Metadata!F768="",FALSE,TRUE),exact(Metadata!F768,"539655"))</f>
        <v>0</v>
      </c>
    </row>
    <row r="769" spans="1:21">
      <c r="A769" s="4">
        <f>IF(B769=" "," ",HYPERLINK(CONCATENATE("#metadata!",ADDRESS(INDEX($L$2:$L$1001,MATCH(ROWS($J$2:J769),$J$2:$J$1001,0),0),1)),INDEX($O$2:$O$1001,MATCH(ROWS($J$2:J769),$J$2:$J$1001,0),0)))</f>
        <v>0</v>
      </c>
      <c r="B769" s="3">
        <f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>0</v>
      </c>
      <c r="C769" s="3">
        <f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>0</v>
      </c>
      <c r="D769" s="3">
        <f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>0</v>
      </c>
      <c r="E769" s="3">
        <f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>0</v>
      </c>
      <c r="F769" s="3">
        <f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>0</v>
      </c>
      <c r="J769">
        <v>0</v>
      </c>
      <c r="K769">
        <v>0</v>
      </c>
      <c r="L769">
        <v>0</v>
      </c>
      <c r="M769">
        <f>IF(N769,TRUE,AND(Q769:U769))</f>
        <v>0</v>
      </c>
      <c r="N769">
        <f>COUNTBLANK(Metadata!B769:F769)=COLUMNS(Metadata!B769:F769)</f>
        <v>0</v>
      </c>
      <c r="O769">
        <v>0</v>
      </c>
      <c r="Q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>
        <f>AND(IF(Metadata!C769="",FALSE,TRUE),exact(Metadata!C769,"human-skin"))</f>
        <v>0</v>
      </c>
      <c r="S769">
        <f>OR(AND(IF(Metadata!D769="",FALSE,TRUE),OR(exact(Metadata!D769,"missing: not collected"),exact(Metadata!D769,"missing: not provided"))),AND(IF(Metadata!D769="",FALSE,TRUE),OR(exact(Metadata!D769,"UBERON:zone of skin"),exact(Metadata!D769,"UBERON:skin of hand"),exact(Metadata!D769,"UBERON:skin of forehead"))))</f>
        <v>0</v>
      </c>
      <c r="T769">
        <f>AND(IF(Metadata!E769="",FALSE,TRUE),exact(Metadata!E769,"human skin metagenome"))</f>
        <v>0</v>
      </c>
      <c r="U769">
        <f>AND(IF(Metadata!F769="",FALSE,TRUE),exact(Metadata!F769,"539655"))</f>
        <v>0</v>
      </c>
    </row>
    <row r="770" spans="1:21">
      <c r="A770" s="4">
        <f>IF(B770=" "," ",HYPERLINK(CONCATENATE("#metadata!",ADDRESS(INDEX($L$2:$L$1001,MATCH(ROWS($J$2:J770),$J$2:$J$1001,0),0),1)),INDEX($O$2:$O$1001,MATCH(ROWS($J$2:J770),$J$2:$J$1001,0),0)))</f>
        <v>0</v>
      </c>
      <c r="B770" s="3">
        <f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>0</v>
      </c>
      <c r="C770" s="3">
        <f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>0</v>
      </c>
      <c r="D770" s="3">
        <f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>0</v>
      </c>
      <c r="E770" s="3">
        <f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>0</v>
      </c>
      <c r="F770" s="3">
        <f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>0</v>
      </c>
      <c r="J770">
        <v>0</v>
      </c>
      <c r="K770">
        <v>0</v>
      </c>
      <c r="L770">
        <v>0</v>
      </c>
      <c r="M770">
        <f>IF(N770,TRUE,AND(Q770:U770))</f>
        <v>0</v>
      </c>
      <c r="N770">
        <f>COUNTBLANK(Metadata!B770:F770)=COLUMNS(Metadata!B770:F770)</f>
        <v>0</v>
      </c>
      <c r="O770">
        <v>0</v>
      </c>
      <c r="Q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>
        <f>AND(IF(Metadata!C770="",FALSE,TRUE),exact(Metadata!C770,"human-skin"))</f>
        <v>0</v>
      </c>
      <c r="S770">
        <f>OR(AND(IF(Metadata!D770="",FALSE,TRUE),OR(exact(Metadata!D770,"missing: not collected"),exact(Metadata!D770,"missing: not provided"))),AND(IF(Metadata!D770="",FALSE,TRUE),OR(exact(Metadata!D770,"UBERON:zone of skin"),exact(Metadata!D770,"UBERON:skin of hand"),exact(Metadata!D770,"UBERON:skin of forehead"))))</f>
        <v>0</v>
      </c>
      <c r="T770">
        <f>AND(IF(Metadata!E770="",FALSE,TRUE),exact(Metadata!E770,"human skin metagenome"))</f>
        <v>0</v>
      </c>
      <c r="U770">
        <f>AND(IF(Metadata!F770="",FALSE,TRUE),exact(Metadata!F770,"539655"))</f>
        <v>0</v>
      </c>
    </row>
    <row r="771" spans="1:21">
      <c r="A771" s="4">
        <f>IF(B771=" "," ",HYPERLINK(CONCATENATE("#metadata!",ADDRESS(INDEX($L$2:$L$1001,MATCH(ROWS($J$2:J771),$J$2:$J$1001,0),0),1)),INDEX($O$2:$O$1001,MATCH(ROWS($J$2:J771),$J$2:$J$1001,0),0)))</f>
        <v>0</v>
      </c>
      <c r="B771" s="3">
        <f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>0</v>
      </c>
      <c r="C771" s="3">
        <f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>0</v>
      </c>
      <c r="D771" s="3">
        <f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>0</v>
      </c>
      <c r="E771" s="3">
        <f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>0</v>
      </c>
      <c r="F771" s="3">
        <f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>0</v>
      </c>
      <c r="J771">
        <v>0</v>
      </c>
      <c r="K771">
        <v>0</v>
      </c>
      <c r="L771">
        <v>0</v>
      </c>
      <c r="M771">
        <f>IF(N771,TRUE,AND(Q771:U771))</f>
        <v>0</v>
      </c>
      <c r="N771">
        <f>COUNTBLANK(Metadata!B771:F771)=COLUMNS(Metadata!B771:F771)</f>
        <v>0</v>
      </c>
      <c r="O771">
        <v>0</v>
      </c>
      <c r="Q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>
        <f>AND(IF(Metadata!C771="",FALSE,TRUE),exact(Metadata!C771,"human-skin"))</f>
        <v>0</v>
      </c>
      <c r="S771">
        <f>OR(AND(IF(Metadata!D771="",FALSE,TRUE),OR(exact(Metadata!D771,"missing: not collected"),exact(Metadata!D771,"missing: not provided"))),AND(IF(Metadata!D771="",FALSE,TRUE),OR(exact(Metadata!D771,"UBERON:zone of skin"),exact(Metadata!D771,"UBERON:skin of hand"),exact(Metadata!D771,"UBERON:skin of forehead"))))</f>
        <v>0</v>
      </c>
      <c r="T771">
        <f>AND(IF(Metadata!E771="",FALSE,TRUE),exact(Metadata!E771,"human skin metagenome"))</f>
        <v>0</v>
      </c>
      <c r="U771">
        <f>AND(IF(Metadata!F771="",FALSE,TRUE),exact(Metadata!F771,"539655"))</f>
        <v>0</v>
      </c>
    </row>
    <row r="772" spans="1:21">
      <c r="A772" s="4">
        <f>IF(B772=" "," ",HYPERLINK(CONCATENATE("#metadata!",ADDRESS(INDEX($L$2:$L$1001,MATCH(ROWS($J$2:J772),$J$2:$J$1001,0),0),1)),INDEX($O$2:$O$1001,MATCH(ROWS($J$2:J772),$J$2:$J$1001,0),0)))</f>
        <v>0</v>
      </c>
      <c r="B772" s="3">
        <f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>0</v>
      </c>
      <c r="C772" s="3">
        <f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>0</v>
      </c>
      <c r="D772" s="3">
        <f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>0</v>
      </c>
      <c r="E772" s="3">
        <f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>0</v>
      </c>
      <c r="F772" s="3">
        <f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>0</v>
      </c>
      <c r="J772">
        <v>0</v>
      </c>
      <c r="K772">
        <v>0</v>
      </c>
      <c r="L772">
        <v>0</v>
      </c>
      <c r="M772">
        <f>IF(N772,TRUE,AND(Q772:U772))</f>
        <v>0</v>
      </c>
      <c r="N772">
        <f>COUNTBLANK(Metadata!B772:F772)=COLUMNS(Metadata!B772:F772)</f>
        <v>0</v>
      </c>
      <c r="O772">
        <v>0</v>
      </c>
      <c r="Q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>
        <f>AND(IF(Metadata!C772="",FALSE,TRUE),exact(Metadata!C772,"human-skin"))</f>
        <v>0</v>
      </c>
      <c r="S772">
        <f>OR(AND(IF(Metadata!D772="",FALSE,TRUE),OR(exact(Metadata!D772,"missing: not collected"),exact(Metadata!D772,"missing: not provided"))),AND(IF(Metadata!D772="",FALSE,TRUE),OR(exact(Metadata!D772,"UBERON:zone of skin"),exact(Metadata!D772,"UBERON:skin of hand"),exact(Metadata!D772,"UBERON:skin of forehead"))))</f>
        <v>0</v>
      </c>
      <c r="T772">
        <f>AND(IF(Metadata!E772="",FALSE,TRUE),exact(Metadata!E772,"human skin metagenome"))</f>
        <v>0</v>
      </c>
      <c r="U772">
        <f>AND(IF(Metadata!F772="",FALSE,TRUE),exact(Metadata!F772,"539655"))</f>
        <v>0</v>
      </c>
    </row>
    <row r="773" spans="1:21">
      <c r="A773" s="4">
        <f>IF(B773=" "," ",HYPERLINK(CONCATENATE("#metadata!",ADDRESS(INDEX($L$2:$L$1001,MATCH(ROWS($J$2:J773),$J$2:$J$1001,0),0),1)),INDEX($O$2:$O$1001,MATCH(ROWS($J$2:J773),$J$2:$J$1001,0),0)))</f>
        <v>0</v>
      </c>
      <c r="B773" s="3">
        <f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>0</v>
      </c>
      <c r="C773" s="3">
        <f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>0</v>
      </c>
      <c r="D773" s="3">
        <f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>0</v>
      </c>
      <c r="E773" s="3">
        <f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>0</v>
      </c>
      <c r="F773" s="3">
        <f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>0</v>
      </c>
      <c r="J773">
        <v>0</v>
      </c>
      <c r="K773">
        <v>0</v>
      </c>
      <c r="L773">
        <v>0</v>
      </c>
      <c r="M773">
        <f>IF(N773,TRUE,AND(Q773:U773))</f>
        <v>0</v>
      </c>
      <c r="N773">
        <f>COUNTBLANK(Metadata!B773:F773)=COLUMNS(Metadata!B773:F773)</f>
        <v>0</v>
      </c>
      <c r="O773">
        <v>0</v>
      </c>
      <c r="Q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>
        <f>AND(IF(Metadata!C773="",FALSE,TRUE),exact(Metadata!C773,"human-skin"))</f>
        <v>0</v>
      </c>
      <c r="S773">
        <f>OR(AND(IF(Metadata!D773="",FALSE,TRUE),OR(exact(Metadata!D773,"missing: not collected"),exact(Metadata!D773,"missing: not provided"))),AND(IF(Metadata!D773="",FALSE,TRUE),OR(exact(Metadata!D773,"UBERON:zone of skin"),exact(Metadata!D773,"UBERON:skin of hand"),exact(Metadata!D773,"UBERON:skin of forehead"))))</f>
        <v>0</v>
      </c>
      <c r="T773">
        <f>AND(IF(Metadata!E773="",FALSE,TRUE),exact(Metadata!E773,"human skin metagenome"))</f>
        <v>0</v>
      </c>
      <c r="U773">
        <f>AND(IF(Metadata!F773="",FALSE,TRUE),exact(Metadata!F773,"539655"))</f>
        <v>0</v>
      </c>
    </row>
    <row r="774" spans="1:21">
      <c r="A774" s="4">
        <f>IF(B774=" "," ",HYPERLINK(CONCATENATE("#metadata!",ADDRESS(INDEX($L$2:$L$1001,MATCH(ROWS($J$2:J774),$J$2:$J$1001,0),0),1)),INDEX($O$2:$O$1001,MATCH(ROWS($J$2:J774),$J$2:$J$1001,0),0)))</f>
        <v>0</v>
      </c>
      <c r="B774" s="3">
        <f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>0</v>
      </c>
      <c r="C774" s="3">
        <f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>0</v>
      </c>
      <c r="D774" s="3">
        <f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>0</v>
      </c>
      <c r="E774" s="3">
        <f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>0</v>
      </c>
      <c r="F774" s="3">
        <f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>0</v>
      </c>
      <c r="J774">
        <v>0</v>
      </c>
      <c r="K774">
        <v>0</v>
      </c>
      <c r="L774">
        <v>0</v>
      </c>
      <c r="M774">
        <f>IF(N774,TRUE,AND(Q774:U774))</f>
        <v>0</v>
      </c>
      <c r="N774">
        <f>COUNTBLANK(Metadata!B774:F774)=COLUMNS(Metadata!B774:F774)</f>
        <v>0</v>
      </c>
      <c r="O774">
        <v>0</v>
      </c>
      <c r="Q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>
        <f>AND(IF(Metadata!C774="",FALSE,TRUE),exact(Metadata!C774,"human-skin"))</f>
        <v>0</v>
      </c>
      <c r="S774">
        <f>OR(AND(IF(Metadata!D774="",FALSE,TRUE),OR(exact(Metadata!D774,"missing: not collected"),exact(Metadata!D774,"missing: not provided"))),AND(IF(Metadata!D774="",FALSE,TRUE),OR(exact(Metadata!D774,"UBERON:zone of skin"),exact(Metadata!D774,"UBERON:skin of hand"),exact(Metadata!D774,"UBERON:skin of forehead"))))</f>
        <v>0</v>
      </c>
      <c r="T774">
        <f>AND(IF(Metadata!E774="",FALSE,TRUE),exact(Metadata!E774,"human skin metagenome"))</f>
        <v>0</v>
      </c>
      <c r="U774">
        <f>AND(IF(Metadata!F774="",FALSE,TRUE),exact(Metadata!F774,"539655"))</f>
        <v>0</v>
      </c>
    </row>
    <row r="775" spans="1:21">
      <c r="A775" s="4">
        <f>IF(B775=" "," ",HYPERLINK(CONCATENATE("#metadata!",ADDRESS(INDEX($L$2:$L$1001,MATCH(ROWS($J$2:J775),$J$2:$J$1001,0),0),1)),INDEX($O$2:$O$1001,MATCH(ROWS($J$2:J775),$J$2:$J$1001,0),0)))</f>
        <v>0</v>
      </c>
      <c r="B775" s="3">
        <f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>0</v>
      </c>
      <c r="C775" s="3">
        <f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>0</v>
      </c>
      <c r="D775" s="3">
        <f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>0</v>
      </c>
      <c r="E775" s="3">
        <f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>0</v>
      </c>
      <c r="F775" s="3">
        <f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>0</v>
      </c>
      <c r="J775">
        <v>0</v>
      </c>
      <c r="K775">
        <v>0</v>
      </c>
      <c r="L775">
        <v>0</v>
      </c>
      <c r="M775">
        <f>IF(N775,TRUE,AND(Q775:U775))</f>
        <v>0</v>
      </c>
      <c r="N775">
        <f>COUNTBLANK(Metadata!B775:F775)=COLUMNS(Metadata!B775:F775)</f>
        <v>0</v>
      </c>
      <c r="O775">
        <v>0</v>
      </c>
      <c r="Q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>
        <f>AND(IF(Metadata!C775="",FALSE,TRUE),exact(Metadata!C775,"human-skin"))</f>
        <v>0</v>
      </c>
      <c r="S775">
        <f>OR(AND(IF(Metadata!D775="",FALSE,TRUE),OR(exact(Metadata!D775,"missing: not collected"),exact(Metadata!D775,"missing: not provided"))),AND(IF(Metadata!D775="",FALSE,TRUE),OR(exact(Metadata!D775,"UBERON:zone of skin"),exact(Metadata!D775,"UBERON:skin of hand"),exact(Metadata!D775,"UBERON:skin of forehead"))))</f>
        <v>0</v>
      </c>
      <c r="T775">
        <f>AND(IF(Metadata!E775="",FALSE,TRUE),exact(Metadata!E775,"human skin metagenome"))</f>
        <v>0</v>
      </c>
      <c r="U775">
        <f>AND(IF(Metadata!F775="",FALSE,TRUE),exact(Metadata!F775,"539655"))</f>
        <v>0</v>
      </c>
    </row>
    <row r="776" spans="1:21">
      <c r="A776" s="4">
        <f>IF(B776=" "," ",HYPERLINK(CONCATENATE("#metadata!",ADDRESS(INDEX($L$2:$L$1001,MATCH(ROWS($J$2:J776),$J$2:$J$1001,0),0),1)),INDEX($O$2:$O$1001,MATCH(ROWS($J$2:J776),$J$2:$J$1001,0),0)))</f>
        <v>0</v>
      </c>
      <c r="B776" s="3">
        <f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>0</v>
      </c>
      <c r="C776" s="3">
        <f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>0</v>
      </c>
      <c r="D776" s="3">
        <f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>0</v>
      </c>
      <c r="E776" s="3">
        <f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>0</v>
      </c>
      <c r="F776" s="3">
        <f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>0</v>
      </c>
      <c r="J776">
        <v>0</v>
      </c>
      <c r="K776">
        <v>0</v>
      </c>
      <c r="L776">
        <v>0</v>
      </c>
      <c r="M776">
        <f>IF(N776,TRUE,AND(Q776:U776))</f>
        <v>0</v>
      </c>
      <c r="N776">
        <f>COUNTBLANK(Metadata!B776:F776)=COLUMNS(Metadata!B776:F776)</f>
        <v>0</v>
      </c>
      <c r="O776">
        <v>0</v>
      </c>
      <c r="Q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>
        <f>AND(IF(Metadata!C776="",FALSE,TRUE),exact(Metadata!C776,"human-skin"))</f>
        <v>0</v>
      </c>
      <c r="S776">
        <f>OR(AND(IF(Metadata!D776="",FALSE,TRUE),OR(exact(Metadata!D776,"missing: not collected"),exact(Metadata!D776,"missing: not provided"))),AND(IF(Metadata!D776="",FALSE,TRUE),OR(exact(Metadata!D776,"UBERON:zone of skin"),exact(Metadata!D776,"UBERON:skin of hand"),exact(Metadata!D776,"UBERON:skin of forehead"))))</f>
        <v>0</v>
      </c>
      <c r="T776">
        <f>AND(IF(Metadata!E776="",FALSE,TRUE),exact(Metadata!E776,"human skin metagenome"))</f>
        <v>0</v>
      </c>
      <c r="U776">
        <f>AND(IF(Metadata!F776="",FALSE,TRUE),exact(Metadata!F776,"539655"))</f>
        <v>0</v>
      </c>
    </row>
    <row r="777" spans="1:21">
      <c r="A777" s="4">
        <f>IF(B777=" "," ",HYPERLINK(CONCATENATE("#metadata!",ADDRESS(INDEX($L$2:$L$1001,MATCH(ROWS($J$2:J777),$J$2:$J$1001,0),0),1)),INDEX($O$2:$O$1001,MATCH(ROWS($J$2:J777),$J$2:$J$1001,0),0)))</f>
        <v>0</v>
      </c>
      <c r="B777" s="3">
        <f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>0</v>
      </c>
      <c r="C777" s="3">
        <f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>0</v>
      </c>
      <c r="D777" s="3">
        <f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>0</v>
      </c>
      <c r="E777" s="3">
        <f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>0</v>
      </c>
      <c r="F777" s="3">
        <f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>0</v>
      </c>
      <c r="J777">
        <v>0</v>
      </c>
      <c r="K777">
        <v>0</v>
      </c>
      <c r="L777">
        <v>0</v>
      </c>
      <c r="M777">
        <f>IF(N777,TRUE,AND(Q777:U777))</f>
        <v>0</v>
      </c>
      <c r="N777">
        <f>COUNTBLANK(Metadata!B777:F777)=COLUMNS(Metadata!B777:F777)</f>
        <v>0</v>
      </c>
      <c r="O777">
        <v>0</v>
      </c>
      <c r="Q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>
        <f>AND(IF(Metadata!C777="",FALSE,TRUE),exact(Metadata!C777,"human-skin"))</f>
        <v>0</v>
      </c>
      <c r="S777">
        <f>OR(AND(IF(Metadata!D777="",FALSE,TRUE),OR(exact(Metadata!D777,"missing: not collected"),exact(Metadata!D777,"missing: not provided"))),AND(IF(Metadata!D777="",FALSE,TRUE),OR(exact(Metadata!D777,"UBERON:zone of skin"),exact(Metadata!D777,"UBERON:skin of hand"),exact(Metadata!D777,"UBERON:skin of forehead"))))</f>
        <v>0</v>
      </c>
      <c r="T777">
        <f>AND(IF(Metadata!E777="",FALSE,TRUE),exact(Metadata!E777,"human skin metagenome"))</f>
        <v>0</v>
      </c>
      <c r="U777">
        <f>AND(IF(Metadata!F777="",FALSE,TRUE),exact(Metadata!F777,"539655"))</f>
        <v>0</v>
      </c>
    </row>
    <row r="778" spans="1:21">
      <c r="A778" s="4">
        <f>IF(B778=" "," ",HYPERLINK(CONCATENATE("#metadata!",ADDRESS(INDEX($L$2:$L$1001,MATCH(ROWS($J$2:J778),$J$2:$J$1001,0),0),1)),INDEX($O$2:$O$1001,MATCH(ROWS($J$2:J778),$J$2:$J$1001,0),0)))</f>
        <v>0</v>
      </c>
      <c r="B778" s="3">
        <f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>0</v>
      </c>
      <c r="C778" s="3">
        <f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>0</v>
      </c>
      <c r="D778" s="3">
        <f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>0</v>
      </c>
      <c r="E778" s="3">
        <f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>0</v>
      </c>
      <c r="F778" s="3">
        <f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>0</v>
      </c>
      <c r="J778">
        <v>0</v>
      </c>
      <c r="K778">
        <v>0</v>
      </c>
      <c r="L778">
        <v>0</v>
      </c>
      <c r="M778">
        <f>IF(N778,TRUE,AND(Q778:U778))</f>
        <v>0</v>
      </c>
      <c r="N778">
        <f>COUNTBLANK(Metadata!B778:F778)=COLUMNS(Metadata!B778:F778)</f>
        <v>0</v>
      </c>
      <c r="O778">
        <v>0</v>
      </c>
      <c r="Q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>
        <f>AND(IF(Metadata!C778="",FALSE,TRUE),exact(Metadata!C778,"human-skin"))</f>
        <v>0</v>
      </c>
      <c r="S778">
        <f>OR(AND(IF(Metadata!D778="",FALSE,TRUE),OR(exact(Metadata!D778,"missing: not collected"),exact(Metadata!D778,"missing: not provided"))),AND(IF(Metadata!D778="",FALSE,TRUE),OR(exact(Metadata!D778,"UBERON:zone of skin"),exact(Metadata!D778,"UBERON:skin of hand"),exact(Metadata!D778,"UBERON:skin of forehead"))))</f>
        <v>0</v>
      </c>
      <c r="T778">
        <f>AND(IF(Metadata!E778="",FALSE,TRUE),exact(Metadata!E778,"human skin metagenome"))</f>
        <v>0</v>
      </c>
      <c r="U778">
        <f>AND(IF(Metadata!F778="",FALSE,TRUE),exact(Metadata!F778,"539655"))</f>
        <v>0</v>
      </c>
    </row>
    <row r="779" spans="1:21">
      <c r="A779" s="4">
        <f>IF(B779=" "," ",HYPERLINK(CONCATENATE("#metadata!",ADDRESS(INDEX($L$2:$L$1001,MATCH(ROWS($J$2:J779),$J$2:$J$1001,0),0),1)),INDEX($O$2:$O$1001,MATCH(ROWS($J$2:J779),$J$2:$J$1001,0),0)))</f>
        <v>0</v>
      </c>
      <c r="B779" s="3">
        <f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>0</v>
      </c>
      <c r="C779" s="3">
        <f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>0</v>
      </c>
      <c r="D779" s="3">
        <f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>0</v>
      </c>
      <c r="E779" s="3">
        <f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>0</v>
      </c>
      <c r="F779" s="3">
        <f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>0</v>
      </c>
      <c r="J779">
        <v>0</v>
      </c>
      <c r="K779">
        <v>0</v>
      </c>
      <c r="L779">
        <v>0</v>
      </c>
      <c r="M779">
        <f>IF(N779,TRUE,AND(Q779:U779))</f>
        <v>0</v>
      </c>
      <c r="N779">
        <f>COUNTBLANK(Metadata!B779:F779)=COLUMNS(Metadata!B779:F779)</f>
        <v>0</v>
      </c>
      <c r="O779">
        <v>0</v>
      </c>
      <c r="Q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>
        <f>AND(IF(Metadata!C779="",FALSE,TRUE),exact(Metadata!C779,"human-skin"))</f>
        <v>0</v>
      </c>
      <c r="S779">
        <f>OR(AND(IF(Metadata!D779="",FALSE,TRUE),OR(exact(Metadata!D779,"missing: not collected"),exact(Metadata!D779,"missing: not provided"))),AND(IF(Metadata!D779="",FALSE,TRUE),OR(exact(Metadata!D779,"UBERON:zone of skin"),exact(Metadata!D779,"UBERON:skin of hand"),exact(Metadata!D779,"UBERON:skin of forehead"))))</f>
        <v>0</v>
      </c>
      <c r="T779">
        <f>AND(IF(Metadata!E779="",FALSE,TRUE),exact(Metadata!E779,"human skin metagenome"))</f>
        <v>0</v>
      </c>
      <c r="U779">
        <f>AND(IF(Metadata!F779="",FALSE,TRUE),exact(Metadata!F779,"539655"))</f>
        <v>0</v>
      </c>
    </row>
    <row r="780" spans="1:21">
      <c r="A780" s="4">
        <f>IF(B780=" "," ",HYPERLINK(CONCATENATE("#metadata!",ADDRESS(INDEX($L$2:$L$1001,MATCH(ROWS($J$2:J780),$J$2:$J$1001,0),0),1)),INDEX($O$2:$O$1001,MATCH(ROWS($J$2:J780),$J$2:$J$1001,0),0)))</f>
        <v>0</v>
      </c>
      <c r="B780" s="3">
        <f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>0</v>
      </c>
      <c r="C780" s="3">
        <f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>0</v>
      </c>
      <c r="D780" s="3">
        <f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>0</v>
      </c>
      <c r="E780" s="3">
        <f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>0</v>
      </c>
      <c r="F780" s="3">
        <f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>0</v>
      </c>
      <c r="J780">
        <v>0</v>
      </c>
      <c r="K780">
        <v>0</v>
      </c>
      <c r="L780">
        <v>0</v>
      </c>
      <c r="M780">
        <f>IF(N780,TRUE,AND(Q780:U780))</f>
        <v>0</v>
      </c>
      <c r="N780">
        <f>COUNTBLANK(Metadata!B780:F780)=COLUMNS(Metadata!B780:F780)</f>
        <v>0</v>
      </c>
      <c r="O780">
        <v>0</v>
      </c>
      <c r="Q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>
        <f>AND(IF(Metadata!C780="",FALSE,TRUE),exact(Metadata!C780,"human-skin"))</f>
        <v>0</v>
      </c>
      <c r="S780">
        <f>OR(AND(IF(Metadata!D780="",FALSE,TRUE),OR(exact(Metadata!D780,"missing: not collected"),exact(Metadata!D780,"missing: not provided"))),AND(IF(Metadata!D780="",FALSE,TRUE),OR(exact(Metadata!D780,"UBERON:zone of skin"),exact(Metadata!D780,"UBERON:skin of hand"),exact(Metadata!D780,"UBERON:skin of forehead"))))</f>
        <v>0</v>
      </c>
      <c r="T780">
        <f>AND(IF(Metadata!E780="",FALSE,TRUE),exact(Metadata!E780,"human skin metagenome"))</f>
        <v>0</v>
      </c>
      <c r="U780">
        <f>AND(IF(Metadata!F780="",FALSE,TRUE),exact(Metadata!F780,"539655"))</f>
        <v>0</v>
      </c>
    </row>
    <row r="781" spans="1:21">
      <c r="A781" s="4">
        <f>IF(B781=" "," ",HYPERLINK(CONCATENATE("#metadata!",ADDRESS(INDEX($L$2:$L$1001,MATCH(ROWS($J$2:J781),$J$2:$J$1001,0),0),1)),INDEX($O$2:$O$1001,MATCH(ROWS($J$2:J781),$J$2:$J$1001,0),0)))</f>
        <v>0</v>
      </c>
      <c r="B781" s="3">
        <f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>0</v>
      </c>
      <c r="C781" s="3">
        <f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>0</v>
      </c>
      <c r="D781" s="3">
        <f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>0</v>
      </c>
      <c r="E781" s="3">
        <f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>0</v>
      </c>
      <c r="F781" s="3">
        <f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>0</v>
      </c>
      <c r="J781">
        <v>0</v>
      </c>
      <c r="K781">
        <v>0</v>
      </c>
      <c r="L781">
        <v>0</v>
      </c>
      <c r="M781">
        <f>IF(N781,TRUE,AND(Q781:U781))</f>
        <v>0</v>
      </c>
      <c r="N781">
        <f>COUNTBLANK(Metadata!B781:F781)=COLUMNS(Metadata!B781:F781)</f>
        <v>0</v>
      </c>
      <c r="O781">
        <v>0</v>
      </c>
      <c r="Q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>
        <f>AND(IF(Metadata!C781="",FALSE,TRUE),exact(Metadata!C781,"human-skin"))</f>
        <v>0</v>
      </c>
      <c r="S781">
        <f>OR(AND(IF(Metadata!D781="",FALSE,TRUE),OR(exact(Metadata!D781,"missing: not collected"),exact(Metadata!D781,"missing: not provided"))),AND(IF(Metadata!D781="",FALSE,TRUE),OR(exact(Metadata!D781,"UBERON:zone of skin"),exact(Metadata!D781,"UBERON:skin of hand"),exact(Metadata!D781,"UBERON:skin of forehead"))))</f>
        <v>0</v>
      </c>
      <c r="T781">
        <f>AND(IF(Metadata!E781="",FALSE,TRUE),exact(Metadata!E781,"human skin metagenome"))</f>
        <v>0</v>
      </c>
      <c r="U781">
        <f>AND(IF(Metadata!F781="",FALSE,TRUE),exact(Metadata!F781,"539655"))</f>
        <v>0</v>
      </c>
    </row>
    <row r="782" spans="1:21">
      <c r="A782" s="4">
        <f>IF(B782=" "," ",HYPERLINK(CONCATENATE("#metadata!",ADDRESS(INDEX($L$2:$L$1001,MATCH(ROWS($J$2:J782),$J$2:$J$1001,0),0),1)),INDEX($O$2:$O$1001,MATCH(ROWS($J$2:J782),$J$2:$J$1001,0),0)))</f>
        <v>0</v>
      </c>
      <c r="B782" s="3">
        <f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>0</v>
      </c>
      <c r="C782" s="3">
        <f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>0</v>
      </c>
      <c r="D782" s="3">
        <f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>0</v>
      </c>
      <c r="E782" s="3">
        <f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>0</v>
      </c>
      <c r="F782" s="3">
        <f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>0</v>
      </c>
      <c r="J782">
        <v>0</v>
      </c>
      <c r="K782">
        <v>0</v>
      </c>
      <c r="L782">
        <v>0</v>
      </c>
      <c r="M782">
        <f>IF(N782,TRUE,AND(Q782:U782))</f>
        <v>0</v>
      </c>
      <c r="N782">
        <f>COUNTBLANK(Metadata!B782:F782)=COLUMNS(Metadata!B782:F782)</f>
        <v>0</v>
      </c>
      <c r="O782">
        <v>0</v>
      </c>
      <c r="Q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>
        <f>AND(IF(Metadata!C782="",FALSE,TRUE),exact(Metadata!C782,"human-skin"))</f>
        <v>0</v>
      </c>
      <c r="S782">
        <f>OR(AND(IF(Metadata!D782="",FALSE,TRUE),OR(exact(Metadata!D782,"missing: not collected"),exact(Metadata!D782,"missing: not provided"))),AND(IF(Metadata!D782="",FALSE,TRUE),OR(exact(Metadata!D782,"UBERON:zone of skin"),exact(Metadata!D782,"UBERON:skin of hand"),exact(Metadata!D782,"UBERON:skin of forehead"))))</f>
        <v>0</v>
      </c>
      <c r="T782">
        <f>AND(IF(Metadata!E782="",FALSE,TRUE),exact(Metadata!E782,"human skin metagenome"))</f>
        <v>0</v>
      </c>
      <c r="U782">
        <f>AND(IF(Metadata!F782="",FALSE,TRUE),exact(Metadata!F782,"539655"))</f>
        <v>0</v>
      </c>
    </row>
    <row r="783" spans="1:21">
      <c r="A783" s="4">
        <f>IF(B783=" "," ",HYPERLINK(CONCATENATE("#metadata!",ADDRESS(INDEX($L$2:$L$1001,MATCH(ROWS($J$2:J783),$J$2:$J$1001,0),0),1)),INDEX($O$2:$O$1001,MATCH(ROWS($J$2:J783),$J$2:$J$1001,0),0)))</f>
        <v>0</v>
      </c>
      <c r="B783" s="3">
        <f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>0</v>
      </c>
      <c r="C783" s="3">
        <f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>0</v>
      </c>
      <c r="D783" s="3">
        <f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>0</v>
      </c>
      <c r="E783" s="3">
        <f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>0</v>
      </c>
      <c r="F783" s="3">
        <f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>0</v>
      </c>
      <c r="J783">
        <v>0</v>
      </c>
      <c r="K783">
        <v>0</v>
      </c>
      <c r="L783">
        <v>0</v>
      </c>
      <c r="M783">
        <f>IF(N783,TRUE,AND(Q783:U783))</f>
        <v>0</v>
      </c>
      <c r="N783">
        <f>COUNTBLANK(Metadata!B783:F783)=COLUMNS(Metadata!B783:F783)</f>
        <v>0</v>
      </c>
      <c r="O783">
        <v>0</v>
      </c>
      <c r="Q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>
        <f>AND(IF(Metadata!C783="",FALSE,TRUE),exact(Metadata!C783,"human-skin"))</f>
        <v>0</v>
      </c>
      <c r="S783">
        <f>OR(AND(IF(Metadata!D783="",FALSE,TRUE),OR(exact(Metadata!D783,"missing: not collected"),exact(Metadata!D783,"missing: not provided"))),AND(IF(Metadata!D783="",FALSE,TRUE),OR(exact(Metadata!D783,"UBERON:zone of skin"),exact(Metadata!D783,"UBERON:skin of hand"),exact(Metadata!D783,"UBERON:skin of forehead"))))</f>
        <v>0</v>
      </c>
      <c r="T783">
        <f>AND(IF(Metadata!E783="",FALSE,TRUE),exact(Metadata!E783,"human skin metagenome"))</f>
        <v>0</v>
      </c>
      <c r="U783">
        <f>AND(IF(Metadata!F783="",FALSE,TRUE),exact(Metadata!F783,"539655"))</f>
        <v>0</v>
      </c>
    </row>
    <row r="784" spans="1:21">
      <c r="A784" s="4">
        <f>IF(B784=" "," ",HYPERLINK(CONCATENATE("#metadata!",ADDRESS(INDEX($L$2:$L$1001,MATCH(ROWS($J$2:J784),$J$2:$J$1001,0),0),1)),INDEX($O$2:$O$1001,MATCH(ROWS($J$2:J784),$J$2:$J$1001,0),0)))</f>
        <v>0</v>
      </c>
      <c r="B784" s="3">
        <f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>0</v>
      </c>
      <c r="C784" s="3">
        <f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>0</v>
      </c>
      <c r="D784" s="3">
        <f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>0</v>
      </c>
      <c r="E784" s="3">
        <f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>0</v>
      </c>
      <c r="F784" s="3">
        <f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>0</v>
      </c>
      <c r="J784">
        <v>0</v>
      </c>
      <c r="K784">
        <v>0</v>
      </c>
      <c r="L784">
        <v>0</v>
      </c>
      <c r="M784">
        <f>IF(N784,TRUE,AND(Q784:U784))</f>
        <v>0</v>
      </c>
      <c r="N784">
        <f>COUNTBLANK(Metadata!B784:F784)=COLUMNS(Metadata!B784:F784)</f>
        <v>0</v>
      </c>
      <c r="O784">
        <v>0</v>
      </c>
      <c r="Q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>
        <f>AND(IF(Metadata!C784="",FALSE,TRUE),exact(Metadata!C784,"human-skin"))</f>
        <v>0</v>
      </c>
      <c r="S784">
        <f>OR(AND(IF(Metadata!D784="",FALSE,TRUE),OR(exact(Metadata!D784,"missing: not collected"),exact(Metadata!D784,"missing: not provided"))),AND(IF(Metadata!D784="",FALSE,TRUE),OR(exact(Metadata!D784,"UBERON:zone of skin"),exact(Metadata!D784,"UBERON:skin of hand"),exact(Metadata!D784,"UBERON:skin of forehead"))))</f>
        <v>0</v>
      </c>
      <c r="T784">
        <f>AND(IF(Metadata!E784="",FALSE,TRUE),exact(Metadata!E784,"human skin metagenome"))</f>
        <v>0</v>
      </c>
      <c r="U784">
        <f>AND(IF(Metadata!F784="",FALSE,TRUE),exact(Metadata!F784,"539655"))</f>
        <v>0</v>
      </c>
    </row>
    <row r="785" spans="1:21">
      <c r="A785" s="4">
        <f>IF(B785=" "," ",HYPERLINK(CONCATENATE("#metadata!",ADDRESS(INDEX($L$2:$L$1001,MATCH(ROWS($J$2:J785),$J$2:$J$1001,0),0),1)),INDEX($O$2:$O$1001,MATCH(ROWS($J$2:J785),$J$2:$J$1001,0),0)))</f>
        <v>0</v>
      </c>
      <c r="B785" s="3">
        <f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>0</v>
      </c>
      <c r="C785" s="3">
        <f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>0</v>
      </c>
      <c r="D785" s="3">
        <f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>0</v>
      </c>
      <c r="E785" s="3">
        <f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>0</v>
      </c>
      <c r="F785" s="3">
        <f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>0</v>
      </c>
      <c r="J785">
        <v>0</v>
      </c>
      <c r="K785">
        <v>0</v>
      </c>
      <c r="L785">
        <v>0</v>
      </c>
      <c r="M785">
        <f>IF(N785,TRUE,AND(Q785:U785))</f>
        <v>0</v>
      </c>
      <c r="N785">
        <f>COUNTBLANK(Metadata!B785:F785)=COLUMNS(Metadata!B785:F785)</f>
        <v>0</v>
      </c>
      <c r="O785">
        <v>0</v>
      </c>
      <c r="Q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>
        <f>AND(IF(Metadata!C785="",FALSE,TRUE),exact(Metadata!C785,"human-skin"))</f>
        <v>0</v>
      </c>
      <c r="S785">
        <f>OR(AND(IF(Metadata!D785="",FALSE,TRUE),OR(exact(Metadata!D785,"missing: not collected"),exact(Metadata!D785,"missing: not provided"))),AND(IF(Metadata!D785="",FALSE,TRUE),OR(exact(Metadata!D785,"UBERON:zone of skin"),exact(Metadata!D785,"UBERON:skin of hand"),exact(Metadata!D785,"UBERON:skin of forehead"))))</f>
        <v>0</v>
      </c>
      <c r="T785">
        <f>AND(IF(Metadata!E785="",FALSE,TRUE),exact(Metadata!E785,"human skin metagenome"))</f>
        <v>0</v>
      </c>
      <c r="U785">
        <f>AND(IF(Metadata!F785="",FALSE,TRUE),exact(Metadata!F785,"539655"))</f>
        <v>0</v>
      </c>
    </row>
    <row r="786" spans="1:21">
      <c r="A786" s="4">
        <f>IF(B786=" "," ",HYPERLINK(CONCATENATE("#metadata!",ADDRESS(INDEX($L$2:$L$1001,MATCH(ROWS($J$2:J786),$J$2:$J$1001,0),0),1)),INDEX($O$2:$O$1001,MATCH(ROWS($J$2:J786),$J$2:$J$1001,0),0)))</f>
        <v>0</v>
      </c>
      <c r="B786" s="3">
        <f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>0</v>
      </c>
      <c r="C786" s="3">
        <f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>0</v>
      </c>
      <c r="D786" s="3">
        <f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>0</v>
      </c>
      <c r="E786" s="3">
        <f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>0</v>
      </c>
      <c r="F786" s="3">
        <f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>0</v>
      </c>
      <c r="J786">
        <v>0</v>
      </c>
      <c r="K786">
        <v>0</v>
      </c>
      <c r="L786">
        <v>0</v>
      </c>
      <c r="M786">
        <f>IF(N786,TRUE,AND(Q786:U786))</f>
        <v>0</v>
      </c>
      <c r="N786">
        <f>COUNTBLANK(Metadata!B786:F786)=COLUMNS(Metadata!B786:F786)</f>
        <v>0</v>
      </c>
      <c r="O786">
        <v>0</v>
      </c>
      <c r="Q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>
        <f>AND(IF(Metadata!C786="",FALSE,TRUE),exact(Metadata!C786,"human-skin"))</f>
        <v>0</v>
      </c>
      <c r="S786">
        <f>OR(AND(IF(Metadata!D786="",FALSE,TRUE),OR(exact(Metadata!D786,"missing: not collected"),exact(Metadata!D786,"missing: not provided"))),AND(IF(Metadata!D786="",FALSE,TRUE),OR(exact(Metadata!D786,"UBERON:zone of skin"),exact(Metadata!D786,"UBERON:skin of hand"),exact(Metadata!D786,"UBERON:skin of forehead"))))</f>
        <v>0</v>
      </c>
      <c r="T786">
        <f>AND(IF(Metadata!E786="",FALSE,TRUE),exact(Metadata!E786,"human skin metagenome"))</f>
        <v>0</v>
      </c>
      <c r="U786">
        <f>AND(IF(Metadata!F786="",FALSE,TRUE),exact(Metadata!F786,"539655"))</f>
        <v>0</v>
      </c>
    </row>
    <row r="787" spans="1:21">
      <c r="A787" s="4">
        <f>IF(B787=" "," ",HYPERLINK(CONCATENATE("#metadata!",ADDRESS(INDEX($L$2:$L$1001,MATCH(ROWS($J$2:J787),$J$2:$J$1001,0),0),1)),INDEX($O$2:$O$1001,MATCH(ROWS($J$2:J787),$J$2:$J$1001,0),0)))</f>
        <v>0</v>
      </c>
      <c r="B787" s="3">
        <f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>0</v>
      </c>
      <c r="C787" s="3">
        <f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>0</v>
      </c>
      <c r="D787" s="3">
        <f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>0</v>
      </c>
      <c r="E787" s="3">
        <f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>0</v>
      </c>
      <c r="F787" s="3">
        <f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>0</v>
      </c>
      <c r="J787">
        <v>0</v>
      </c>
      <c r="K787">
        <v>0</v>
      </c>
      <c r="L787">
        <v>0</v>
      </c>
      <c r="M787">
        <f>IF(N787,TRUE,AND(Q787:U787))</f>
        <v>0</v>
      </c>
      <c r="N787">
        <f>COUNTBLANK(Metadata!B787:F787)=COLUMNS(Metadata!B787:F787)</f>
        <v>0</v>
      </c>
      <c r="O787">
        <v>0</v>
      </c>
      <c r="Q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>
        <f>AND(IF(Metadata!C787="",FALSE,TRUE),exact(Metadata!C787,"human-skin"))</f>
        <v>0</v>
      </c>
      <c r="S787">
        <f>OR(AND(IF(Metadata!D787="",FALSE,TRUE),OR(exact(Metadata!D787,"missing: not collected"),exact(Metadata!D787,"missing: not provided"))),AND(IF(Metadata!D787="",FALSE,TRUE),OR(exact(Metadata!D787,"UBERON:zone of skin"),exact(Metadata!D787,"UBERON:skin of hand"),exact(Metadata!D787,"UBERON:skin of forehead"))))</f>
        <v>0</v>
      </c>
      <c r="T787">
        <f>AND(IF(Metadata!E787="",FALSE,TRUE),exact(Metadata!E787,"human skin metagenome"))</f>
        <v>0</v>
      </c>
      <c r="U787">
        <f>AND(IF(Metadata!F787="",FALSE,TRUE),exact(Metadata!F787,"539655"))</f>
        <v>0</v>
      </c>
    </row>
    <row r="788" spans="1:21">
      <c r="A788" s="4">
        <f>IF(B788=" "," ",HYPERLINK(CONCATENATE("#metadata!",ADDRESS(INDEX($L$2:$L$1001,MATCH(ROWS($J$2:J788),$J$2:$J$1001,0),0),1)),INDEX($O$2:$O$1001,MATCH(ROWS($J$2:J788),$J$2:$J$1001,0),0)))</f>
        <v>0</v>
      </c>
      <c r="B788" s="3">
        <f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>0</v>
      </c>
      <c r="C788" s="3">
        <f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>0</v>
      </c>
      <c r="D788" s="3">
        <f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>0</v>
      </c>
      <c r="E788" s="3">
        <f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>0</v>
      </c>
      <c r="F788" s="3">
        <f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>0</v>
      </c>
      <c r="J788">
        <v>0</v>
      </c>
      <c r="K788">
        <v>0</v>
      </c>
      <c r="L788">
        <v>0</v>
      </c>
      <c r="M788">
        <f>IF(N788,TRUE,AND(Q788:U788))</f>
        <v>0</v>
      </c>
      <c r="N788">
        <f>COUNTBLANK(Metadata!B788:F788)=COLUMNS(Metadata!B788:F788)</f>
        <v>0</v>
      </c>
      <c r="O788">
        <v>0</v>
      </c>
      <c r="Q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>
        <f>AND(IF(Metadata!C788="",FALSE,TRUE),exact(Metadata!C788,"human-skin"))</f>
        <v>0</v>
      </c>
      <c r="S788">
        <f>OR(AND(IF(Metadata!D788="",FALSE,TRUE),OR(exact(Metadata!D788,"missing: not collected"),exact(Metadata!D788,"missing: not provided"))),AND(IF(Metadata!D788="",FALSE,TRUE),OR(exact(Metadata!D788,"UBERON:zone of skin"),exact(Metadata!D788,"UBERON:skin of hand"),exact(Metadata!D788,"UBERON:skin of forehead"))))</f>
        <v>0</v>
      </c>
      <c r="T788">
        <f>AND(IF(Metadata!E788="",FALSE,TRUE),exact(Metadata!E788,"human skin metagenome"))</f>
        <v>0</v>
      </c>
      <c r="U788">
        <f>AND(IF(Metadata!F788="",FALSE,TRUE),exact(Metadata!F788,"539655"))</f>
        <v>0</v>
      </c>
    </row>
    <row r="789" spans="1:21">
      <c r="A789" s="4">
        <f>IF(B789=" "," ",HYPERLINK(CONCATENATE("#metadata!",ADDRESS(INDEX($L$2:$L$1001,MATCH(ROWS($J$2:J789),$J$2:$J$1001,0),0),1)),INDEX($O$2:$O$1001,MATCH(ROWS($J$2:J789),$J$2:$J$1001,0),0)))</f>
        <v>0</v>
      </c>
      <c r="B789" s="3">
        <f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>0</v>
      </c>
      <c r="C789" s="3">
        <f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>0</v>
      </c>
      <c r="D789" s="3">
        <f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>0</v>
      </c>
      <c r="E789" s="3">
        <f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>0</v>
      </c>
      <c r="F789" s="3">
        <f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>0</v>
      </c>
      <c r="J789">
        <v>0</v>
      </c>
      <c r="K789">
        <v>0</v>
      </c>
      <c r="L789">
        <v>0</v>
      </c>
      <c r="M789">
        <f>IF(N789,TRUE,AND(Q789:U789))</f>
        <v>0</v>
      </c>
      <c r="N789">
        <f>COUNTBLANK(Metadata!B789:F789)=COLUMNS(Metadata!B789:F789)</f>
        <v>0</v>
      </c>
      <c r="O789">
        <v>0</v>
      </c>
      <c r="Q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>
        <f>AND(IF(Metadata!C789="",FALSE,TRUE),exact(Metadata!C789,"human-skin"))</f>
        <v>0</v>
      </c>
      <c r="S789">
        <f>OR(AND(IF(Metadata!D789="",FALSE,TRUE),OR(exact(Metadata!D789,"missing: not collected"),exact(Metadata!D789,"missing: not provided"))),AND(IF(Metadata!D789="",FALSE,TRUE),OR(exact(Metadata!D789,"UBERON:zone of skin"),exact(Metadata!D789,"UBERON:skin of hand"),exact(Metadata!D789,"UBERON:skin of forehead"))))</f>
        <v>0</v>
      </c>
      <c r="T789">
        <f>AND(IF(Metadata!E789="",FALSE,TRUE),exact(Metadata!E789,"human skin metagenome"))</f>
        <v>0</v>
      </c>
      <c r="U789">
        <f>AND(IF(Metadata!F789="",FALSE,TRUE),exact(Metadata!F789,"539655"))</f>
        <v>0</v>
      </c>
    </row>
    <row r="790" spans="1:21">
      <c r="A790" s="4">
        <f>IF(B790=" "," ",HYPERLINK(CONCATENATE("#metadata!",ADDRESS(INDEX($L$2:$L$1001,MATCH(ROWS($J$2:J790),$J$2:$J$1001,0),0),1)),INDEX($O$2:$O$1001,MATCH(ROWS($J$2:J790),$J$2:$J$1001,0),0)))</f>
        <v>0</v>
      </c>
      <c r="B790" s="3">
        <f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>0</v>
      </c>
      <c r="C790" s="3">
        <f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>0</v>
      </c>
      <c r="D790" s="3">
        <f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>0</v>
      </c>
      <c r="E790" s="3">
        <f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>0</v>
      </c>
      <c r="F790" s="3">
        <f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>0</v>
      </c>
      <c r="J790">
        <v>0</v>
      </c>
      <c r="K790">
        <v>0</v>
      </c>
      <c r="L790">
        <v>0</v>
      </c>
      <c r="M790">
        <f>IF(N790,TRUE,AND(Q790:U790))</f>
        <v>0</v>
      </c>
      <c r="N790">
        <f>COUNTBLANK(Metadata!B790:F790)=COLUMNS(Metadata!B790:F790)</f>
        <v>0</v>
      </c>
      <c r="O790">
        <v>0</v>
      </c>
      <c r="Q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>
        <f>AND(IF(Metadata!C790="",FALSE,TRUE),exact(Metadata!C790,"human-skin"))</f>
        <v>0</v>
      </c>
      <c r="S790">
        <f>OR(AND(IF(Metadata!D790="",FALSE,TRUE),OR(exact(Metadata!D790,"missing: not collected"),exact(Metadata!D790,"missing: not provided"))),AND(IF(Metadata!D790="",FALSE,TRUE),OR(exact(Metadata!D790,"UBERON:zone of skin"),exact(Metadata!D790,"UBERON:skin of hand"),exact(Metadata!D790,"UBERON:skin of forehead"))))</f>
        <v>0</v>
      </c>
      <c r="T790">
        <f>AND(IF(Metadata!E790="",FALSE,TRUE),exact(Metadata!E790,"human skin metagenome"))</f>
        <v>0</v>
      </c>
      <c r="U790">
        <f>AND(IF(Metadata!F790="",FALSE,TRUE),exact(Metadata!F790,"539655"))</f>
        <v>0</v>
      </c>
    </row>
    <row r="791" spans="1:21">
      <c r="A791" s="4">
        <f>IF(B791=" "," ",HYPERLINK(CONCATENATE("#metadata!",ADDRESS(INDEX($L$2:$L$1001,MATCH(ROWS($J$2:J791),$J$2:$J$1001,0),0),1)),INDEX($O$2:$O$1001,MATCH(ROWS($J$2:J791),$J$2:$J$1001,0),0)))</f>
        <v>0</v>
      </c>
      <c r="B791" s="3">
        <f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>0</v>
      </c>
      <c r="C791" s="3">
        <f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>0</v>
      </c>
      <c r="D791" s="3">
        <f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>0</v>
      </c>
      <c r="E791" s="3">
        <f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>0</v>
      </c>
      <c r="F791" s="3">
        <f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>0</v>
      </c>
      <c r="J791">
        <v>0</v>
      </c>
      <c r="K791">
        <v>0</v>
      </c>
      <c r="L791">
        <v>0</v>
      </c>
      <c r="M791">
        <f>IF(N791,TRUE,AND(Q791:U791))</f>
        <v>0</v>
      </c>
      <c r="N791">
        <f>COUNTBLANK(Metadata!B791:F791)=COLUMNS(Metadata!B791:F791)</f>
        <v>0</v>
      </c>
      <c r="O791">
        <v>0</v>
      </c>
      <c r="Q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>
        <f>AND(IF(Metadata!C791="",FALSE,TRUE),exact(Metadata!C791,"human-skin"))</f>
        <v>0</v>
      </c>
      <c r="S791">
        <f>OR(AND(IF(Metadata!D791="",FALSE,TRUE),OR(exact(Metadata!D791,"missing: not collected"),exact(Metadata!D791,"missing: not provided"))),AND(IF(Metadata!D791="",FALSE,TRUE),OR(exact(Metadata!D791,"UBERON:zone of skin"),exact(Metadata!D791,"UBERON:skin of hand"),exact(Metadata!D791,"UBERON:skin of forehead"))))</f>
        <v>0</v>
      </c>
      <c r="T791">
        <f>AND(IF(Metadata!E791="",FALSE,TRUE),exact(Metadata!E791,"human skin metagenome"))</f>
        <v>0</v>
      </c>
      <c r="U791">
        <f>AND(IF(Metadata!F791="",FALSE,TRUE),exact(Metadata!F791,"539655"))</f>
        <v>0</v>
      </c>
    </row>
    <row r="792" spans="1:21">
      <c r="A792" s="4">
        <f>IF(B792=" "," ",HYPERLINK(CONCATENATE("#metadata!",ADDRESS(INDEX($L$2:$L$1001,MATCH(ROWS($J$2:J792),$J$2:$J$1001,0),0),1)),INDEX($O$2:$O$1001,MATCH(ROWS($J$2:J792),$J$2:$J$1001,0),0)))</f>
        <v>0</v>
      </c>
      <c r="B792" s="3">
        <f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>0</v>
      </c>
      <c r="C792" s="3">
        <f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>0</v>
      </c>
      <c r="D792" s="3">
        <f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>0</v>
      </c>
      <c r="E792" s="3">
        <f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>0</v>
      </c>
      <c r="F792" s="3">
        <f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>0</v>
      </c>
      <c r="J792">
        <v>0</v>
      </c>
      <c r="K792">
        <v>0</v>
      </c>
      <c r="L792">
        <v>0</v>
      </c>
      <c r="M792">
        <f>IF(N792,TRUE,AND(Q792:U792))</f>
        <v>0</v>
      </c>
      <c r="N792">
        <f>COUNTBLANK(Metadata!B792:F792)=COLUMNS(Metadata!B792:F792)</f>
        <v>0</v>
      </c>
      <c r="O792">
        <v>0</v>
      </c>
      <c r="Q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>
        <f>AND(IF(Metadata!C792="",FALSE,TRUE),exact(Metadata!C792,"human-skin"))</f>
        <v>0</v>
      </c>
      <c r="S792">
        <f>OR(AND(IF(Metadata!D792="",FALSE,TRUE),OR(exact(Metadata!D792,"missing: not collected"),exact(Metadata!D792,"missing: not provided"))),AND(IF(Metadata!D792="",FALSE,TRUE),OR(exact(Metadata!D792,"UBERON:zone of skin"),exact(Metadata!D792,"UBERON:skin of hand"),exact(Metadata!D792,"UBERON:skin of forehead"))))</f>
        <v>0</v>
      </c>
      <c r="T792">
        <f>AND(IF(Metadata!E792="",FALSE,TRUE),exact(Metadata!E792,"human skin metagenome"))</f>
        <v>0</v>
      </c>
      <c r="U792">
        <f>AND(IF(Metadata!F792="",FALSE,TRUE),exact(Metadata!F792,"539655"))</f>
        <v>0</v>
      </c>
    </row>
    <row r="793" spans="1:21">
      <c r="A793" s="4">
        <f>IF(B793=" "," ",HYPERLINK(CONCATENATE("#metadata!",ADDRESS(INDEX($L$2:$L$1001,MATCH(ROWS($J$2:J793),$J$2:$J$1001,0),0),1)),INDEX($O$2:$O$1001,MATCH(ROWS($J$2:J793),$J$2:$J$1001,0),0)))</f>
        <v>0</v>
      </c>
      <c r="B793" s="3">
        <f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>0</v>
      </c>
      <c r="C793" s="3">
        <f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>0</v>
      </c>
      <c r="D793" s="3">
        <f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>0</v>
      </c>
      <c r="E793" s="3">
        <f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>0</v>
      </c>
      <c r="F793" s="3">
        <f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>0</v>
      </c>
      <c r="J793">
        <v>0</v>
      </c>
      <c r="K793">
        <v>0</v>
      </c>
      <c r="L793">
        <v>0</v>
      </c>
      <c r="M793">
        <f>IF(N793,TRUE,AND(Q793:U793))</f>
        <v>0</v>
      </c>
      <c r="N793">
        <f>COUNTBLANK(Metadata!B793:F793)=COLUMNS(Metadata!B793:F793)</f>
        <v>0</v>
      </c>
      <c r="O793">
        <v>0</v>
      </c>
      <c r="Q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>
        <f>AND(IF(Metadata!C793="",FALSE,TRUE),exact(Metadata!C793,"human-skin"))</f>
        <v>0</v>
      </c>
      <c r="S793">
        <f>OR(AND(IF(Metadata!D793="",FALSE,TRUE),OR(exact(Metadata!D793,"missing: not collected"),exact(Metadata!D793,"missing: not provided"))),AND(IF(Metadata!D793="",FALSE,TRUE),OR(exact(Metadata!D793,"UBERON:zone of skin"),exact(Metadata!D793,"UBERON:skin of hand"),exact(Metadata!D793,"UBERON:skin of forehead"))))</f>
        <v>0</v>
      </c>
      <c r="T793">
        <f>AND(IF(Metadata!E793="",FALSE,TRUE),exact(Metadata!E793,"human skin metagenome"))</f>
        <v>0</v>
      </c>
      <c r="U793">
        <f>AND(IF(Metadata!F793="",FALSE,TRUE),exact(Metadata!F793,"539655"))</f>
        <v>0</v>
      </c>
    </row>
    <row r="794" spans="1:21">
      <c r="A794" s="4">
        <f>IF(B794=" "," ",HYPERLINK(CONCATENATE("#metadata!",ADDRESS(INDEX($L$2:$L$1001,MATCH(ROWS($J$2:J794),$J$2:$J$1001,0),0),1)),INDEX($O$2:$O$1001,MATCH(ROWS($J$2:J794),$J$2:$J$1001,0),0)))</f>
        <v>0</v>
      </c>
      <c r="B794" s="3">
        <f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>0</v>
      </c>
      <c r="C794" s="3">
        <f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>0</v>
      </c>
      <c r="D794" s="3">
        <f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>0</v>
      </c>
      <c r="E794" s="3">
        <f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>0</v>
      </c>
      <c r="F794" s="3">
        <f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>0</v>
      </c>
      <c r="J794">
        <v>0</v>
      </c>
      <c r="K794">
        <v>0</v>
      </c>
      <c r="L794">
        <v>0</v>
      </c>
      <c r="M794">
        <f>IF(N794,TRUE,AND(Q794:U794))</f>
        <v>0</v>
      </c>
      <c r="N794">
        <f>COUNTBLANK(Metadata!B794:F794)=COLUMNS(Metadata!B794:F794)</f>
        <v>0</v>
      </c>
      <c r="O794">
        <v>0</v>
      </c>
      <c r="Q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>
        <f>AND(IF(Metadata!C794="",FALSE,TRUE),exact(Metadata!C794,"human-skin"))</f>
        <v>0</v>
      </c>
      <c r="S794">
        <f>OR(AND(IF(Metadata!D794="",FALSE,TRUE),OR(exact(Metadata!D794,"missing: not collected"),exact(Metadata!D794,"missing: not provided"))),AND(IF(Metadata!D794="",FALSE,TRUE),OR(exact(Metadata!D794,"UBERON:zone of skin"),exact(Metadata!D794,"UBERON:skin of hand"),exact(Metadata!D794,"UBERON:skin of forehead"))))</f>
        <v>0</v>
      </c>
      <c r="T794">
        <f>AND(IF(Metadata!E794="",FALSE,TRUE),exact(Metadata!E794,"human skin metagenome"))</f>
        <v>0</v>
      </c>
      <c r="U794">
        <f>AND(IF(Metadata!F794="",FALSE,TRUE),exact(Metadata!F794,"539655"))</f>
        <v>0</v>
      </c>
    </row>
    <row r="795" spans="1:21">
      <c r="A795" s="4">
        <f>IF(B795=" "," ",HYPERLINK(CONCATENATE("#metadata!",ADDRESS(INDEX($L$2:$L$1001,MATCH(ROWS($J$2:J795),$J$2:$J$1001,0),0),1)),INDEX($O$2:$O$1001,MATCH(ROWS($J$2:J795),$J$2:$J$1001,0),0)))</f>
        <v>0</v>
      </c>
      <c r="B795" s="3">
        <f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>0</v>
      </c>
      <c r="C795" s="3">
        <f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>0</v>
      </c>
      <c r="D795" s="3">
        <f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>0</v>
      </c>
      <c r="E795" s="3">
        <f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>0</v>
      </c>
      <c r="F795" s="3">
        <f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>0</v>
      </c>
      <c r="J795">
        <v>0</v>
      </c>
      <c r="K795">
        <v>0</v>
      </c>
      <c r="L795">
        <v>0</v>
      </c>
      <c r="M795">
        <f>IF(N795,TRUE,AND(Q795:U795))</f>
        <v>0</v>
      </c>
      <c r="N795">
        <f>COUNTBLANK(Metadata!B795:F795)=COLUMNS(Metadata!B795:F795)</f>
        <v>0</v>
      </c>
      <c r="O795">
        <v>0</v>
      </c>
      <c r="Q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>
        <f>AND(IF(Metadata!C795="",FALSE,TRUE),exact(Metadata!C795,"human-skin"))</f>
        <v>0</v>
      </c>
      <c r="S795">
        <f>OR(AND(IF(Metadata!D795="",FALSE,TRUE),OR(exact(Metadata!D795,"missing: not collected"),exact(Metadata!D795,"missing: not provided"))),AND(IF(Metadata!D795="",FALSE,TRUE),OR(exact(Metadata!D795,"UBERON:zone of skin"),exact(Metadata!D795,"UBERON:skin of hand"),exact(Metadata!D795,"UBERON:skin of forehead"))))</f>
        <v>0</v>
      </c>
      <c r="T795">
        <f>AND(IF(Metadata!E795="",FALSE,TRUE),exact(Metadata!E795,"human skin metagenome"))</f>
        <v>0</v>
      </c>
      <c r="U795">
        <f>AND(IF(Metadata!F795="",FALSE,TRUE),exact(Metadata!F795,"539655"))</f>
        <v>0</v>
      </c>
    </row>
    <row r="796" spans="1:21">
      <c r="A796" s="4">
        <f>IF(B796=" "," ",HYPERLINK(CONCATENATE("#metadata!",ADDRESS(INDEX($L$2:$L$1001,MATCH(ROWS($J$2:J796),$J$2:$J$1001,0),0),1)),INDEX($O$2:$O$1001,MATCH(ROWS($J$2:J796),$J$2:$J$1001,0),0)))</f>
        <v>0</v>
      </c>
      <c r="B796" s="3">
        <f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>0</v>
      </c>
      <c r="C796" s="3">
        <f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>0</v>
      </c>
      <c r="D796" s="3">
        <f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>0</v>
      </c>
      <c r="E796" s="3">
        <f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>0</v>
      </c>
      <c r="F796" s="3">
        <f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>0</v>
      </c>
      <c r="J796">
        <v>0</v>
      </c>
      <c r="K796">
        <v>0</v>
      </c>
      <c r="L796">
        <v>0</v>
      </c>
      <c r="M796">
        <f>IF(N796,TRUE,AND(Q796:U796))</f>
        <v>0</v>
      </c>
      <c r="N796">
        <f>COUNTBLANK(Metadata!B796:F796)=COLUMNS(Metadata!B796:F796)</f>
        <v>0</v>
      </c>
      <c r="O796">
        <v>0</v>
      </c>
      <c r="Q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>
        <f>AND(IF(Metadata!C796="",FALSE,TRUE),exact(Metadata!C796,"human-skin"))</f>
        <v>0</v>
      </c>
      <c r="S796">
        <f>OR(AND(IF(Metadata!D796="",FALSE,TRUE),OR(exact(Metadata!D796,"missing: not collected"),exact(Metadata!D796,"missing: not provided"))),AND(IF(Metadata!D796="",FALSE,TRUE),OR(exact(Metadata!D796,"UBERON:zone of skin"),exact(Metadata!D796,"UBERON:skin of hand"),exact(Metadata!D796,"UBERON:skin of forehead"))))</f>
        <v>0</v>
      </c>
      <c r="T796">
        <f>AND(IF(Metadata!E796="",FALSE,TRUE),exact(Metadata!E796,"human skin metagenome"))</f>
        <v>0</v>
      </c>
      <c r="U796">
        <f>AND(IF(Metadata!F796="",FALSE,TRUE),exact(Metadata!F796,"539655"))</f>
        <v>0</v>
      </c>
    </row>
    <row r="797" spans="1:21">
      <c r="A797" s="4">
        <f>IF(B797=" "," ",HYPERLINK(CONCATENATE("#metadata!",ADDRESS(INDEX($L$2:$L$1001,MATCH(ROWS($J$2:J797),$J$2:$J$1001,0),0),1)),INDEX($O$2:$O$1001,MATCH(ROWS($J$2:J797),$J$2:$J$1001,0),0)))</f>
        <v>0</v>
      </c>
      <c r="B797" s="3">
        <f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>0</v>
      </c>
      <c r="C797" s="3">
        <f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>0</v>
      </c>
      <c r="D797" s="3">
        <f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>0</v>
      </c>
      <c r="E797" s="3">
        <f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>0</v>
      </c>
      <c r="F797" s="3">
        <f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>0</v>
      </c>
      <c r="J797">
        <v>0</v>
      </c>
      <c r="K797">
        <v>0</v>
      </c>
      <c r="L797">
        <v>0</v>
      </c>
      <c r="M797">
        <f>IF(N797,TRUE,AND(Q797:U797))</f>
        <v>0</v>
      </c>
      <c r="N797">
        <f>COUNTBLANK(Metadata!B797:F797)=COLUMNS(Metadata!B797:F797)</f>
        <v>0</v>
      </c>
      <c r="O797">
        <v>0</v>
      </c>
      <c r="Q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>
        <f>AND(IF(Metadata!C797="",FALSE,TRUE),exact(Metadata!C797,"human-skin"))</f>
        <v>0</v>
      </c>
      <c r="S797">
        <f>OR(AND(IF(Metadata!D797="",FALSE,TRUE),OR(exact(Metadata!D797,"missing: not collected"),exact(Metadata!D797,"missing: not provided"))),AND(IF(Metadata!D797="",FALSE,TRUE),OR(exact(Metadata!D797,"UBERON:zone of skin"),exact(Metadata!D797,"UBERON:skin of hand"),exact(Metadata!D797,"UBERON:skin of forehead"))))</f>
        <v>0</v>
      </c>
      <c r="T797">
        <f>AND(IF(Metadata!E797="",FALSE,TRUE),exact(Metadata!E797,"human skin metagenome"))</f>
        <v>0</v>
      </c>
      <c r="U797">
        <f>AND(IF(Metadata!F797="",FALSE,TRUE),exact(Metadata!F797,"539655"))</f>
        <v>0</v>
      </c>
    </row>
    <row r="798" spans="1:21">
      <c r="A798" s="4">
        <f>IF(B798=" "," ",HYPERLINK(CONCATENATE("#metadata!",ADDRESS(INDEX($L$2:$L$1001,MATCH(ROWS($J$2:J798),$J$2:$J$1001,0),0),1)),INDEX($O$2:$O$1001,MATCH(ROWS($J$2:J798),$J$2:$J$1001,0),0)))</f>
        <v>0</v>
      </c>
      <c r="B798" s="3">
        <f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>0</v>
      </c>
      <c r="C798" s="3">
        <f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>0</v>
      </c>
      <c r="D798" s="3">
        <f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>0</v>
      </c>
      <c r="E798" s="3">
        <f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>0</v>
      </c>
      <c r="F798" s="3">
        <f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>0</v>
      </c>
      <c r="J798">
        <v>0</v>
      </c>
      <c r="K798">
        <v>0</v>
      </c>
      <c r="L798">
        <v>0</v>
      </c>
      <c r="M798">
        <f>IF(N798,TRUE,AND(Q798:U798))</f>
        <v>0</v>
      </c>
      <c r="N798">
        <f>COUNTBLANK(Metadata!B798:F798)=COLUMNS(Metadata!B798:F798)</f>
        <v>0</v>
      </c>
      <c r="O798">
        <v>0</v>
      </c>
      <c r="Q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>
        <f>AND(IF(Metadata!C798="",FALSE,TRUE),exact(Metadata!C798,"human-skin"))</f>
        <v>0</v>
      </c>
      <c r="S798">
        <f>OR(AND(IF(Metadata!D798="",FALSE,TRUE),OR(exact(Metadata!D798,"missing: not collected"),exact(Metadata!D798,"missing: not provided"))),AND(IF(Metadata!D798="",FALSE,TRUE),OR(exact(Metadata!D798,"UBERON:zone of skin"),exact(Metadata!D798,"UBERON:skin of hand"),exact(Metadata!D798,"UBERON:skin of forehead"))))</f>
        <v>0</v>
      </c>
      <c r="T798">
        <f>AND(IF(Metadata!E798="",FALSE,TRUE),exact(Metadata!E798,"human skin metagenome"))</f>
        <v>0</v>
      </c>
      <c r="U798">
        <f>AND(IF(Metadata!F798="",FALSE,TRUE),exact(Metadata!F798,"539655"))</f>
        <v>0</v>
      </c>
    </row>
    <row r="799" spans="1:21">
      <c r="A799" s="4">
        <f>IF(B799=" "," ",HYPERLINK(CONCATENATE("#metadata!",ADDRESS(INDEX($L$2:$L$1001,MATCH(ROWS($J$2:J799),$J$2:$J$1001,0),0),1)),INDEX($O$2:$O$1001,MATCH(ROWS($J$2:J799),$J$2:$J$1001,0),0)))</f>
        <v>0</v>
      </c>
      <c r="B799" s="3">
        <f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>0</v>
      </c>
      <c r="C799" s="3">
        <f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>0</v>
      </c>
      <c r="D799" s="3">
        <f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>0</v>
      </c>
      <c r="E799" s="3">
        <f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>0</v>
      </c>
      <c r="F799" s="3">
        <f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>0</v>
      </c>
      <c r="J799">
        <v>0</v>
      </c>
      <c r="K799">
        <v>0</v>
      </c>
      <c r="L799">
        <v>0</v>
      </c>
      <c r="M799">
        <f>IF(N799,TRUE,AND(Q799:U799))</f>
        <v>0</v>
      </c>
      <c r="N799">
        <f>COUNTBLANK(Metadata!B799:F799)=COLUMNS(Metadata!B799:F799)</f>
        <v>0</v>
      </c>
      <c r="O799">
        <v>0</v>
      </c>
      <c r="Q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>
        <f>AND(IF(Metadata!C799="",FALSE,TRUE),exact(Metadata!C799,"human-skin"))</f>
        <v>0</v>
      </c>
      <c r="S799">
        <f>OR(AND(IF(Metadata!D799="",FALSE,TRUE),OR(exact(Metadata!D799,"missing: not collected"),exact(Metadata!D799,"missing: not provided"))),AND(IF(Metadata!D799="",FALSE,TRUE),OR(exact(Metadata!D799,"UBERON:zone of skin"),exact(Metadata!D799,"UBERON:skin of hand"),exact(Metadata!D799,"UBERON:skin of forehead"))))</f>
        <v>0</v>
      </c>
      <c r="T799">
        <f>AND(IF(Metadata!E799="",FALSE,TRUE),exact(Metadata!E799,"human skin metagenome"))</f>
        <v>0</v>
      </c>
      <c r="U799">
        <f>AND(IF(Metadata!F799="",FALSE,TRUE),exact(Metadata!F799,"539655"))</f>
        <v>0</v>
      </c>
    </row>
    <row r="800" spans="1:21">
      <c r="A800" s="4">
        <f>IF(B800=" "," ",HYPERLINK(CONCATENATE("#metadata!",ADDRESS(INDEX($L$2:$L$1001,MATCH(ROWS($J$2:J800),$J$2:$J$1001,0),0),1)),INDEX($O$2:$O$1001,MATCH(ROWS($J$2:J800),$J$2:$J$1001,0),0)))</f>
        <v>0</v>
      </c>
      <c r="B800" s="3">
        <f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>0</v>
      </c>
      <c r="C800" s="3">
        <f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>0</v>
      </c>
      <c r="D800" s="3">
        <f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>0</v>
      </c>
      <c r="E800" s="3">
        <f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>0</v>
      </c>
      <c r="F800" s="3">
        <f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>0</v>
      </c>
      <c r="J800">
        <v>0</v>
      </c>
      <c r="K800">
        <v>0</v>
      </c>
      <c r="L800">
        <v>0</v>
      </c>
      <c r="M800">
        <f>IF(N800,TRUE,AND(Q800:U800))</f>
        <v>0</v>
      </c>
      <c r="N800">
        <f>COUNTBLANK(Metadata!B800:F800)=COLUMNS(Metadata!B800:F800)</f>
        <v>0</v>
      </c>
      <c r="O800">
        <v>0</v>
      </c>
      <c r="Q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>
        <f>AND(IF(Metadata!C800="",FALSE,TRUE),exact(Metadata!C800,"human-skin"))</f>
        <v>0</v>
      </c>
      <c r="S800">
        <f>OR(AND(IF(Metadata!D800="",FALSE,TRUE),OR(exact(Metadata!D800,"missing: not collected"),exact(Metadata!D800,"missing: not provided"))),AND(IF(Metadata!D800="",FALSE,TRUE),OR(exact(Metadata!D800,"UBERON:zone of skin"),exact(Metadata!D800,"UBERON:skin of hand"),exact(Metadata!D800,"UBERON:skin of forehead"))))</f>
        <v>0</v>
      </c>
      <c r="T800">
        <f>AND(IF(Metadata!E800="",FALSE,TRUE),exact(Metadata!E800,"human skin metagenome"))</f>
        <v>0</v>
      </c>
      <c r="U800">
        <f>AND(IF(Metadata!F800="",FALSE,TRUE),exact(Metadata!F800,"539655"))</f>
        <v>0</v>
      </c>
    </row>
    <row r="801" spans="1:21">
      <c r="A801" s="4">
        <f>IF(B801=" "," ",HYPERLINK(CONCATENATE("#metadata!",ADDRESS(INDEX($L$2:$L$1001,MATCH(ROWS($J$2:J801),$J$2:$J$1001,0),0),1)),INDEX($O$2:$O$1001,MATCH(ROWS($J$2:J801),$J$2:$J$1001,0),0)))</f>
        <v>0</v>
      </c>
      <c r="B801" s="3">
        <f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>0</v>
      </c>
      <c r="C801" s="3">
        <f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>0</v>
      </c>
      <c r="D801" s="3">
        <f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>0</v>
      </c>
      <c r="E801" s="3">
        <f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>0</v>
      </c>
      <c r="F801" s="3">
        <f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>0</v>
      </c>
      <c r="J801">
        <v>0</v>
      </c>
      <c r="K801">
        <v>0</v>
      </c>
      <c r="L801">
        <v>0</v>
      </c>
      <c r="M801">
        <f>IF(N801,TRUE,AND(Q801:U801))</f>
        <v>0</v>
      </c>
      <c r="N801">
        <f>COUNTBLANK(Metadata!B801:F801)=COLUMNS(Metadata!B801:F801)</f>
        <v>0</v>
      </c>
      <c r="O801">
        <v>0</v>
      </c>
      <c r="Q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>
        <f>AND(IF(Metadata!C801="",FALSE,TRUE),exact(Metadata!C801,"human-skin"))</f>
        <v>0</v>
      </c>
      <c r="S801">
        <f>OR(AND(IF(Metadata!D801="",FALSE,TRUE),OR(exact(Metadata!D801,"missing: not collected"),exact(Metadata!D801,"missing: not provided"))),AND(IF(Metadata!D801="",FALSE,TRUE),OR(exact(Metadata!D801,"UBERON:zone of skin"),exact(Metadata!D801,"UBERON:skin of hand"),exact(Metadata!D801,"UBERON:skin of forehead"))))</f>
        <v>0</v>
      </c>
      <c r="T801">
        <f>AND(IF(Metadata!E801="",FALSE,TRUE),exact(Metadata!E801,"human skin metagenome"))</f>
        <v>0</v>
      </c>
      <c r="U801">
        <f>AND(IF(Metadata!F801="",FALSE,TRUE),exact(Metadata!F801,"539655"))</f>
        <v>0</v>
      </c>
    </row>
    <row r="802" spans="1:21">
      <c r="A802" s="4">
        <f>IF(B802=" "," ",HYPERLINK(CONCATENATE("#metadata!",ADDRESS(INDEX($L$2:$L$1001,MATCH(ROWS($J$2:J802),$J$2:$J$1001,0),0),1)),INDEX($O$2:$O$1001,MATCH(ROWS($J$2:J802),$J$2:$J$1001,0),0)))</f>
        <v>0</v>
      </c>
      <c r="B802" s="3">
        <f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>0</v>
      </c>
      <c r="C802" s="3">
        <f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>0</v>
      </c>
      <c r="D802" s="3">
        <f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>0</v>
      </c>
      <c r="E802" s="3">
        <f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>0</v>
      </c>
      <c r="F802" s="3">
        <f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>0</v>
      </c>
      <c r="J802">
        <v>0</v>
      </c>
      <c r="K802">
        <v>0</v>
      </c>
      <c r="L802">
        <v>0</v>
      </c>
      <c r="M802">
        <f>IF(N802,TRUE,AND(Q802:U802))</f>
        <v>0</v>
      </c>
      <c r="N802">
        <f>COUNTBLANK(Metadata!B802:F802)=COLUMNS(Metadata!B802:F802)</f>
        <v>0</v>
      </c>
      <c r="O802">
        <v>0</v>
      </c>
      <c r="Q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>
        <f>AND(IF(Metadata!C802="",FALSE,TRUE),exact(Metadata!C802,"human-skin"))</f>
        <v>0</v>
      </c>
      <c r="S802">
        <f>OR(AND(IF(Metadata!D802="",FALSE,TRUE),OR(exact(Metadata!D802,"missing: not collected"),exact(Metadata!D802,"missing: not provided"))),AND(IF(Metadata!D802="",FALSE,TRUE),OR(exact(Metadata!D802,"UBERON:zone of skin"),exact(Metadata!D802,"UBERON:skin of hand"),exact(Metadata!D802,"UBERON:skin of forehead"))))</f>
        <v>0</v>
      </c>
      <c r="T802">
        <f>AND(IF(Metadata!E802="",FALSE,TRUE),exact(Metadata!E802,"human skin metagenome"))</f>
        <v>0</v>
      </c>
      <c r="U802">
        <f>AND(IF(Metadata!F802="",FALSE,TRUE),exact(Metadata!F802,"539655"))</f>
        <v>0</v>
      </c>
    </row>
    <row r="803" spans="1:21">
      <c r="A803" s="4">
        <f>IF(B803=" "," ",HYPERLINK(CONCATENATE("#metadata!",ADDRESS(INDEX($L$2:$L$1001,MATCH(ROWS($J$2:J803),$J$2:$J$1001,0),0),1)),INDEX($O$2:$O$1001,MATCH(ROWS($J$2:J803),$J$2:$J$1001,0),0)))</f>
        <v>0</v>
      </c>
      <c r="B803" s="3">
        <f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>0</v>
      </c>
      <c r="C803" s="3">
        <f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>0</v>
      </c>
      <c r="D803" s="3">
        <f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>0</v>
      </c>
      <c r="E803" s="3">
        <f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>0</v>
      </c>
      <c r="F803" s="3">
        <f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>0</v>
      </c>
      <c r="J803">
        <v>0</v>
      </c>
      <c r="K803">
        <v>0</v>
      </c>
      <c r="L803">
        <v>0</v>
      </c>
      <c r="M803">
        <f>IF(N803,TRUE,AND(Q803:U803))</f>
        <v>0</v>
      </c>
      <c r="N803">
        <f>COUNTBLANK(Metadata!B803:F803)=COLUMNS(Metadata!B803:F803)</f>
        <v>0</v>
      </c>
      <c r="O803">
        <v>0</v>
      </c>
      <c r="Q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>
        <f>AND(IF(Metadata!C803="",FALSE,TRUE),exact(Metadata!C803,"human-skin"))</f>
        <v>0</v>
      </c>
      <c r="S803">
        <f>OR(AND(IF(Metadata!D803="",FALSE,TRUE),OR(exact(Metadata!D803,"missing: not collected"),exact(Metadata!D803,"missing: not provided"))),AND(IF(Metadata!D803="",FALSE,TRUE),OR(exact(Metadata!D803,"UBERON:zone of skin"),exact(Metadata!D803,"UBERON:skin of hand"),exact(Metadata!D803,"UBERON:skin of forehead"))))</f>
        <v>0</v>
      </c>
      <c r="T803">
        <f>AND(IF(Metadata!E803="",FALSE,TRUE),exact(Metadata!E803,"human skin metagenome"))</f>
        <v>0</v>
      </c>
      <c r="U803">
        <f>AND(IF(Metadata!F803="",FALSE,TRUE),exact(Metadata!F803,"539655"))</f>
        <v>0</v>
      </c>
    </row>
    <row r="804" spans="1:21">
      <c r="A804" s="4">
        <f>IF(B804=" "," ",HYPERLINK(CONCATENATE("#metadata!",ADDRESS(INDEX($L$2:$L$1001,MATCH(ROWS($J$2:J804),$J$2:$J$1001,0),0),1)),INDEX($O$2:$O$1001,MATCH(ROWS($J$2:J804),$J$2:$J$1001,0),0)))</f>
        <v>0</v>
      </c>
      <c r="B804" s="3">
        <f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>0</v>
      </c>
      <c r="C804" s="3">
        <f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>0</v>
      </c>
      <c r="D804" s="3">
        <f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>0</v>
      </c>
      <c r="E804" s="3">
        <f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>0</v>
      </c>
      <c r="F804" s="3">
        <f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>0</v>
      </c>
      <c r="J804">
        <v>0</v>
      </c>
      <c r="K804">
        <v>0</v>
      </c>
      <c r="L804">
        <v>0</v>
      </c>
      <c r="M804">
        <f>IF(N804,TRUE,AND(Q804:U804))</f>
        <v>0</v>
      </c>
      <c r="N804">
        <f>COUNTBLANK(Metadata!B804:F804)=COLUMNS(Metadata!B804:F804)</f>
        <v>0</v>
      </c>
      <c r="O804">
        <v>0</v>
      </c>
      <c r="Q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>
        <f>AND(IF(Metadata!C804="",FALSE,TRUE),exact(Metadata!C804,"human-skin"))</f>
        <v>0</v>
      </c>
      <c r="S804">
        <f>OR(AND(IF(Metadata!D804="",FALSE,TRUE),OR(exact(Metadata!D804,"missing: not collected"),exact(Metadata!D804,"missing: not provided"))),AND(IF(Metadata!D804="",FALSE,TRUE),OR(exact(Metadata!D804,"UBERON:zone of skin"),exact(Metadata!D804,"UBERON:skin of hand"),exact(Metadata!D804,"UBERON:skin of forehead"))))</f>
        <v>0</v>
      </c>
      <c r="T804">
        <f>AND(IF(Metadata!E804="",FALSE,TRUE),exact(Metadata!E804,"human skin metagenome"))</f>
        <v>0</v>
      </c>
      <c r="U804">
        <f>AND(IF(Metadata!F804="",FALSE,TRUE),exact(Metadata!F804,"539655"))</f>
        <v>0</v>
      </c>
    </row>
    <row r="805" spans="1:21">
      <c r="A805" s="4">
        <f>IF(B805=" "," ",HYPERLINK(CONCATENATE("#metadata!",ADDRESS(INDEX($L$2:$L$1001,MATCH(ROWS($J$2:J805),$J$2:$J$1001,0),0),1)),INDEX($O$2:$O$1001,MATCH(ROWS($J$2:J805),$J$2:$J$1001,0),0)))</f>
        <v>0</v>
      </c>
      <c r="B805" s="3">
        <f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>0</v>
      </c>
      <c r="C805" s="3">
        <f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>0</v>
      </c>
      <c r="D805" s="3">
        <f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>0</v>
      </c>
      <c r="E805" s="3">
        <f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>0</v>
      </c>
      <c r="F805" s="3">
        <f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>0</v>
      </c>
      <c r="J805">
        <v>0</v>
      </c>
      <c r="K805">
        <v>0</v>
      </c>
      <c r="L805">
        <v>0</v>
      </c>
      <c r="M805">
        <f>IF(N805,TRUE,AND(Q805:U805))</f>
        <v>0</v>
      </c>
      <c r="N805">
        <f>COUNTBLANK(Metadata!B805:F805)=COLUMNS(Metadata!B805:F805)</f>
        <v>0</v>
      </c>
      <c r="O805">
        <v>0</v>
      </c>
      <c r="Q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>
        <f>AND(IF(Metadata!C805="",FALSE,TRUE),exact(Metadata!C805,"human-skin"))</f>
        <v>0</v>
      </c>
      <c r="S805">
        <f>OR(AND(IF(Metadata!D805="",FALSE,TRUE),OR(exact(Metadata!D805,"missing: not collected"),exact(Metadata!D805,"missing: not provided"))),AND(IF(Metadata!D805="",FALSE,TRUE),OR(exact(Metadata!D805,"UBERON:zone of skin"),exact(Metadata!D805,"UBERON:skin of hand"),exact(Metadata!D805,"UBERON:skin of forehead"))))</f>
        <v>0</v>
      </c>
      <c r="T805">
        <f>AND(IF(Metadata!E805="",FALSE,TRUE),exact(Metadata!E805,"human skin metagenome"))</f>
        <v>0</v>
      </c>
      <c r="U805">
        <f>AND(IF(Metadata!F805="",FALSE,TRUE),exact(Metadata!F805,"539655"))</f>
        <v>0</v>
      </c>
    </row>
    <row r="806" spans="1:21">
      <c r="A806" s="4">
        <f>IF(B806=" "," ",HYPERLINK(CONCATENATE("#metadata!",ADDRESS(INDEX($L$2:$L$1001,MATCH(ROWS($J$2:J806),$J$2:$J$1001,0),0),1)),INDEX($O$2:$O$1001,MATCH(ROWS($J$2:J806),$J$2:$J$1001,0),0)))</f>
        <v>0</v>
      </c>
      <c r="B806" s="3">
        <f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>0</v>
      </c>
      <c r="C806" s="3">
        <f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>0</v>
      </c>
      <c r="D806" s="3">
        <f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>0</v>
      </c>
      <c r="E806" s="3">
        <f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>0</v>
      </c>
      <c r="F806" s="3">
        <f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>0</v>
      </c>
      <c r="J806">
        <v>0</v>
      </c>
      <c r="K806">
        <v>0</v>
      </c>
      <c r="L806">
        <v>0</v>
      </c>
      <c r="M806">
        <f>IF(N806,TRUE,AND(Q806:U806))</f>
        <v>0</v>
      </c>
      <c r="N806">
        <f>COUNTBLANK(Metadata!B806:F806)=COLUMNS(Metadata!B806:F806)</f>
        <v>0</v>
      </c>
      <c r="O806">
        <v>0</v>
      </c>
      <c r="Q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>
        <f>AND(IF(Metadata!C806="",FALSE,TRUE),exact(Metadata!C806,"human-skin"))</f>
        <v>0</v>
      </c>
      <c r="S806">
        <f>OR(AND(IF(Metadata!D806="",FALSE,TRUE),OR(exact(Metadata!D806,"missing: not collected"),exact(Metadata!D806,"missing: not provided"))),AND(IF(Metadata!D806="",FALSE,TRUE),OR(exact(Metadata!D806,"UBERON:zone of skin"),exact(Metadata!D806,"UBERON:skin of hand"),exact(Metadata!D806,"UBERON:skin of forehead"))))</f>
        <v>0</v>
      </c>
      <c r="T806">
        <f>AND(IF(Metadata!E806="",FALSE,TRUE),exact(Metadata!E806,"human skin metagenome"))</f>
        <v>0</v>
      </c>
      <c r="U806">
        <f>AND(IF(Metadata!F806="",FALSE,TRUE),exact(Metadata!F806,"539655"))</f>
        <v>0</v>
      </c>
    </row>
    <row r="807" spans="1:21">
      <c r="A807" s="4">
        <f>IF(B807=" "," ",HYPERLINK(CONCATENATE("#metadata!",ADDRESS(INDEX($L$2:$L$1001,MATCH(ROWS($J$2:J807),$J$2:$J$1001,0),0),1)),INDEX($O$2:$O$1001,MATCH(ROWS($J$2:J807),$J$2:$J$1001,0),0)))</f>
        <v>0</v>
      </c>
      <c r="B807" s="3">
        <f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>0</v>
      </c>
      <c r="C807" s="3">
        <f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>0</v>
      </c>
      <c r="D807" s="3">
        <f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>0</v>
      </c>
      <c r="E807" s="3">
        <f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>0</v>
      </c>
      <c r="F807" s="3">
        <f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>0</v>
      </c>
      <c r="J807">
        <v>0</v>
      </c>
      <c r="K807">
        <v>0</v>
      </c>
      <c r="L807">
        <v>0</v>
      </c>
      <c r="M807">
        <f>IF(N807,TRUE,AND(Q807:U807))</f>
        <v>0</v>
      </c>
      <c r="N807">
        <f>COUNTBLANK(Metadata!B807:F807)=COLUMNS(Metadata!B807:F807)</f>
        <v>0</v>
      </c>
      <c r="O807">
        <v>0</v>
      </c>
      <c r="Q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>
        <f>AND(IF(Metadata!C807="",FALSE,TRUE),exact(Metadata!C807,"human-skin"))</f>
        <v>0</v>
      </c>
      <c r="S807">
        <f>OR(AND(IF(Metadata!D807="",FALSE,TRUE),OR(exact(Metadata!D807,"missing: not collected"),exact(Metadata!D807,"missing: not provided"))),AND(IF(Metadata!D807="",FALSE,TRUE),OR(exact(Metadata!D807,"UBERON:zone of skin"),exact(Metadata!D807,"UBERON:skin of hand"),exact(Metadata!D807,"UBERON:skin of forehead"))))</f>
        <v>0</v>
      </c>
      <c r="T807">
        <f>AND(IF(Metadata!E807="",FALSE,TRUE),exact(Metadata!E807,"human skin metagenome"))</f>
        <v>0</v>
      </c>
      <c r="U807">
        <f>AND(IF(Metadata!F807="",FALSE,TRUE),exact(Metadata!F807,"539655"))</f>
        <v>0</v>
      </c>
    </row>
    <row r="808" spans="1:21">
      <c r="A808" s="4">
        <f>IF(B808=" "," ",HYPERLINK(CONCATENATE("#metadata!",ADDRESS(INDEX($L$2:$L$1001,MATCH(ROWS($J$2:J808),$J$2:$J$1001,0),0),1)),INDEX($O$2:$O$1001,MATCH(ROWS($J$2:J808),$J$2:$J$1001,0),0)))</f>
        <v>0</v>
      </c>
      <c r="B808" s="3">
        <f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>0</v>
      </c>
      <c r="C808" s="3">
        <f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>0</v>
      </c>
      <c r="D808" s="3">
        <f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>0</v>
      </c>
      <c r="E808" s="3">
        <f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>0</v>
      </c>
      <c r="F808" s="3">
        <f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>0</v>
      </c>
      <c r="J808">
        <v>0</v>
      </c>
      <c r="K808">
        <v>0</v>
      </c>
      <c r="L808">
        <v>0</v>
      </c>
      <c r="M808">
        <f>IF(N808,TRUE,AND(Q808:U808))</f>
        <v>0</v>
      </c>
      <c r="N808">
        <f>COUNTBLANK(Metadata!B808:F808)=COLUMNS(Metadata!B808:F808)</f>
        <v>0</v>
      </c>
      <c r="O808">
        <v>0</v>
      </c>
      <c r="Q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>
        <f>AND(IF(Metadata!C808="",FALSE,TRUE),exact(Metadata!C808,"human-skin"))</f>
        <v>0</v>
      </c>
      <c r="S808">
        <f>OR(AND(IF(Metadata!D808="",FALSE,TRUE),OR(exact(Metadata!D808,"missing: not collected"),exact(Metadata!D808,"missing: not provided"))),AND(IF(Metadata!D808="",FALSE,TRUE),OR(exact(Metadata!D808,"UBERON:zone of skin"),exact(Metadata!D808,"UBERON:skin of hand"),exact(Metadata!D808,"UBERON:skin of forehead"))))</f>
        <v>0</v>
      </c>
      <c r="T808">
        <f>AND(IF(Metadata!E808="",FALSE,TRUE),exact(Metadata!E808,"human skin metagenome"))</f>
        <v>0</v>
      </c>
      <c r="U808">
        <f>AND(IF(Metadata!F808="",FALSE,TRUE),exact(Metadata!F808,"539655"))</f>
        <v>0</v>
      </c>
    </row>
    <row r="809" spans="1:21">
      <c r="A809" s="4">
        <f>IF(B809=" "," ",HYPERLINK(CONCATENATE("#metadata!",ADDRESS(INDEX($L$2:$L$1001,MATCH(ROWS($J$2:J809),$J$2:$J$1001,0),0),1)),INDEX($O$2:$O$1001,MATCH(ROWS($J$2:J809),$J$2:$J$1001,0),0)))</f>
        <v>0</v>
      </c>
      <c r="B809" s="3">
        <f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>0</v>
      </c>
      <c r="C809" s="3">
        <f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>0</v>
      </c>
      <c r="D809" s="3">
        <f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>0</v>
      </c>
      <c r="E809" s="3">
        <f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>0</v>
      </c>
      <c r="F809" s="3">
        <f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>0</v>
      </c>
      <c r="J809">
        <v>0</v>
      </c>
      <c r="K809">
        <v>0</v>
      </c>
      <c r="L809">
        <v>0</v>
      </c>
      <c r="M809">
        <f>IF(N809,TRUE,AND(Q809:U809))</f>
        <v>0</v>
      </c>
      <c r="N809">
        <f>COUNTBLANK(Metadata!B809:F809)=COLUMNS(Metadata!B809:F809)</f>
        <v>0</v>
      </c>
      <c r="O809">
        <v>0</v>
      </c>
      <c r="Q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>
        <f>AND(IF(Metadata!C809="",FALSE,TRUE),exact(Metadata!C809,"human-skin"))</f>
        <v>0</v>
      </c>
      <c r="S809">
        <f>OR(AND(IF(Metadata!D809="",FALSE,TRUE),OR(exact(Metadata!D809,"missing: not collected"),exact(Metadata!D809,"missing: not provided"))),AND(IF(Metadata!D809="",FALSE,TRUE),OR(exact(Metadata!D809,"UBERON:zone of skin"),exact(Metadata!D809,"UBERON:skin of hand"),exact(Metadata!D809,"UBERON:skin of forehead"))))</f>
        <v>0</v>
      </c>
      <c r="T809">
        <f>AND(IF(Metadata!E809="",FALSE,TRUE),exact(Metadata!E809,"human skin metagenome"))</f>
        <v>0</v>
      </c>
      <c r="U809">
        <f>AND(IF(Metadata!F809="",FALSE,TRUE),exact(Metadata!F809,"539655"))</f>
        <v>0</v>
      </c>
    </row>
    <row r="810" spans="1:21">
      <c r="A810" s="4">
        <f>IF(B810=" "," ",HYPERLINK(CONCATENATE("#metadata!",ADDRESS(INDEX($L$2:$L$1001,MATCH(ROWS($J$2:J810),$J$2:$J$1001,0),0),1)),INDEX($O$2:$O$1001,MATCH(ROWS($J$2:J810),$J$2:$J$1001,0),0)))</f>
        <v>0</v>
      </c>
      <c r="B810" s="3">
        <f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>0</v>
      </c>
      <c r="C810" s="3">
        <f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>0</v>
      </c>
      <c r="D810" s="3">
        <f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>0</v>
      </c>
      <c r="E810" s="3">
        <f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>0</v>
      </c>
      <c r="F810" s="3">
        <f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>0</v>
      </c>
      <c r="J810">
        <v>0</v>
      </c>
      <c r="K810">
        <v>0</v>
      </c>
      <c r="L810">
        <v>0</v>
      </c>
      <c r="M810">
        <f>IF(N810,TRUE,AND(Q810:U810))</f>
        <v>0</v>
      </c>
      <c r="N810">
        <f>COUNTBLANK(Metadata!B810:F810)=COLUMNS(Metadata!B810:F810)</f>
        <v>0</v>
      </c>
      <c r="O810">
        <v>0</v>
      </c>
      <c r="Q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>
        <f>AND(IF(Metadata!C810="",FALSE,TRUE),exact(Metadata!C810,"human-skin"))</f>
        <v>0</v>
      </c>
      <c r="S810">
        <f>OR(AND(IF(Metadata!D810="",FALSE,TRUE),OR(exact(Metadata!D810,"missing: not collected"),exact(Metadata!D810,"missing: not provided"))),AND(IF(Metadata!D810="",FALSE,TRUE),OR(exact(Metadata!D810,"UBERON:zone of skin"),exact(Metadata!D810,"UBERON:skin of hand"),exact(Metadata!D810,"UBERON:skin of forehead"))))</f>
        <v>0</v>
      </c>
      <c r="T810">
        <f>AND(IF(Metadata!E810="",FALSE,TRUE),exact(Metadata!E810,"human skin metagenome"))</f>
        <v>0</v>
      </c>
      <c r="U810">
        <f>AND(IF(Metadata!F810="",FALSE,TRUE),exact(Metadata!F810,"539655"))</f>
        <v>0</v>
      </c>
    </row>
    <row r="811" spans="1:21">
      <c r="A811" s="4">
        <f>IF(B811=" "," ",HYPERLINK(CONCATENATE("#metadata!",ADDRESS(INDEX($L$2:$L$1001,MATCH(ROWS($J$2:J811),$J$2:$J$1001,0),0),1)),INDEX($O$2:$O$1001,MATCH(ROWS($J$2:J811),$J$2:$J$1001,0),0)))</f>
        <v>0</v>
      </c>
      <c r="B811" s="3">
        <f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>0</v>
      </c>
      <c r="C811" s="3">
        <f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>0</v>
      </c>
      <c r="D811" s="3">
        <f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>0</v>
      </c>
      <c r="E811" s="3">
        <f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>0</v>
      </c>
      <c r="F811" s="3">
        <f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>0</v>
      </c>
      <c r="J811">
        <v>0</v>
      </c>
      <c r="K811">
        <v>0</v>
      </c>
      <c r="L811">
        <v>0</v>
      </c>
      <c r="M811">
        <f>IF(N811,TRUE,AND(Q811:U811))</f>
        <v>0</v>
      </c>
      <c r="N811">
        <f>COUNTBLANK(Metadata!B811:F811)=COLUMNS(Metadata!B811:F811)</f>
        <v>0</v>
      </c>
      <c r="O811">
        <v>0</v>
      </c>
      <c r="Q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>
        <f>AND(IF(Metadata!C811="",FALSE,TRUE),exact(Metadata!C811,"human-skin"))</f>
        <v>0</v>
      </c>
      <c r="S811">
        <f>OR(AND(IF(Metadata!D811="",FALSE,TRUE),OR(exact(Metadata!D811,"missing: not collected"),exact(Metadata!D811,"missing: not provided"))),AND(IF(Metadata!D811="",FALSE,TRUE),OR(exact(Metadata!D811,"UBERON:zone of skin"),exact(Metadata!D811,"UBERON:skin of hand"),exact(Metadata!D811,"UBERON:skin of forehead"))))</f>
        <v>0</v>
      </c>
      <c r="T811">
        <f>AND(IF(Metadata!E811="",FALSE,TRUE),exact(Metadata!E811,"human skin metagenome"))</f>
        <v>0</v>
      </c>
      <c r="U811">
        <f>AND(IF(Metadata!F811="",FALSE,TRUE),exact(Metadata!F811,"539655"))</f>
        <v>0</v>
      </c>
    </row>
    <row r="812" spans="1:21">
      <c r="A812" s="4">
        <f>IF(B812=" "," ",HYPERLINK(CONCATENATE("#metadata!",ADDRESS(INDEX($L$2:$L$1001,MATCH(ROWS($J$2:J812),$J$2:$J$1001,0),0),1)),INDEX($O$2:$O$1001,MATCH(ROWS($J$2:J812),$J$2:$J$1001,0),0)))</f>
        <v>0</v>
      </c>
      <c r="B812" s="3">
        <f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>0</v>
      </c>
      <c r="C812" s="3">
        <f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>0</v>
      </c>
      <c r="D812" s="3">
        <f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>0</v>
      </c>
      <c r="E812" s="3">
        <f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>0</v>
      </c>
      <c r="F812" s="3">
        <f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>0</v>
      </c>
      <c r="J812">
        <v>0</v>
      </c>
      <c r="K812">
        <v>0</v>
      </c>
      <c r="L812">
        <v>0</v>
      </c>
      <c r="M812">
        <f>IF(N812,TRUE,AND(Q812:U812))</f>
        <v>0</v>
      </c>
      <c r="N812">
        <f>COUNTBLANK(Metadata!B812:F812)=COLUMNS(Metadata!B812:F812)</f>
        <v>0</v>
      </c>
      <c r="O812">
        <v>0</v>
      </c>
      <c r="Q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>
        <f>AND(IF(Metadata!C812="",FALSE,TRUE),exact(Metadata!C812,"human-skin"))</f>
        <v>0</v>
      </c>
      <c r="S812">
        <f>OR(AND(IF(Metadata!D812="",FALSE,TRUE),OR(exact(Metadata!D812,"missing: not collected"),exact(Metadata!D812,"missing: not provided"))),AND(IF(Metadata!D812="",FALSE,TRUE),OR(exact(Metadata!D812,"UBERON:zone of skin"),exact(Metadata!D812,"UBERON:skin of hand"),exact(Metadata!D812,"UBERON:skin of forehead"))))</f>
        <v>0</v>
      </c>
      <c r="T812">
        <f>AND(IF(Metadata!E812="",FALSE,TRUE),exact(Metadata!E812,"human skin metagenome"))</f>
        <v>0</v>
      </c>
      <c r="U812">
        <f>AND(IF(Metadata!F812="",FALSE,TRUE),exact(Metadata!F812,"539655"))</f>
        <v>0</v>
      </c>
    </row>
    <row r="813" spans="1:21">
      <c r="A813" s="4">
        <f>IF(B813=" "," ",HYPERLINK(CONCATENATE("#metadata!",ADDRESS(INDEX($L$2:$L$1001,MATCH(ROWS($J$2:J813),$J$2:$J$1001,0),0),1)),INDEX($O$2:$O$1001,MATCH(ROWS($J$2:J813),$J$2:$J$1001,0),0)))</f>
        <v>0</v>
      </c>
      <c r="B813" s="3">
        <f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>0</v>
      </c>
      <c r="C813" s="3">
        <f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>0</v>
      </c>
      <c r="D813" s="3">
        <f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>0</v>
      </c>
      <c r="E813" s="3">
        <f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>0</v>
      </c>
      <c r="F813" s="3">
        <f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>0</v>
      </c>
      <c r="J813">
        <v>0</v>
      </c>
      <c r="K813">
        <v>0</v>
      </c>
      <c r="L813">
        <v>0</v>
      </c>
      <c r="M813">
        <f>IF(N813,TRUE,AND(Q813:U813))</f>
        <v>0</v>
      </c>
      <c r="N813">
        <f>COUNTBLANK(Metadata!B813:F813)=COLUMNS(Metadata!B813:F813)</f>
        <v>0</v>
      </c>
      <c r="O813">
        <v>0</v>
      </c>
      <c r="Q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>
        <f>AND(IF(Metadata!C813="",FALSE,TRUE),exact(Metadata!C813,"human-skin"))</f>
        <v>0</v>
      </c>
      <c r="S813">
        <f>OR(AND(IF(Metadata!D813="",FALSE,TRUE),OR(exact(Metadata!D813,"missing: not collected"),exact(Metadata!D813,"missing: not provided"))),AND(IF(Metadata!D813="",FALSE,TRUE),OR(exact(Metadata!D813,"UBERON:zone of skin"),exact(Metadata!D813,"UBERON:skin of hand"),exact(Metadata!D813,"UBERON:skin of forehead"))))</f>
        <v>0</v>
      </c>
      <c r="T813">
        <f>AND(IF(Metadata!E813="",FALSE,TRUE),exact(Metadata!E813,"human skin metagenome"))</f>
        <v>0</v>
      </c>
      <c r="U813">
        <f>AND(IF(Metadata!F813="",FALSE,TRUE),exact(Metadata!F813,"539655"))</f>
        <v>0</v>
      </c>
    </row>
    <row r="814" spans="1:21">
      <c r="A814" s="4">
        <f>IF(B814=" "," ",HYPERLINK(CONCATENATE("#metadata!",ADDRESS(INDEX($L$2:$L$1001,MATCH(ROWS($J$2:J814),$J$2:$J$1001,0),0),1)),INDEX($O$2:$O$1001,MATCH(ROWS($J$2:J814),$J$2:$J$1001,0),0)))</f>
        <v>0</v>
      </c>
      <c r="B814" s="3">
        <f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>0</v>
      </c>
      <c r="C814" s="3">
        <f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>0</v>
      </c>
      <c r="D814" s="3">
        <f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>0</v>
      </c>
      <c r="E814" s="3">
        <f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>0</v>
      </c>
      <c r="F814" s="3">
        <f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>0</v>
      </c>
      <c r="J814">
        <v>0</v>
      </c>
      <c r="K814">
        <v>0</v>
      </c>
      <c r="L814">
        <v>0</v>
      </c>
      <c r="M814">
        <f>IF(N814,TRUE,AND(Q814:U814))</f>
        <v>0</v>
      </c>
      <c r="N814">
        <f>COUNTBLANK(Metadata!B814:F814)=COLUMNS(Metadata!B814:F814)</f>
        <v>0</v>
      </c>
      <c r="O814">
        <v>0</v>
      </c>
      <c r="Q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>
        <f>AND(IF(Metadata!C814="",FALSE,TRUE),exact(Metadata!C814,"human-skin"))</f>
        <v>0</v>
      </c>
      <c r="S814">
        <f>OR(AND(IF(Metadata!D814="",FALSE,TRUE),OR(exact(Metadata!D814,"missing: not collected"),exact(Metadata!D814,"missing: not provided"))),AND(IF(Metadata!D814="",FALSE,TRUE),OR(exact(Metadata!D814,"UBERON:zone of skin"),exact(Metadata!D814,"UBERON:skin of hand"),exact(Metadata!D814,"UBERON:skin of forehead"))))</f>
        <v>0</v>
      </c>
      <c r="T814">
        <f>AND(IF(Metadata!E814="",FALSE,TRUE),exact(Metadata!E814,"human skin metagenome"))</f>
        <v>0</v>
      </c>
      <c r="U814">
        <f>AND(IF(Metadata!F814="",FALSE,TRUE),exact(Metadata!F814,"539655"))</f>
        <v>0</v>
      </c>
    </row>
    <row r="815" spans="1:21">
      <c r="A815" s="4">
        <f>IF(B815=" "," ",HYPERLINK(CONCATENATE("#metadata!",ADDRESS(INDEX($L$2:$L$1001,MATCH(ROWS($J$2:J815),$J$2:$J$1001,0),0),1)),INDEX($O$2:$O$1001,MATCH(ROWS($J$2:J815),$J$2:$J$1001,0),0)))</f>
        <v>0</v>
      </c>
      <c r="B815" s="3">
        <f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>0</v>
      </c>
      <c r="C815" s="3">
        <f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>0</v>
      </c>
      <c r="D815" s="3">
        <f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>0</v>
      </c>
      <c r="E815" s="3">
        <f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>0</v>
      </c>
      <c r="F815" s="3">
        <f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>0</v>
      </c>
      <c r="J815">
        <v>0</v>
      </c>
      <c r="K815">
        <v>0</v>
      </c>
      <c r="L815">
        <v>0</v>
      </c>
      <c r="M815">
        <f>IF(N815,TRUE,AND(Q815:U815))</f>
        <v>0</v>
      </c>
      <c r="N815">
        <f>COUNTBLANK(Metadata!B815:F815)=COLUMNS(Metadata!B815:F815)</f>
        <v>0</v>
      </c>
      <c r="O815">
        <v>0</v>
      </c>
      <c r="Q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>
        <f>AND(IF(Metadata!C815="",FALSE,TRUE),exact(Metadata!C815,"human-skin"))</f>
        <v>0</v>
      </c>
      <c r="S815">
        <f>OR(AND(IF(Metadata!D815="",FALSE,TRUE),OR(exact(Metadata!D815,"missing: not collected"),exact(Metadata!D815,"missing: not provided"))),AND(IF(Metadata!D815="",FALSE,TRUE),OR(exact(Metadata!D815,"UBERON:zone of skin"),exact(Metadata!D815,"UBERON:skin of hand"),exact(Metadata!D815,"UBERON:skin of forehead"))))</f>
        <v>0</v>
      </c>
      <c r="T815">
        <f>AND(IF(Metadata!E815="",FALSE,TRUE),exact(Metadata!E815,"human skin metagenome"))</f>
        <v>0</v>
      </c>
      <c r="U815">
        <f>AND(IF(Metadata!F815="",FALSE,TRUE),exact(Metadata!F815,"539655"))</f>
        <v>0</v>
      </c>
    </row>
    <row r="816" spans="1:21">
      <c r="A816" s="4">
        <f>IF(B816=" "," ",HYPERLINK(CONCATENATE("#metadata!",ADDRESS(INDEX($L$2:$L$1001,MATCH(ROWS($J$2:J816),$J$2:$J$1001,0),0),1)),INDEX($O$2:$O$1001,MATCH(ROWS($J$2:J816),$J$2:$J$1001,0),0)))</f>
        <v>0</v>
      </c>
      <c r="B816" s="3">
        <f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>0</v>
      </c>
      <c r="C816" s="3">
        <f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>0</v>
      </c>
      <c r="D816" s="3">
        <f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>0</v>
      </c>
      <c r="E816" s="3">
        <f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>0</v>
      </c>
      <c r="F816" s="3">
        <f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>0</v>
      </c>
      <c r="J816">
        <v>0</v>
      </c>
      <c r="K816">
        <v>0</v>
      </c>
      <c r="L816">
        <v>0</v>
      </c>
      <c r="M816">
        <f>IF(N816,TRUE,AND(Q816:U816))</f>
        <v>0</v>
      </c>
      <c r="N816">
        <f>COUNTBLANK(Metadata!B816:F816)=COLUMNS(Metadata!B816:F816)</f>
        <v>0</v>
      </c>
      <c r="O816">
        <v>0</v>
      </c>
      <c r="Q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>
        <f>AND(IF(Metadata!C816="",FALSE,TRUE),exact(Metadata!C816,"human-skin"))</f>
        <v>0</v>
      </c>
      <c r="S816">
        <f>OR(AND(IF(Metadata!D816="",FALSE,TRUE),OR(exact(Metadata!D816,"missing: not collected"),exact(Metadata!D816,"missing: not provided"))),AND(IF(Metadata!D816="",FALSE,TRUE),OR(exact(Metadata!D816,"UBERON:zone of skin"),exact(Metadata!D816,"UBERON:skin of hand"),exact(Metadata!D816,"UBERON:skin of forehead"))))</f>
        <v>0</v>
      </c>
      <c r="T816">
        <f>AND(IF(Metadata!E816="",FALSE,TRUE),exact(Metadata!E816,"human skin metagenome"))</f>
        <v>0</v>
      </c>
      <c r="U816">
        <f>AND(IF(Metadata!F816="",FALSE,TRUE),exact(Metadata!F816,"539655"))</f>
        <v>0</v>
      </c>
    </row>
    <row r="817" spans="1:21">
      <c r="A817" s="4">
        <f>IF(B817=" "," ",HYPERLINK(CONCATENATE("#metadata!",ADDRESS(INDEX($L$2:$L$1001,MATCH(ROWS($J$2:J817),$J$2:$J$1001,0),0),1)),INDEX($O$2:$O$1001,MATCH(ROWS($J$2:J817),$J$2:$J$1001,0),0)))</f>
        <v>0</v>
      </c>
      <c r="B817" s="3">
        <f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>0</v>
      </c>
      <c r="C817" s="3">
        <f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>0</v>
      </c>
      <c r="D817" s="3">
        <f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>0</v>
      </c>
      <c r="E817" s="3">
        <f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>0</v>
      </c>
      <c r="F817" s="3">
        <f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>0</v>
      </c>
      <c r="J817">
        <v>0</v>
      </c>
      <c r="K817">
        <v>0</v>
      </c>
      <c r="L817">
        <v>0</v>
      </c>
      <c r="M817">
        <f>IF(N817,TRUE,AND(Q817:U817))</f>
        <v>0</v>
      </c>
      <c r="N817">
        <f>COUNTBLANK(Metadata!B817:F817)=COLUMNS(Metadata!B817:F817)</f>
        <v>0</v>
      </c>
      <c r="O817">
        <v>0</v>
      </c>
      <c r="Q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>
        <f>AND(IF(Metadata!C817="",FALSE,TRUE),exact(Metadata!C817,"human-skin"))</f>
        <v>0</v>
      </c>
      <c r="S817">
        <f>OR(AND(IF(Metadata!D817="",FALSE,TRUE),OR(exact(Metadata!D817,"missing: not collected"),exact(Metadata!D817,"missing: not provided"))),AND(IF(Metadata!D817="",FALSE,TRUE),OR(exact(Metadata!D817,"UBERON:zone of skin"),exact(Metadata!D817,"UBERON:skin of hand"),exact(Metadata!D817,"UBERON:skin of forehead"))))</f>
        <v>0</v>
      </c>
      <c r="T817">
        <f>AND(IF(Metadata!E817="",FALSE,TRUE),exact(Metadata!E817,"human skin metagenome"))</f>
        <v>0</v>
      </c>
      <c r="U817">
        <f>AND(IF(Metadata!F817="",FALSE,TRUE),exact(Metadata!F817,"539655"))</f>
        <v>0</v>
      </c>
    </row>
    <row r="818" spans="1:21">
      <c r="A818" s="4">
        <f>IF(B818=" "," ",HYPERLINK(CONCATENATE("#metadata!",ADDRESS(INDEX($L$2:$L$1001,MATCH(ROWS($J$2:J818),$J$2:$J$1001,0),0),1)),INDEX($O$2:$O$1001,MATCH(ROWS($J$2:J818),$J$2:$J$1001,0),0)))</f>
        <v>0</v>
      </c>
      <c r="B818" s="3">
        <f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>0</v>
      </c>
      <c r="C818" s="3">
        <f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>0</v>
      </c>
      <c r="D818" s="3">
        <f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>0</v>
      </c>
      <c r="E818" s="3">
        <f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>0</v>
      </c>
      <c r="F818" s="3">
        <f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>0</v>
      </c>
      <c r="J818">
        <v>0</v>
      </c>
      <c r="K818">
        <v>0</v>
      </c>
      <c r="L818">
        <v>0</v>
      </c>
      <c r="M818">
        <f>IF(N818,TRUE,AND(Q818:U818))</f>
        <v>0</v>
      </c>
      <c r="N818">
        <f>COUNTBLANK(Metadata!B818:F818)=COLUMNS(Metadata!B818:F818)</f>
        <v>0</v>
      </c>
      <c r="O818">
        <v>0</v>
      </c>
      <c r="Q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>
        <f>AND(IF(Metadata!C818="",FALSE,TRUE),exact(Metadata!C818,"human-skin"))</f>
        <v>0</v>
      </c>
      <c r="S818">
        <f>OR(AND(IF(Metadata!D818="",FALSE,TRUE),OR(exact(Metadata!D818,"missing: not collected"),exact(Metadata!D818,"missing: not provided"))),AND(IF(Metadata!D818="",FALSE,TRUE),OR(exact(Metadata!D818,"UBERON:zone of skin"),exact(Metadata!D818,"UBERON:skin of hand"),exact(Metadata!D818,"UBERON:skin of forehead"))))</f>
        <v>0</v>
      </c>
      <c r="T818">
        <f>AND(IF(Metadata!E818="",FALSE,TRUE),exact(Metadata!E818,"human skin metagenome"))</f>
        <v>0</v>
      </c>
      <c r="U818">
        <f>AND(IF(Metadata!F818="",FALSE,TRUE),exact(Metadata!F818,"539655"))</f>
        <v>0</v>
      </c>
    </row>
    <row r="819" spans="1:21">
      <c r="A819" s="4">
        <f>IF(B819=" "," ",HYPERLINK(CONCATENATE("#metadata!",ADDRESS(INDEX($L$2:$L$1001,MATCH(ROWS($J$2:J819),$J$2:$J$1001,0),0),1)),INDEX($O$2:$O$1001,MATCH(ROWS($J$2:J819),$J$2:$J$1001,0),0)))</f>
        <v>0</v>
      </c>
      <c r="B819" s="3">
        <f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>0</v>
      </c>
      <c r="C819" s="3">
        <f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>0</v>
      </c>
      <c r="D819" s="3">
        <f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>0</v>
      </c>
      <c r="E819" s="3">
        <f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>0</v>
      </c>
      <c r="F819" s="3">
        <f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>0</v>
      </c>
      <c r="J819">
        <v>0</v>
      </c>
      <c r="K819">
        <v>0</v>
      </c>
      <c r="L819">
        <v>0</v>
      </c>
      <c r="M819">
        <f>IF(N819,TRUE,AND(Q819:U819))</f>
        <v>0</v>
      </c>
      <c r="N819">
        <f>COUNTBLANK(Metadata!B819:F819)=COLUMNS(Metadata!B819:F819)</f>
        <v>0</v>
      </c>
      <c r="O819">
        <v>0</v>
      </c>
      <c r="Q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>
        <f>AND(IF(Metadata!C819="",FALSE,TRUE),exact(Metadata!C819,"human-skin"))</f>
        <v>0</v>
      </c>
      <c r="S819">
        <f>OR(AND(IF(Metadata!D819="",FALSE,TRUE),OR(exact(Metadata!D819,"missing: not collected"),exact(Metadata!D819,"missing: not provided"))),AND(IF(Metadata!D819="",FALSE,TRUE),OR(exact(Metadata!D819,"UBERON:zone of skin"),exact(Metadata!D819,"UBERON:skin of hand"),exact(Metadata!D819,"UBERON:skin of forehead"))))</f>
        <v>0</v>
      </c>
      <c r="T819">
        <f>AND(IF(Metadata!E819="",FALSE,TRUE),exact(Metadata!E819,"human skin metagenome"))</f>
        <v>0</v>
      </c>
      <c r="U819">
        <f>AND(IF(Metadata!F819="",FALSE,TRUE),exact(Metadata!F819,"539655"))</f>
        <v>0</v>
      </c>
    </row>
    <row r="820" spans="1:21">
      <c r="A820" s="4">
        <f>IF(B820=" "," ",HYPERLINK(CONCATENATE("#metadata!",ADDRESS(INDEX($L$2:$L$1001,MATCH(ROWS($J$2:J820),$J$2:$J$1001,0),0),1)),INDEX($O$2:$O$1001,MATCH(ROWS($J$2:J820),$J$2:$J$1001,0),0)))</f>
        <v>0</v>
      </c>
      <c r="B820" s="3">
        <f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>0</v>
      </c>
      <c r="C820" s="3">
        <f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>0</v>
      </c>
      <c r="D820" s="3">
        <f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>0</v>
      </c>
      <c r="E820" s="3">
        <f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>0</v>
      </c>
      <c r="F820" s="3">
        <f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>0</v>
      </c>
      <c r="J820">
        <v>0</v>
      </c>
      <c r="K820">
        <v>0</v>
      </c>
      <c r="L820">
        <v>0</v>
      </c>
      <c r="M820">
        <f>IF(N820,TRUE,AND(Q820:U820))</f>
        <v>0</v>
      </c>
      <c r="N820">
        <f>COUNTBLANK(Metadata!B820:F820)=COLUMNS(Metadata!B820:F820)</f>
        <v>0</v>
      </c>
      <c r="O820">
        <v>0</v>
      </c>
      <c r="Q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>
        <f>AND(IF(Metadata!C820="",FALSE,TRUE),exact(Metadata!C820,"human-skin"))</f>
        <v>0</v>
      </c>
      <c r="S820">
        <f>OR(AND(IF(Metadata!D820="",FALSE,TRUE),OR(exact(Metadata!D820,"missing: not collected"),exact(Metadata!D820,"missing: not provided"))),AND(IF(Metadata!D820="",FALSE,TRUE),OR(exact(Metadata!D820,"UBERON:zone of skin"),exact(Metadata!D820,"UBERON:skin of hand"),exact(Metadata!D820,"UBERON:skin of forehead"))))</f>
        <v>0</v>
      </c>
      <c r="T820">
        <f>AND(IF(Metadata!E820="",FALSE,TRUE),exact(Metadata!E820,"human skin metagenome"))</f>
        <v>0</v>
      </c>
      <c r="U820">
        <f>AND(IF(Metadata!F820="",FALSE,TRUE),exact(Metadata!F820,"539655"))</f>
        <v>0</v>
      </c>
    </row>
    <row r="821" spans="1:21">
      <c r="A821" s="4">
        <f>IF(B821=" "," ",HYPERLINK(CONCATENATE("#metadata!",ADDRESS(INDEX($L$2:$L$1001,MATCH(ROWS($J$2:J821),$J$2:$J$1001,0),0),1)),INDEX($O$2:$O$1001,MATCH(ROWS($J$2:J821),$J$2:$J$1001,0),0)))</f>
        <v>0</v>
      </c>
      <c r="B821" s="3">
        <f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>0</v>
      </c>
      <c r="C821" s="3">
        <f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>0</v>
      </c>
      <c r="D821" s="3">
        <f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>0</v>
      </c>
      <c r="E821" s="3">
        <f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>0</v>
      </c>
      <c r="F821" s="3">
        <f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>0</v>
      </c>
      <c r="J821">
        <v>0</v>
      </c>
      <c r="K821">
        <v>0</v>
      </c>
      <c r="L821">
        <v>0</v>
      </c>
      <c r="M821">
        <f>IF(N821,TRUE,AND(Q821:U821))</f>
        <v>0</v>
      </c>
      <c r="N821">
        <f>COUNTBLANK(Metadata!B821:F821)=COLUMNS(Metadata!B821:F821)</f>
        <v>0</v>
      </c>
      <c r="O821">
        <v>0</v>
      </c>
      <c r="Q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>
        <f>AND(IF(Metadata!C821="",FALSE,TRUE),exact(Metadata!C821,"human-skin"))</f>
        <v>0</v>
      </c>
      <c r="S821">
        <f>OR(AND(IF(Metadata!D821="",FALSE,TRUE),OR(exact(Metadata!D821,"missing: not collected"),exact(Metadata!D821,"missing: not provided"))),AND(IF(Metadata!D821="",FALSE,TRUE),OR(exact(Metadata!D821,"UBERON:zone of skin"),exact(Metadata!D821,"UBERON:skin of hand"),exact(Metadata!D821,"UBERON:skin of forehead"))))</f>
        <v>0</v>
      </c>
      <c r="T821">
        <f>AND(IF(Metadata!E821="",FALSE,TRUE),exact(Metadata!E821,"human skin metagenome"))</f>
        <v>0</v>
      </c>
      <c r="U821">
        <f>AND(IF(Metadata!F821="",FALSE,TRUE),exact(Metadata!F821,"539655"))</f>
        <v>0</v>
      </c>
    </row>
    <row r="822" spans="1:21">
      <c r="A822" s="4">
        <f>IF(B822=" "," ",HYPERLINK(CONCATENATE("#metadata!",ADDRESS(INDEX($L$2:$L$1001,MATCH(ROWS($J$2:J822),$J$2:$J$1001,0),0),1)),INDEX($O$2:$O$1001,MATCH(ROWS($J$2:J822),$J$2:$J$1001,0),0)))</f>
        <v>0</v>
      </c>
      <c r="B822" s="3">
        <f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>0</v>
      </c>
      <c r="C822" s="3">
        <f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>0</v>
      </c>
      <c r="D822" s="3">
        <f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>0</v>
      </c>
      <c r="E822" s="3">
        <f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>0</v>
      </c>
      <c r="F822" s="3">
        <f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>0</v>
      </c>
      <c r="J822">
        <v>0</v>
      </c>
      <c r="K822">
        <v>0</v>
      </c>
      <c r="L822">
        <v>0</v>
      </c>
      <c r="M822">
        <f>IF(N822,TRUE,AND(Q822:U822))</f>
        <v>0</v>
      </c>
      <c r="N822">
        <f>COUNTBLANK(Metadata!B822:F822)=COLUMNS(Metadata!B822:F822)</f>
        <v>0</v>
      </c>
      <c r="O822">
        <v>0</v>
      </c>
      <c r="Q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>
        <f>AND(IF(Metadata!C822="",FALSE,TRUE),exact(Metadata!C822,"human-skin"))</f>
        <v>0</v>
      </c>
      <c r="S822">
        <f>OR(AND(IF(Metadata!D822="",FALSE,TRUE),OR(exact(Metadata!D822,"missing: not collected"),exact(Metadata!D822,"missing: not provided"))),AND(IF(Metadata!D822="",FALSE,TRUE),OR(exact(Metadata!D822,"UBERON:zone of skin"),exact(Metadata!D822,"UBERON:skin of hand"),exact(Metadata!D822,"UBERON:skin of forehead"))))</f>
        <v>0</v>
      </c>
      <c r="T822">
        <f>AND(IF(Metadata!E822="",FALSE,TRUE),exact(Metadata!E822,"human skin metagenome"))</f>
        <v>0</v>
      </c>
      <c r="U822">
        <f>AND(IF(Metadata!F822="",FALSE,TRUE),exact(Metadata!F822,"539655"))</f>
        <v>0</v>
      </c>
    </row>
    <row r="823" spans="1:21">
      <c r="A823" s="4">
        <f>IF(B823=" "," ",HYPERLINK(CONCATENATE("#metadata!",ADDRESS(INDEX($L$2:$L$1001,MATCH(ROWS($J$2:J823),$J$2:$J$1001,0),0),1)),INDEX($O$2:$O$1001,MATCH(ROWS($J$2:J823),$J$2:$J$1001,0),0)))</f>
        <v>0</v>
      </c>
      <c r="B823" s="3">
        <f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>0</v>
      </c>
      <c r="C823" s="3">
        <f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>0</v>
      </c>
      <c r="D823" s="3">
        <f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>0</v>
      </c>
      <c r="E823" s="3">
        <f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>0</v>
      </c>
      <c r="F823" s="3">
        <f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>0</v>
      </c>
      <c r="J823">
        <v>0</v>
      </c>
      <c r="K823">
        <v>0</v>
      </c>
      <c r="L823">
        <v>0</v>
      </c>
      <c r="M823">
        <f>IF(N823,TRUE,AND(Q823:U823))</f>
        <v>0</v>
      </c>
      <c r="N823">
        <f>COUNTBLANK(Metadata!B823:F823)=COLUMNS(Metadata!B823:F823)</f>
        <v>0</v>
      </c>
      <c r="O823">
        <v>0</v>
      </c>
      <c r="Q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>
        <f>AND(IF(Metadata!C823="",FALSE,TRUE),exact(Metadata!C823,"human-skin"))</f>
        <v>0</v>
      </c>
      <c r="S823">
        <f>OR(AND(IF(Metadata!D823="",FALSE,TRUE),OR(exact(Metadata!D823,"missing: not collected"),exact(Metadata!D823,"missing: not provided"))),AND(IF(Metadata!D823="",FALSE,TRUE),OR(exact(Metadata!D823,"UBERON:zone of skin"),exact(Metadata!D823,"UBERON:skin of hand"),exact(Metadata!D823,"UBERON:skin of forehead"))))</f>
        <v>0</v>
      </c>
      <c r="T823">
        <f>AND(IF(Metadata!E823="",FALSE,TRUE),exact(Metadata!E823,"human skin metagenome"))</f>
        <v>0</v>
      </c>
      <c r="U823">
        <f>AND(IF(Metadata!F823="",FALSE,TRUE),exact(Metadata!F823,"539655"))</f>
        <v>0</v>
      </c>
    </row>
    <row r="824" spans="1:21">
      <c r="A824" s="4">
        <f>IF(B824=" "," ",HYPERLINK(CONCATENATE("#metadata!",ADDRESS(INDEX($L$2:$L$1001,MATCH(ROWS($J$2:J824),$J$2:$J$1001,0),0),1)),INDEX($O$2:$O$1001,MATCH(ROWS($J$2:J824),$J$2:$J$1001,0),0)))</f>
        <v>0</v>
      </c>
      <c r="B824" s="3">
        <f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>0</v>
      </c>
      <c r="C824" s="3">
        <f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>0</v>
      </c>
      <c r="D824" s="3">
        <f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>0</v>
      </c>
      <c r="E824" s="3">
        <f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>0</v>
      </c>
      <c r="F824" s="3">
        <f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>0</v>
      </c>
      <c r="J824">
        <v>0</v>
      </c>
      <c r="K824">
        <v>0</v>
      </c>
      <c r="L824">
        <v>0</v>
      </c>
      <c r="M824">
        <f>IF(N824,TRUE,AND(Q824:U824))</f>
        <v>0</v>
      </c>
      <c r="N824">
        <f>COUNTBLANK(Metadata!B824:F824)=COLUMNS(Metadata!B824:F824)</f>
        <v>0</v>
      </c>
      <c r="O824">
        <v>0</v>
      </c>
      <c r="Q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>
        <f>AND(IF(Metadata!C824="",FALSE,TRUE),exact(Metadata!C824,"human-skin"))</f>
        <v>0</v>
      </c>
      <c r="S824">
        <f>OR(AND(IF(Metadata!D824="",FALSE,TRUE),OR(exact(Metadata!D824,"missing: not collected"),exact(Metadata!D824,"missing: not provided"))),AND(IF(Metadata!D824="",FALSE,TRUE),OR(exact(Metadata!D824,"UBERON:zone of skin"),exact(Metadata!D824,"UBERON:skin of hand"),exact(Metadata!D824,"UBERON:skin of forehead"))))</f>
        <v>0</v>
      </c>
      <c r="T824">
        <f>AND(IF(Metadata!E824="",FALSE,TRUE),exact(Metadata!E824,"human skin metagenome"))</f>
        <v>0</v>
      </c>
      <c r="U824">
        <f>AND(IF(Metadata!F824="",FALSE,TRUE),exact(Metadata!F824,"539655"))</f>
        <v>0</v>
      </c>
    </row>
    <row r="825" spans="1:21">
      <c r="A825" s="4">
        <f>IF(B825=" "," ",HYPERLINK(CONCATENATE("#metadata!",ADDRESS(INDEX($L$2:$L$1001,MATCH(ROWS($J$2:J825),$J$2:$J$1001,0),0),1)),INDEX($O$2:$O$1001,MATCH(ROWS($J$2:J825),$J$2:$J$1001,0),0)))</f>
        <v>0</v>
      </c>
      <c r="B825" s="3">
        <f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>0</v>
      </c>
      <c r="C825" s="3">
        <f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>0</v>
      </c>
      <c r="D825" s="3">
        <f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>0</v>
      </c>
      <c r="E825" s="3">
        <f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>0</v>
      </c>
      <c r="F825" s="3">
        <f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>0</v>
      </c>
      <c r="J825">
        <v>0</v>
      </c>
      <c r="K825">
        <v>0</v>
      </c>
      <c r="L825">
        <v>0</v>
      </c>
      <c r="M825">
        <f>IF(N825,TRUE,AND(Q825:U825))</f>
        <v>0</v>
      </c>
      <c r="N825">
        <f>COUNTBLANK(Metadata!B825:F825)=COLUMNS(Metadata!B825:F825)</f>
        <v>0</v>
      </c>
      <c r="O825">
        <v>0</v>
      </c>
      <c r="Q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>
        <f>AND(IF(Metadata!C825="",FALSE,TRUE),exact(Metadata!C825,"human-skin"))</f>
        <v>0</v>
      </c>
      <c r="S825">
        <f>OR(AND(IF(Metadata!D825="",FALSE,TRUE),OR(exact(Metadata!D825,"missing: not collected"),exact(Metadata!D825,"missing: not provided"))),AND(IF(Metadata!D825="",FALSE,TRUE),OR(exact(Metadata!D825,"UBERON:zone of skin"),exact(Metadata!D825,"UBERON:skin of hand"),exact(Metadata!D825,"UBERON:skin of forehead"))))</f>
        <v>0</v>
      </c>
      <c r="T825">
        <f>AND(IF(Metadata!E825="",FALSE,TRUE),exact(Metadata!E825,"human skin metagenome"))</f>
        <v>0</v>
      </c>
      <c r="U825">
        <f>AND(IF(Metadata!F825="",FALSE,TRUE),exact(Metadata!F825,"539655"))</f>
        <v>0</v>
      </c>
    </row>
    <row r="826" spans="1:21">
      <c r="A826" s="4">
        <f>IF(B826=" "," ",HYPERLINK(CONCATENATE("#metadata!",ADDRESS(INDEX($L$2:$L$1001,MATCH(ROWS($J$2:J826),$J$2:$J$1001,0),0),1)),INDEX($O$2:$O$1001,MATCH(ROWS($J$2:J826),$J$2:$J$1001,0),0)))</f>
        <v>0</v>
      </c>
      <c r="B826" s="3">
        <f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>0</v>
      </c>
      <c r="C826" s="3">
        <f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>0</v>
      </c>
      <c r="D826" s="3">
        <f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>0</v>
      </c>
      <c r="E826" s="3">
        <f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>0</v>
      </c>
      <c r="F826" s="3">
        <f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>0</v>
      </c>
      <c r="J826">
        <v>0</v>
      </c>
      <c r="K826">
        <v>0</v>
      </c>
      <c r="L826">
        <v>0</v>
      </c>
      <c r="M826">
        <f>IF(N826,TRUE,AND(Q826:U826))</f>
        <v>0</v>
      </c>
      <c r="N826">
        <f>COUNTBLANK(Metadata!B826:F826)=COLUMNS(Metadata!B826:F826)</f>
        <v>0</v>
      </c>
      <c r="O826">
        <v>0</v>
      </c>
      <c r="Q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>
        <f>AND(IF(Metadata!C826="",FALSE,TRUE),exact(Metadata!C826,"human-skin"))</f>
        <v>0</v>
      </c>
      <c r="S826">
        <f>OR(AND(IF(Metadata!D826="",FALSE,TRUE),OR(exact(Metadata!D826,"missing: not collected"),exact(Metadata!D826,"missing: not provided"))),AND(IF(Metadata!D826="",FALSE,TRUE),OR(exact(Metadata!D826,"UBERON:zone of skin"),exact(Metadata!D826,"UBERON:skin of hand"),exact(Metadata!D826,"UBERON:skin of forehead"))))</f>
        <v>0</v>
      </c>
      <c r="T826">
        <f>AND(IF(Metadata!E826="",FALSE,TRUE),exact(Metadata!E826,"human skin metagenome"))</f>
        <v>0</v>
      </c>
      <c r="U826">
        <f>AND(IF(Metadata!F826="",FALSE,TRUE),exact(Metadata!F826,"539655"))</f>
        <v>0</v>
      </c>
    </row>
    <row r="827" spans="1:21">
      <c r="A827" s="4">
        <f>IF(B827=" "," ",HYPERLINK(CONCATENATE("#metadata!",ADDRESS(INDEX($L$2:$L$1001,MATCH(ROWS($J$2:J827),$J$2:$J$1001,0),0),1)),INDEX($O$2:$O$1001,MATCH(ROWS($J$2:J827),$J$2:$J$1001,0),0)))</f>
        <v>0</v>
      </c>
      <c r="B827" s="3">
        <f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>0</v>
      </c>
      <c r="C827" s="3">
        <f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>0</v>
      </c>
      <c r="D827" s="3">
        <f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>0</v>
      </c>
      <c r="E827" s="3">
        <f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>0</v>
      </c>
      <c r="F827" s="3">
        <f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>0</v>
      </c>
      <c r="J827">
        <v>0</v>
      </c>
      <c r="K827">
        <v>0</v>
      </c>
      <c r="L827">
        <v>0</v>
      </c>
      <c r="M827">
        <f>IF(N827,TRUE,AND(Q827:U827))</f>
        <v>0</v>
      </c>
      <c r="N827">
        <f>COUNTBLANK(Metadata!B827:F827)=COLUMNS(Metadata!B827:F827)</f>
        <v>0</v>
      </c>
      <c r="O827">
        <v>0</v>
      </c>
      <c r="Q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>
        <f>AND(IF(Metadata!C827="",FALSE,TRUE),exact(Metadata!C827,"human-skin"))</f>
        <v>0</v>
      </c>
      <c r="S827">
        <f>OR(AND(IF(Metadata!D827="",FALSE,TRUE),OR(exact(Metadata!D827,"missing: not collected"),exact(Metadata!D827,"missing: not provided"))),AND(IF(Metadata!D827="",FALSE,TRUE),OR(exact(Metadata!D827,"UBERON:zone of skin"),exact(Metadata!D827,"UBERON:skin of hand"),exact(Metadata!D827,"UBERON:skin of forehead"))))</f>
        <v>0</v>
      </c>
      <c r="T827">
        <f>AND(IF(Metadata!E827="",FALSE,TRUE),exact(Metadata!E827,"human skin metagenome"))</f>
        <v>0</v>
      </c>
      <c r="U827">
        <f>AND(IF(Metadata!F827="",FALSE,TRUE),exact(Metadata!F827,"539655"))</f>
        <v>0</v>
      </c>
    </row>
    <row r="828" spans="1:21">
      <c r="A828" s="4">
        <f>IF(B828=" "," ",HYPERLINK(CONCATENATE("#metadata!",ADDRESS(INDEX($L$2:$L$1001,MATCH(ROWS($J$2:J828),$J$2:$J$1001,0),0),1)),INDEX($O$2:$O$1001,MATCH(ROWS($J$2:J828),$J$2:$J$1001,0),0)))</f>
        <v>0</v>
      </c>
      <c r="B828" s="3">
        <f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>0</v>
      </c>
      <c r="C828" s="3">
        <f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>0</v>
      </c>
      <c r="D828" s="3">
        <f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>0</v>
      </c>
      <c r="E828" s="3">
        <f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>0</v>
      </c>
      <c r="F828" s="3">
        <f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>0</v>
      </c>
      <c r="J828">
        <v>0</v>
      </c>
      <c r="K828">
        <v>0</v>
      </c>
      <c r="L828">
        <v>0</v>
      </c>
      <c r="M828">
        <f>IF(N828,TRUE,AND(Q828:U828))</f>
        <v>0</v>
      </c>
      <c r="N828">
        <f>COUNTBLANK(Metadata!B828:F828)=COLUMNS(Metadata!B828:F828)</f>
        <v>0</v>
      </c>
      <c r="O828">
        <v>0</v>
      </c>
      <c r="Q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>
        <f>AND(IF(Metadata!C828="",FALSE,TRUE),exact(Metadata!C828,"human-skin"))</f>
        <v>0</v>
      </c>
      <c r="S828">
        <f>OR(AND(IF(Metadata!D828="",FALSE,TRUE),OR(exact(Metadata!D828,"missing: not collected"),exact(Metadata!D828,"missing: not provided"))),AND(IF(Metadata!D828="",FALSE,TRUE),OR(exact(Metadata!D828,"UBERON:zone of skin"),exact(Metadata!D828,"UBERON:skin of hand"),exact(Metadata!D828,"UBERON:skin of forehead"))))</f>
        <v>0</v>
      </c>
      <c r="T828">
        <f>AND(IF(Metadata!E828="",FALSE,TRUE),exact(Metadata!E828,"human skin metagenome"))</f>
        <v>0</v>
      </c>
      <c r="U828">
        <f>AND(IF(Metadata!F828="",FALSE,TRUE),exact(Metadata!F828,"539655"))</f>
        <v>0</v>
      </c>
    </row>
    <row r="829" spans="1:21">
      <c r="A829" s="4">
        <f>IF(B829=" "," ",HYPERLINK(CONCATENATE("#metadata!",ADDRESS(INDEX($L$2:$L$1001,MATCH(ROWS($J$2:J829),$J$2:$J$1001,0),0),1)),INDEX($O$2:$O$1001,MATCH(ROWS($J$2:J829),$J$2:$J$1001,0),0)))</f>
        <v>0</v>
      </c>
      <c r="B829" s="3">
        <f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>0</v>
      </c>
      <c r="C829" s="3">
        <f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>0</v>
      </c>
      <c r="D829" s="3">
        <f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>0</v>
      </c>
      <c r="E829" s="3">
        <f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>0</v>
      </c>
      <c r="F829" s="3">
        <f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>0</v>
      </c>
      <c r="J829">
        <v>0</v>
      </c>
      <c r="K829">
        <v>0</v>
      </c>
      <c r="L829">
        <v>0</v>
      </c>
      <c r="M829">
        <f>IF(N829,TRUE,AND(Q829:U829))</f>
        <v>0</v>
      </c>
      <c r="N829">
        <f>COUNTBLANK(Metadata!B829:F829)=COLUMNS(Metadata!B829:F829)</f>
        <v>0</v>
      </c>
      <c r="O829">
        <v>0</v>
      </c>
      <c r="Q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>
        <f>AND(IF(Metadata!C829="",FALSE,TRUE),exact(Metadata!C829,"human-skin"))</f>
        <v>0</v>
      </c>
      <c r="S829">
        <f>OR(AND(IF(Metadata!D829="",FALSE,TRUE),OR(exact(Metadata!D829,"missing: not collected"),exact(Metadata!D829,"missing: not provided"))),AND(IF(Metadata!D829="",FALSE,TRUE),OR(exact(Metadata!D829,"UBERON:zone of skin"),exact(Metadata!D829,"UBERON:skin of hand"),exact(Metadata!D829,"UBERON:skin of forehead"))))</f>
        <v>0</v>
      </c>
      <c r="T829">
        <f>AND(IF(Metadata!E829="",FALSE,TRUE),exact(Metadata!E829,"human skin metagenome"))</f>
        <v>0</v>
      </c>
      <c r="U829">
        <f>AND(IF(Metadata!F829="",FALSE,TRUE),exact(Metadata!F829,"539655"))</f>
        <v>0</v>
      </c>
    </row>
    <row r="830" spans="1:21">
      <c r="A830" s="4">
        <f>IF(B830=" "," ",HYPERLINK(CONCATENATE("#metadata!",ADDRESS(INDEX($L$2:$L$1001,MATCH(ROWS($J$2:J830),$J$2:$J$1001,0),0),1)),INDEX($O$2:$O$1001,MATCH(ROWS($J$2:J830),$J$2:$J$1001,0),0)))</f>
        <v>0</v>
      </c>
      <c r="B830" s="3">
        <f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>0</v>
      </c>
      <c r="C830" s="3">
        <f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>0</v>
      </c>
      <c r="D830" s="3">
        <f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>0</v>
      </c>
      <c r="E830" s="3">
        <f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>0</v>
      </c>
      <c r="F830" s="3">
        <f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>0</v>
      </c>
      <c r="J830">
        <v>0</v>
      </c>
      <c r="K830">
        <v>0</v>
      </c>
      <c r="L830">
        <v>0</v>
      </c>
      <c r="M830">
        <f>IF(N830,TRUE,AND(Q830:U830))</f>
        <v>0</v>
      </c>
      <c r="N830">
        <f>COUNTBLANK(Metadata!B830:F830)=COLUMNS(Metadata!B830:F830)</f>
        <v>0</v>
      </c>
      <c r="O830">
        <v>0</v>
      </c>
      <c r="Q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>
        <f>AND(IF(Metadata!C830="",FALSE,TRUE),exact(Metadata!C830,"human-skin"))</f>
        <v>0</v>
      </c>
      <c r="S830">
        <f>OR(AND(IF(Metadata!D830="",FALSE,TRUE),OR(exact(Metadata!D830,"missing: not collected"),exact(Metadata!D830,"missing: not provided"))),AND(IF(Metadata!D830="",FALSE,TRUE),OR(exact(Metadata!D830,"UBERON:zone of skin"),exact(Metadata!D830,"UBERON:skin of hand"),exact(Metadata!D830,"UBERON:skin of forehead"))))</f>
        <v>0</v>
      </c>
      <c r="T830">
        <f>AND(IF(Metadata!E830="",FALSE,TRUE),exact(Metadata!E830,"human skin metagenome"))</f>
        <v>0</v>
      </c>
      <c r="U830">
        <f>AND(IF(Metadata!F830="",FALSE,TRUE),exact(Metadata!F830,"539655"))</f>
        <v>0</v>
      </c>
    </row>
    <row r="831" spans="1:21">
      <c r="A831" s="4">
        <f>IF(B831=" "," ",HYPERLINK(CONCATENATE("#metadata!",ADDRESS(INDEX($L$2:$L$1001,MATCH(ROWS($J$2:J831),$J$2:$J$1001,0),0),1)),INDEX($O$2:$O$1001,MATCH(ROWS($J$2:J831),$J$2:$J$1001,0),0)))</f>
        <v>0</v>
      </c>
      <c r="B831" s="3">
        <f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>0</v>
      </c>
      <c r="C831" s="3">
        <f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>0</v>
      </c>
      <c r="D831" s="3">
        <f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>0</v>
      </c>
      <c r="E831" s="3">
        <f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>0</v>
      </c>
      <c r="F831" s="3">
        <f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>0</v>
      </c>
      <c r="J831">
        <v>0</v>
      </c>
      <c r="K831">
        <v>0</v>
      </c>
      <c r="L831">
        <v>0</v>
      </c>
      <c r="M831">
        <f>IF(N831,TRUE,AND(Q831:U831))</f>
        <v>0</v>
      </c>
      <c r="N831">
        <f>COUNTBLANK(Metadata!B831:F831)=COLUMNS(Metadata!B831:F831)</f>
        <v>0</v>
      </c>
      <c r="O831">
        <v>0</v>
      </c>
      <c r="Q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>
        <f>AND(IF(Metadata!C831="",FALSE,TRUE),exact(Metadata!C831,"human-skin"))</f>
        <v>0</v>
      </c>
      <c r="S831">
        <f>OR(AND(IF(Metadata!D831="",FALSE,TRUE),OR(exact(Metadata!D831,"missing: not collected"),exact(Metadata!D831,"missing: not provided"))),AND(IF(Metadata!D831="",FALSE,TRUE),OR(exact(Metadata!D831,"UBERON:zone of skin"),exact(Metadata!D831,"UBERON:skin of hand"),exact(Metadata!D831,"UBERON:skin of forehead"))))</f>
        <v>0</v>
      </c>
      <c r="T831">
        <f>AND(IF(Metadata!E831="",FALSE,TRUE),exact(Metadata!E831,"human skin metagenome"))</f>
        <v>0</v>
      </c>
      <c r="U831">
        <f>AND(IF(Metadata!F831="",FALSE,TRUE),exact(Metadata!F831,"539655"))</f>
        <v>0</v>
      </c>
    </row>
    <row r="832" spans="1:21">
      <c r="A832" s="4">
        <f>IF(B832=" "," ",HYPERLINK(CONCATENATE("#metadata!",ADDRESS(INDEX($L$2:$L$1001,MATCH(ROWS($J$2:J832),$J$2:$J$1001,0),0),1)),INDEX($O$2:$O$1001,MATCH(ROWS($J$2:J832),$J$2:$J$1001,0),0)))</f>
        <v>0</v>
      </c>
      <c r="B832" s="3">
        <f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>0</v>
      </c>
      <c r="C832" s="3">
        <f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>0</v>
      </c>
      <c r="D832" s="3">
        <f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>0</v>
      </c>
      <c r="E832" s="3">
        <f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>0</v>
      </c>
      <c r="F832" s="3">
        <f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>0</v>
      </c>
      <c r="J832">
        <v>0</v>
      </c>
      <c r="K832">
        <v>0</v>
      </c>
      <c r="L832">
        <v>0</v>
      </c>
      <c r="M832">
        <f>IF(N832,TRUE,AND(Q832:U832))</f>
        <v>0</v>
      </c>
      <c r="N832">
        <f>COUNTBLANK(Metadata!B832:F832)=COLUMNS(Metadata!B832:F832)</f>
        <v>0</v>
      </c>
      <c r="O832">
        <v>0</v>
      </c>
      <c r="Q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>
        <f>AND(IF(Metadata!C832="",FALSE,TRUE),exact(Metadata!C832,"human-skin"))</f>
        <v>0</v>
      </c>
      <c r="S832">
        <f>OR(AND(IF(Metadata!D832="",FALSE,TRUE),OR(exact(Metadata!D832,"missing: not collected"),exact(Metadata!D832,"missing: not provided"))),AND(IF(Metadata!D832="",FALSE,TRUE),OR(exact(Metadata!D832,"UBERON:zone of skin"),exact(Metadata!D832,"UBERON:skin of hand"),exact(Metadata!D832,"UBERON:skin of forehead"))))</f>
        <v>0</v>
      </c>
      <c r="T832">
        <f>AND(IF(Metadata!E832="",FALSE,TRUE),exact(Metadata!E832,"human skin metagenome"))</f>
        <v>0</v>
      </c>
      <c r="U832">
        <f>AND(IF(Metadata!F832="",FALSE,TRUE),exact(Metadata!F832,"539655"))</f>
        <v>0</v>
      </c>
    </row>
    <row r="833" spans="1:21">
      <c r="A833" s="4">
        <f>IF(B833=" "," ",HYPERLINK(CONCATENATE("#metadata!",ADDRESS(INDEX($L$2:$L$1001,MATCH(ROWS($J$2:J833),$J$2:$J$1001,0),0),1)),INDEX($O$2:$O$1001,MATCH(ROWS($J$2:J833),$J$2:$J$1001,0),0)))</f>
        <v>0</v>
      </c>
      <c r="B833" s="3">
        <f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>0</v>
      </c>
      <c r="C833" s="3">
        <f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>0</v>
      </c>
      <c r="D833" s="3">
        <f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>0</v>
      </c>
      <c r="E833" s="3">
        <f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>0</v>
      </c>
      <c r="F833" s="3">
        <f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>0</v>
      </c>
      <c r="J833">
        <v>0</v>
      </c>
      <c r="K833">
        <v>0</v>
      </c>
      <c r="L833">
        <v>0</v>
      </c>
      <c r="M833">
        <f>IF(N833,TRUE,AND(Q833:U833))</f>
        <v>0</v>
      </c>
      <c r="N833">
        <f>COUNTBLANK(Metadata!B833:F833)=COLUMNS(Metadata!B833:F833)</f>
        <v>0</v>
      </c>
      <c r="O833">
        <v>0</v>
      </c>
      <c r="Q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>
        <f>AND(IF(Metadata!C833="",FALSE,TRUE),exact(Metadata!C833,"human-skin"))</f>
        <v>0</v>
      </c>
      <c r="S833">
        <f>OR(AND(IF(Metadata!D833="",FALSE,TRUE),OR(exact(Metadata!D833,"missing: not collected"),exact(Metadata!D833,"missing: not provided"))),AND(IF(Metadata!D833="",FALSE,TRUE),OR(exact(Metadata!D833,"UBERON:zone of skin"),exact(Metadata!D833,"UBERON:skin of hand"),exact(Metadata!D833,"UBERON:skin of forehead"))))</f>
        <v>0</v>
      </c>
      <c r="T833">
        <f>AND(IF(Metadata!E833="",FALSE,TRUE),exact(Metadata!E833,"human skin metagenome"))</f>
        <v>0</v>
      </c>
      <c r="U833">
        <f>AND(IF(Metadata!F833="",FALSE,TRUE),exact(Metadata!F833,"539655"))</f>
        <v>0</v>
      </c>
    </row>
    <row r="834" spans="1:21">
      <c r="A834" s="4">
        <f>IF(B834=" "," ",HYPERLINK(CONCATENATE("#metadata!",ADDRESS(INDEX($L$2:$L$1001,MATCH(ROWS($J$2:J834),$J$2:$J$1001,0),0),1)),INDEX($O$2:$O$1001,MATCH(ROWS($J$2:J834),$J$2:$J$1001,0),0)))</f>
        <v>0</v>
      </c>
      <c r="B834" s="3">
        <f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>0</v>
      </c>
      <c r="C834" s="3">
        <f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>0</v>
      </c>
      <c r="D834" s="3">
        <f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>0</v>
      </c>
      <c r="E834" s="3">
        <f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>0</v>
      </c>
      <c r="F834" s="3">
        <f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>0</v>
      </c>
      <c r="J834">
        <v>0</v>
      </c>
      <c r="K834">
        <v>0</v>
      </c>
      <c r="L834">
        <v>0</v>
      </c>
      <c r="M834">
        <f>IF(N834,TRUE,AND(Q834:U834))</f>
        <v>0</v>
      </c>
      <c r="N834">
        <f>COUNTBLANK(Metadata!B834:F834)=COLUMNS(Metadata!B834:F834)</f>
        <v>0</v>
      </c>
      <c r="O834">
        <v>0</v>
      </c>
      <c r="Q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>
        <f>AND(IF(Metadata!C834="",FALSE,TRUE),exact(Metadata!C834,"human-skin"))</f>
        <v>0</v>
      </c>
      <c r="S834">
        <f>OR(AND(IF(Metadata!D834="",FALSE,TRUE),OR(exact(Metadata!D834,"missing: not collected"),exact(Metadata!D834,"missing: not provided"))),AND(IF(Metadata!D834="",FALSE,TRUE),OR(exact(Metadata!D834,"UBERON:zone of skin"),exact(Metadata!D834,"UBERON:skin of hand"),exact(Metadata!D834,"UBERON:skin of forehead"))))</f>
        <v>0</v>
      </c>
      <c r="T834">
        <f>AND(IF(Metadata!E834="",FALSE,TRUE),exact(Metadata!E834,"human skin metagenome"))</f>
        <v>0</v>
      </c>
      <c r="U834">
        <f>AND(IF(Metadata!F834="",FALSE,TRUE),exact(Metadata!F834,"539655"))</f>
        <v>0</v>
      </c>
    </row>
    <row r="835" spans="1:21">
      <c r="A835" s="4">
        <f>IF(B835=" "," ",HYPERLINK(CONCATENATE("#metadata!",ADDRESS(INDEX($L$2:$L$1001,MATCH(ROWS($J$2:J835),$J$2:$J$1001,0),0),1)),INDEX($O$2:$O$1001,MATCH(ROWS($J$2:J835),$J$2:$J$1001,0),0)))</f>
        <v>0</v>
      </c>
      <c r="B835" s="3">
        <f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>0</v>
      </c>
      <c r="C835" s="3">
        <f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>0</v>
      </c>
      <c r="D835" s="3">
        <f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>0</v>
      </c>
      <c r="E835" s="3">
        <f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>0</v>
      </c>
      <c r="F835" s="3">
        <f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>0</v>
      </c>
      <c r="J835">
        <v>0</v>
      </c>
      <c r="K835">
        <v>0</v>
      </c>
      <c r="L835">
        <v>0</v>
      </c>
      <c r="M835">
        <f>IF(N835,TRUE,AND(Q835:U835))</f>
        <v>0</v>
      </c>
      <c r="N835">
        <f>COUNTBLANK(Metadata!B835:F835)=COLUMNS(Metadata!B835:F835)</f>
        <v>0</v>
      </c>
      <c r="O835">
        <v>0</v>
      </c>
      <c r="Q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>
        <f>AND(IF(Metadata!C835="",FALSE,TRUE),exact(Metadata!C835,"human-skin"))</f>
        <v>0</v>
      </c>
      <c r="S835">
        <f>OR(AND(IF(Metadata!D835="",FALSE,TRUE),OR(exact(Metadata!D835,"missing: not collected"),exact(Metadata!D835,"missing: not provided"))),AND(IF(Metadata!D835="",FALSE,TRUE),OR(exact(Metadata!D835,"UBERON:zone of skin"),exact(Metadata!D835,"UBERON:skin of hand"),exact(Metadata!D835,"UBERON:skin of forehead"))))</f>
        <v>0</v>
      </c>
      <c r="T835">
        <f>AND(IF(Metadata!E835="",FALSE,TRUE),exact(Metadata!E835,"human skin metagenome"))</f>
        <v>0</v>
      </c>
      <c r="U835">
        <f>AND(IF(Metadata!F835="",FALSE,TRUE),exact(Metadata!F835,"539655"))</f>
        <v>0</v>
      </c>
    </row>
    <row r="836" spans="1:21">
      <c r="A836" s="4">
        <f>IF(B836=" "," ",HYPERLINK(CONCATENATE("#metadata!",ADDRESS(INDEX($L$2:$L$1001,MATCH(ROWS($J$2:J836),$J$2:$J$1001,0),0),1)),INDEX($O$2:$O$1001,MATCH(ROWS($J$2:J836),$J$2:$J$1001,0),0)))</f>
        <v>0</v>
      </c>
      <c r="B836" s="3">
        <f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>0</v>
      </c>
      <c r="C836" s="3">
        <f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>0</v>
      </c>
      <c r="D836" s="3">
        <f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>0</v>
      </c>
      <c r="E836" s="3">
        <f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>0</v>
      </c>
      <c r="F836" s="3">
        <f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>0</v>
      </c>
      <c r="J836">
        <v>0</v>
      </c>
      <c r="K836">
        <v>0</v>
      </c>
      <c r="L836">
        <v>0</v>
      </c>
      <c r="M836">
        <f>IF(N836,TRUE,AND(Q836:U836))</f>
        <v>0</v>
      </c>
      <c r="N836">
        <f>COUNTBLANK(Metadata!B836:F836)=COLUMNS(Metadata!B836:F836)</f>
        <v>0</v>
      </c>
      <c r="O836">
        <v>0</v>
      </c>
      <c r="Q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>
        <f>AND(IF(Metadata!C836="",FALSE,TRUE),exact(Metadata!C836,"human-skin"))</f>
        <v>0</v>
      </c>
      <c r="S836">
        <f>OR(AND(IF(Metadata!D836="",FALSE,TRUE),OR(exact(Metadata!D836,"missing: not collected"),exact(Metadata!D836,"missing: not provided"))),AND(IF(Metadata!D836="",FALSE,TRUE),OR(exact(Metadata!D836,"UBERON:zone of skin"),exact(Metadata!D836,"UBERON:skin of hand"),exact(Metadata!D836,"UBERON:skin of forehead"))))</f>
        <v>0</v>
      </c>
      <c r="T836">
        <f>AND(IF(Metadata!E836="",FALSE,TRUE),exact(Metadata!E836,"human skin metagenome"))</f>
        <v>0</v>
      </c>
      <c r="U836">
        <f>AND(IF(Metadata!F836="",FALSE,TRUE),exact(Metadata!F836,"539655"))</f>
        <v>0</v>
      </c>
    </row>
    <row r="837" spans="1:21">
      <c r="A837" s="4">
        <f>IF(B837=" "," ",HYPERLINK(CONCATENATE("#metadata!",ADDRESS(INDEX($L$2:$L$1001,MATCH(ROWS($J$2:J837),$J$2:$J$1001,0),0),1)),INDEX($O$2:$O$1001,MATCH(ROWS($J$2:J837),$J$2:$J$1001,0),0)))</f>
        <v>0</v>
      </c>
      <c r="B837" s="3">
        <f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>0</v>
      </c>
      <c r="C837" s="3">
        <f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>0</v>
      </c>
      <c r="D837" s="3">
        <f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>0</v>
      </c>
      <c r="E837" s="3">
        <f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>0</v>
      </c>
      <c r="F837" s="3">
        <f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>0</v>
      </c>
      <c r="J837">
        <v>0</v>
      </c>
      <c r="K837">
        <v>0</v>
      </c>
      <c r="L837">
        <v>0</v>
      </c>
      <c r="M837">
        <f>IF(N837,TRUE,AND(Q837:U837))</f>
        <v>0</v>
      </c>
      <c r="N837">
        <f>COUNTBLANK(Metadata!B837:F837)=COLUMNS(Metadata!B837:F837)</f>
        <v>0</v>
      </c>
      <c r="O837">
        <v>0</v>
      </c>
      <c r="Q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>
        <f>AND(IF(Metadata!C837="",FALSE,TRUE),exact(Metadata!C837,"human-skin"))</f>
        <v>0</v>
      </c>
      <c r="S837">
        <f>OR(AND(IF(Metadata!D837="",FALSE,TRUE),OR(exact(Metadata!D837,"missing: not collected"),exact(Metadata!D837,"missing: not provided"))),AND(IF(Metadata!D837="",FALSE,TRUE),OR(exact(Metadata!D837,"UBERON:zone of skin"),exact(Metadata!D837,"UBERON:skin of hand"),exact(Metadata!D837,"UBERON:skin of forehead"))))</f>
        <v>0</v>
      </c>
      <c r="T837">
        <f>AND(IF(Metadata!E837="",FALSE,TRUE),exact(Metadata!E837,"human skin metagenome"))</f>
        <v>0</v>
      </c>
      <c r="U837">
        <f>AND(IF(Metadata!F837="",FALSE,TRUE),exact(Metadata!F837,"539655"))</f>
        <v>0</v>
      </c>
    </row>
    <row r="838" spans="1:21">
      <c r="A838" s="4">
        <f>IF(B838=" "," ",HYPERLINK(CONCATENATE("#metadata!",ADDRESS(INDEX($L$2:$L$1001,MATCH(ROWS($J$2:J838),$J$2:$J$1001,0),0),1)),INDEX($O$2:$O$1001,MATCH(ROWS($J$2:J838),$J$2:$J$1001,0),0)))</f>
        <v>0</v>
      </c>
      <c r="B838" s="3">
        <f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>0</v>
      </c>
      <c r="C838" s="3">
        <f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>0</v>
      </c>
      <c r="D838" s="3">
        <f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>0</v>
      </c>
      <c r="E838" s="3">
        <f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>0</v>
      </c>
      <c r="F838" s="3">
        <f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>0</v>
      </c>
      <c r="J838">
        <v>0</v>
      </c>
      <c r="K838">
        <v>0</v>
      </c>
      <c r="L838">
        <v>0</v>
      </c>
      <c r="M838">
        <f>IF(N838,TRUE,AND(Q838:U838))</f>
        <v>0</v>
      </c>
      <c r="N838">
        <f>COUNTBLANK(Metadata!B838:F838)=COLUMNS(Metadata!B838:F838)</f>
        <v>0</v>
      </c>
      <c r="O838">
        <v>0</v>
      </c>
      <c r="Q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>
        <f>AND(IF(Metadata!C838="",FALSE,TRUE),exact(Metadata!C838,"human-skin"))</f>
        <v>0</v>
      </c>
      <c r="S838">
        <f>OR(AND(IF(Metadata!D838="",FALSE,TRUE),OR(exact(Metadata!D838,"missing: not collected"),exact(Metadata!D838,"missing: not provided"))),AND(IF(Metadata!D838="",FALSE,TRUE),OR(exact(Metadata!D838,"UBERON:zone of skin"),exact(Metadata!D838,"UBERON:skin of hand"),exact(Metadata!D838,"UBERON:skin of forehead"))))</f>
        <v>0</v>
      </c>
      <c r="T838">
        <f>AND(IF(Metadata!E838="",FALSE,TRUE),exact(Metadata!E838,"human skin metagenome"))</f>
        <v>0</v>
      </c>
      <c r="U838">
        <f>AND(IF(Metadata!F838="",FALSE,TRUE),exact(Metadata!F838,"539655"))</f>
        <v>0</v>
      </c>
    </row>
    <row r="839" spans="1:21">
      <c r="A839" s="4">
        <f>IF(B839=" "," ",HYPERLINK(CONCATENATE("#metadata!",ADDRESS(INDEX($L$2:$L$1001,MATCH(ROWS($J$2:J839),$J$2:$J$1001,0),0),1)),INDEX($O$2:$O$1001,MATCH(ROWS($J$2:J839),$J$2:$J$1001,0),0)))</f>
        <v>0</v>
      </c>
      <c r="B839" s="3">
        <f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>0</v>
      </c>
      <c r="C839" s="3">
        <f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>0</v>
      </c>
      <c r="D839" s="3">
        <f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>0</v>
      </c>
      <c r="E839" s="3">
        <f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>0</v>
      </c>
      <c r="F839" s="3">
        <f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>0</v>
      </c>
      <c r="J839">
        <v>0</v>
      </c>
      <c r="K839">
        <v>0</v>
      </c>
      <c r="L839">
        <v>0</v>
      </c>
      <c r="M839">
        <f>IF(N839,TRUE,AND(Q839:U839))</f>
        <v>0</v>
      </c>
      <c r="N839">
        <f>COUNTBLANK(Metadata!B839:F839)=COLUMNS(Metadata!B839:F839)</f>
        <v>0</v>
      </c>
      <c r="O839">
        <v>0</v>
      </c>
      <c r="Q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>
        <f>AND(IF(Metadata!C839="",FALSE,TRUE),exact(Metadata!C839,"human-skin"))</f>
        <v>0</v>
      </c>
      <c r="S839">
        <f>OR(AND(IF(Metadata!D839="",FALSE,TRUE),OR(exact(Metadata!D839,"missing: not collected"),exact(Metadata!D839,"missing: not provided"))),AND(IF(Metadata!D839="",FALSE,TRUE),OR(exact(Metadata!D839,"UBERON:zone of skin"),exact(Metadata!D839,"UBERON:skin of hand"),exact(Metadata!D839,"UBERON:skin of forehead"))))</f>
        <v>0</v>
      </c>
      <c r="T839">
        <f>AND(IF(Metadata!E839="",FALSE,TRUE),exact(Metadata!E839,"human skin metagenome"))</f>
        <v>0</v>
      </c>
      <c r="U839">
        <f>AND(IF(Metadata!F839="",FALSE,TRUE),exact(Metadata!F839,"539655"))</f>
        <v>0</v>
      </c>
    </row>
    <row r="840" spans="1:21">
      <c r="A840" s="4">
        <f>IF(B840=" "," ",HYPERLINK(CONCATENATE("#metadata!",ADDRESS(INDEX($L$2:$L$1001,MATCH(ROWS($J$2:J840),$J$2:$J$1001,0),0),1)),INDEX($O$2:$O$1001,MATCH(ROWS($J$2:J840),$J$2:$J$1001,0),0)))</f>
        <v>0</v>
      </c>
      <c r="B840" s="3">
        <f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>0</v>
      </c>
      <c r="C840" s="3">
        <f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>0</v>
      </c>
      <c r="D840" s="3">
        <f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>0</v>
      </c>
      <c r="E840" s="3">
        <f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>0</v>
      </c>
      <c r="F840" s="3">
        <f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>0</v>
      </c>
      <c r="J840">
        <v>0</v>
      </c>
      <c r="K840">
        <v>0</v>
      </c>
      <c r="L840">
        <v>0</v>
      </c>
      <c r="M840">
        <f>IF(N840,TRUE,AND(Q840:U840))</f>
        <v>0</v>
      </c>
      <c r="N840">
        <f>COUNTBLANK(Metadata!B840:F840)=COLUMNS(Metadata!B840:F840)</f>
        <v>0</v>
      </c>
      <c r="O840">
        <v>0</v>
      </c>
      <c r="Q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>
        <f>AND(IF(Metadata!C840="",FALSE,TRUE),exact(Metadata!C840,"human-skin"))</f>
        <v>0</v>
      </c>
      <c r="S840">
        <f>OR(AND(IF(Metadata!D840="",FALSE,TRUE),OR(exact(Metadata!D840,"missing: not collected"),exact(Metadata!D840,"missing: not provided"))),AND(IF(Metadata!D840="",FALSE,TRUE),OR(exact(Metadata!D840,"UBERON:zone of skin"),exact(Metadata!D840,"UBERON:skin of hand"),exact(Metadata!D840,"UBERON:skin of forehead"))))</f>
        <v>0</v>
      </c>
      <c r="T840">
        <f>AND(IF(Metadata!E840="",FALSE,TRUE),exact(Metadata!E840,"human skin metagenome"))</f>
        <v>0</v>
      </c>
      <c r="U840">
        <f>AND(IF(Metadata!F840="",FALSE,TRUE),exact(Metadata!F840,"539655"))</f>
        <v>0</v>
      </c>
    </row>
    <row r="841" spans="1:21">
      <c r="A841" s="4">
        <f>IF(B841=" "," ",HYPERLINK(CONCATENATE("#metadata!",ADDRESS(INDEX($L$2:$L$1001,MATCH(ROWS($J$2:J841),$J$2:$J$1001,0),0),1)),INDEX($O$2:$O$1001,MATCH(ROWS($J$2:J841),$J$2:$J$1001,0),0)))</f>
        <v>0</v>
      </c>
      <c r="B841" s="3">
        <f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>0</v>
      </c>
      <c r="C841" s="3">
        <f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>0</v>
      </c>
      <c r="D841" s="3">
        <f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>0</v>
      </c>
      <c r="E841" s="3">
        <f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>0</v>
      </c>
      <c r="F841" s="3">
        <f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>0</v>
      </c>
      <c r="J841">
        <v>0</v>
      </c>
      <c r="K841">
        <v>0</v>
      </c>
      <c r="L841">
        <v>0</v>
      </c>
      <c r="M841">
        <f>IF(N841,TRUE,AND(Q841:U841))</f>
        <v>0</v>
      </c>
      <c r="N841">
        <f>COUNTBLANK(Metadata!B841:F841)=COLUMNS(Metadata!B841:F841)</f>
        <v>0</v>
      </c>
      <c r="O841">
        <v>0</v>
      </c>
      <c r="Q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>
        <f>AND(IF(Metadata!C841="",FALSE,TRUE),exact(Metadata!C841,"human-skin"))</f>
        <v>0</v>
      </c>
      <c r="S841">
        <f>OR(AND(IF(Metadata!D841="",FALSE,TRUE),OR(exact(Metadata!D841,"missing: not collected"),exact(Metadata!D841,"missing: not provided"))),AND(IF(Metadata!D841="",FALSE,TRUE),OR(exact(Metadata!D841,"UBERON:zone of skin"),exact(Metadata!D841,"UBERON:skin of hand"),exact(Metadata!D841,"UBERON:skin of forehead"))))</f>
        <v>0</v>
      </c>
      <c r="T841">
        <f>AND(IF(Metadata!E841="",FALSE,TRUE),exact(Metadata!E841,"human skin metagenome"))</f>
        <v>0</v>
      </c>
      <c r="U841">
        <f>AND(IF(Metadata!F841="",FALSE,TRUE),exact(Metadata!F841,"539655"))</f>
        <v>0</v>
      </c>
    </row>
    <row r="842" spans="1:21">
      <c r="A842" s="4">
        <f>IF(B842=" "," ",HYPERLINK(CONCATENATE("#metadata!",ADDRESS(INDEX($L$2:$L$1001,MATCH(ROWS($J$2:J842),$J$2:$J$1001,0),0),1)),INDEX($O$2:$O$1001,MATCH(ROWS($J$2:J842),$J$2:$J$1001,0),0)))</f>
        <v>0</v>
      </c>
      <c r="B842" s="3">
        <f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>0</v>
      </c>
      <c r="C842" s="3">
        <f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>0</v>
      </c>
      <c r="D842" s="3">
        <f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>0</v>
      </c>
      <c r="E842" s="3">
        <f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>0</v>
      </c>
      <c r="F842" s="3">
        <f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>0</v>
      </c>
      <c r="J842">
        <v>0</v>
      </c>
      <c r="K842">
        <v>0</v>
      </c>
      <c r="L842">
        <v>0</v>
      </c>
      <c r="M842">
        <f>IF(N842,TRUE,AND(Q842:U842))</f>
        <v>0</v>
      </c>
      <c r="N842">
        <f>COUNTBLANK(Metadata!B842:F842)=COLUMNS(Metadata!B842:F842)</f>
        <v>0</v>
      </c>
      <c r="O842">
        <v>0</v>
      </c>
      <c r="Q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>
        <f>AND(IF(Metadata!C842="",FALSE,TRUE),exact(Metadata!C842,"human-skin"))</f>
        <v>0</v>
      </c>
      <c r="S842">
        <f>OR(AND(IF(Metadata!D842="",FALSE,TRUE),OR(exact(Metadata!D842,"missing: not collected"),exact(Metadata!D842,"missing: not provided"))),AND(IF(Metadata!D842="",FALSE,TRUE),OR(exact(Metadata!D842,"UBERON:zone of skin"),exact(Metadata!D842,"UBERON:skin of hand"),exact(Metadata!D842,"UBERON:skin of forehead"))))</f>
        <v>0</v>
      </c>
      <c r="T842">
        <f>AND(IF(Metadata!E842="",FALSE,TRUE),exact(Metadata!E842,"human skin metagenome"))</f>
        <v>0</v>
      </c>
      <c r="U842">
        <f>AND(IF(Metadata!F842="",FALSE,TRUE),exact(Metadata!F842,"539655"))</f>
        <v>0</v>
      </c>
    </row>
    <row r="843" spans="1:21">
      <c r="A843" s="4">
        <f>IF(B843=" "," ",HYPERLINK(CONCATENATE("#metadata!",ADDRESS(INDEX($L$2:$L$1001,MATCH(ROWS($J$2:J843),$J$2:$J$1001,0),0),1)),INDEX($O$2:$O$1001,MATCH(ROWS($J$2:J843),$J$2:$J$1001,0),0)))</f>
        <v>0</v>
      </c>
      <c r="B843" s="3">
        <f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>0</v>
      </c>
      <c r="C843" s="3">
        <f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>0</v>
      </c>
      <c r="D843" s="3">
        <f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>0</v>
      </c>
      <c r="E843" s="3">
        <f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>0</v>
      </c>
      <c r="F843" s="3">
        <f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>0</v>
      </c>
      <c r="J843">
        <v>0</v>
      </c>
      <c r="K843">
        <v>0</v>
      </c>
      <c r="L843">
        <v>0</v>
      </c>
      <c r="M843">
        <f>IF(N843,TRUE,AND(Q843:U843))</f>
        <v>0</v>
      </c>
      <c r="N843">
        <f>COUNTBLANK(Metadata!B843:F843)=COLUMNS(Metadata!B843:F843)</f>
        <v>0</v>
      </c>
      <c r="O843">
        <v>0</v>
      </c>
      <c r="Q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>
        <f>AND(IF(Metadata!C843="",FALSE,TRUE),exact(Metadata!C843,"human-skin"))</f>
        <v>0</v>
      </c>
      <c r="S843">
        <f>OR(AND(IF(Metadata!D843="",FALSE,TRUE),OR(exact(Metadata!D843,"missing: not collected"),exact(Metadata!D843,"missing: not provided"))),AND(IF(Metadata!D843="",FALSE,TRUE),OR(exact(Metadata!D843,"UBERON:zone of skin"),exact(Metadata!D843,"UBERON:skin of hand"),exact(Metadata!D843,"UBERON:skin of forehead"))))</f>
        <v>0</v>
      </c>
      <c r="T843">
        <f>AND(IF(Metadata!E843="",FALSE,TRUE),exact(Metadata!E843,"human skin metagenome"))</f>
        <v>0</v>
      </c>
      <c r="U843">
        <f>AND(IF(Metadata!F843="",FALSE,TRUE),exact(Metadata!F843,"539655"))</f>
        <v>0</v>
      </c>
    </row>
    <row r="844" spans="1:21">
      <c r="A844" s="4">
        <f>IF(B844=" "," ",HYPERLINK(CONCATENATE("#metadata!",ADDRESS(INDEX($L$2:$L$1001,MATCH(ROWS($J$2:J844),$J$2:$J$1001,0),0),1)),INDEX($O$2:$O$1001,MATCH(ROWS($J$2:J844),$J$2:$J$1001,0),0)))</f>
        <v>0</v>
      </c>
      <c r="B844" s="3">
        <f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>0</v>
      </c>
      <c r="C844" s="3">
        <f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>0</v>
      </c>
      <c r="D844" s="3">
        <f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>0</v>
      </c>
      <c r="E844" s="3">
        <f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>0</v>
      </c>
      <c r="F844" s="3">
        <f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>0</v>
      </c>
      <c r="J844">
        <v>0</v>
      </c>
      <c r="K844">
        <v>0</v>
      </c>
      <c r="L844">
        <v>0</v>
      </c>
      <c r="M844">
        <f>IF(N844,TRUE,AND(Q844:U844))</f>
        <v>0</v>
      </c>
      <c r="N844">
        <f>COUNTBLANK(Metadata!B844:F844)=COLUMNS(Metadata!B844:F844)</f>
        <v>0</v>
      </c>
      <c r="O844">
        <v>0</v>
      </c>
      <c r="Q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>
        <f>AND(IF(Metadata!C844="",FALSE,TRUE),exact(Metadata!C844,"human-skin"))</f>
        <v>0</v>
      </c>
      <c r="S844">
        <f>OR(AND(IF(Metadata!D844="",FALSE,TRUE),OR(exact(Metadata!D844,"missing: not collected"),exact(Metadata!D844,"missing: not provided"))),AND(IF(Metadata!D844="",FALSE,TRUE),OR(exact(Metadata!D844,"UBERON:zone of skin"),exact(Metadata!D844,"UBERON:skin of hand"),exact(Metadata!D844,"UBERON:skin of forehead"))))</f>
        <v>0</v>
      </c>
      <c r="T844">
        <f>AND(IF(Metadata!E844="",FALSE,TRUE),exact(Metadata!E844,"human skin metagenome"))</f>
        <v>0</v>
      </c>
      <c r="U844">
        <f>AND(IF(Metadata!F844="",FALSE,TRUE),exact(Metadata!F844,"539655"))</f>
        <v>0</v>
      </c>
    </row>
    <row r="845" spans="1:21">
      <c r="A845" s="4">
        <f>IF(B845=" "," ",HYPERLINK(CONCATENATE("#metadata!",ADDRESS(INDEX($L$2:$L$1001,MATCH(ROWS($J$2:J845),$J$2:$J$1001,0),0),1)),INDEX($O$2:$O$1001,MATCH(ROWS($J$2:J845),$J$2:$J$1001,0),0)))</f>
        <v>0</v>
      </c>
      <c r="B845" s="3">
        <f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>0</v>
      </c>
      <c r="C845" s="3">
        <f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>0</v>
      </c>
      <c r="D845" s="3">
        <f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>0</v>
      </c>
      <c r="E845" s="3">
        <f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>0</v>
      </c>
      <c r="F845" s="3">
        <f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>0</v>
      </c>
      <c r="J845">
        <v>0</v>
      </c>
      <c r="K845">
        <v>0</v>
      </c>
      <c r="L845">
        <v>0</v>
      </c>
      <c r="M845">
        <f>IF(N845,TRUE,AND(Q845:U845))</f>
        <v>0</v>
      </c>
      <c r="N845">
        <f>COUNTBLANK(Metadata!B845:F845)=COLUMNS(Metadata!B845:F845)</f>
        <v>0</v>
      </c>
      <c r="O845">
        <v>0</v>
      </c>
      <c r="Q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>
        <f>AND(IF(Metadata!C845="",FALSE,TRUE),exact(Metadata!C845,"human-skin"))</f>
        <v>0</v>
      </c>
      <c r="S845">
        <f>OR(AND(IF(Metadata!D845="",FALSE,TRUE),OR(exact(Metadata!D845,"missing: not collected"),exact(Metadata!D845,"missing: not provided"))),AND(IF(Metadata!D845="",FALSE,TRUE),OR(exact(Metadata!D845,"UBERON:zone of skin"),exact(Metadata!D845,"UBERON:skin of hand"),exact(Metadata!D845,"UBERON:skin of forehead"))))</f>
        <v>0</v>
      </c>
      <c r="T845">
        <f>AND(IF(Metadata!E845="",FALSE,TRUE),exact(Metadata!E845,"human skin metagenome"))</f>
        <v>0</v>
      </c>
      <c r="U845">
        <f>AND(IF(Metadata!F845="",FALSE,TRUE),exact(Metadata!F845,"539655"))</f>
        <v>0</v>
      </c>
    </row>
    <row r="846" spans="1:21">
      <c r="A846" s="4">
        <f>IF(B846=" "," ",HYPERLINK(CONCATENATE("#metadata!",ADDRESS(INDEX($L$2:$L$1001,MATCH(ROWS($J$2:J846),$J$2:$J$1001,0),0),1)),INDEX($O$2:$O$1001,MATCH(ROWS($J$2:J846),$J$2:$J$1001,0),0)))</f>
        <v>0</v>
      </c>
      <c r="B846" s="3">
        <f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>0</v>
      </c>
      <c r="C846" s="3">
        <f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>0</v>
      </c>
      <c r="D846" s="3">
        <f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>0</v>
      </c>
      <c r="E846" s="3">
        <f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>0</v>
      </c>
      <c r="F846" s="3">
        <f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>0</v>
      </c>
      <c r="J846">
        <v>0</v>
      </c>
      <c r="K846">
        <v>0</v>
      </c>
      <c r="L846">
        <v>0</v>
      </c>
      <c r="M846">
        <f>IF(N846,TRUE,AND(Q846:U846))</f>
        <v>0</v>
      </c>
      <c r="N846">
        <f>COUNTBLANK(Metadata!B846:F846)=COLUMNS(Metadata!B846:F846)</f>
        <v>0</v>
      </c>
      <c r="O846">
        <v>0</v>
      </c>
      <c r="Q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>
        <f>AND(IF(Metadata!C846="",FALSE,TRUE),exact(Metadata!C846,"human-skin"))</f>
        <v>0</v>
      </c>
      <c r="S846">
        <f>OR(AND(IF(Metadata!D846="",FALSE,TRUE),OR(exact(Metadata!D846,"missing: not collected"),exact(Metadata!D846,"missing: not provided"))),AND(IF(Metadata!D846="",FALSE,TRUE),OR(exact(Metadata!D846,"UBERON:zone of skin"),exact(Metadata!D846,"UBERON:skin of hand"),exact(Metadata!D846,"UBERON:skin of forehead"))))</f>
        <v>0</v>
      </c>
      <c r="T846">
        <f>AND(IF(Metadata!E846="",FALSE,TRUE),exact(Metadata!E846,"human skin metagenome"))</f>
        <v>0</v>
      </c>
      <c r="U846">
        <f>AND(IF(Metadata!F846="",FALSE,TRUE),exact(Metadata!F846,"539655"))</f>
        <v>0</v>
      </c>
    </row>
    <row r="847" spans="1:21">
      <c r="A847" s="4">
        <f>IF(B847=" "," ",HYPERLINK(CONCATENATE("#metadata!",ADDRESS(INDEX($L$2:$L$1001,MATCH(ROWS($J$2:J847),$J$2:$J$1001,0),0),1)),INDEX($O$2:$O$1001,MATCH(ROWS($J$2:J847),$J$2:$J$1001,0),0)))</f>
        <v>0</v>
      </c>
      <c r="B847" s="3">
        <f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>0</v>
      </c>
      <c r="C847" s="3">
        <f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>0</v>
      </c>
      <c r="D847" s="3">
        <f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>0</v>
      </c>
      <c r="E847" s="3">
        <f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>0</v>
      </c>
      <c r="F847" s="3">
        <f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>0</v>
      </c>
      <c r="J847">
        <v>0</v>
      </c>
      <c r="K847">
        <v>0</v>
      </c>
      <c r="L847">
        <v>0</v>
      </c>
      <c r="M847">
        <f>IF(N847,TRUE,AND(Q847:U847))</f>
        <v>0</v>
      </c>
      <c r="N847">
        <f>COUNTBLANK(Metadata!B847:F847)=COLUMNS(Metadata!B847:F847)</f>
        <v>0</v>
      </c>
      <c r="O847">
        <v>0</v>
      </c>
      <c r="Q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>
        <f>AND(IF(Metadata!C847="",FALSE,TRUE),exact(Metadata!C847,"human-skin"))</f>
        <v>0</v>
      </c>
      <c r="S847">
        <f>OR(AND(IF(Metadata!D847="",FALSE,TRUE),OR(exact(Metadata!D847,"missing: not collected"),exact(Metadata!D847,"missing: not provided"))),AND(IF(Metadata!D847="",FALSE,TRUE),OR(exact(Metadata!D847,"UBERON:zone of skin"),exact(Metadata!D847,"UBERON:skin of hand"),exact(Metadata!D847,"UBERON:skin of forehead"))))</f>
        <v>0</v>
      </c>
      <c r="T847">
        <f>AND(IF(Metadata!E847="",FALSE,TRUE),exact(Metadata!E847,"human skin metagenome"))</f>
        <v>0</v>
      </c>
      <c r="U847">
        <f>AND(IF(Metadata!F847="",FALSE,TRUE),exact(Metadata!F847,"539655"))</f>
        <v>0</v>
      </c>
    </row>
    <row r="848" spans="1:21">
      <c r="A848" s="4">
        <f>IF(B848=" "," ",HYPERLINK(CONCATENATE("#metadata!",ADDRESS(INDEX($L$2:$L$1001,MATCH(ROWS($J$2:J848),$J$2:$J$1001,0),0),1)),INDEX($O$2:$O$1001,MATCH(ROWS($J$2:J848),$J$2:$J$1001,0),0)))</f>
        <v>0</v>
      </c>
      <c r="B848" s="3">
        <f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>0</v>
      </c>
      <c r="C848" s="3">
        <f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>0</v>
      </c>
      <c r="D848" s="3">
        <f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>0</v>
      </c>
      <c r="E848" s="3">
        <f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>0</v>
      </c>
      <c r="F848" s="3">
        <f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>0</v>
      </c>
      <c r="J848">
        <v>0</v>
      </c>
      <c r="K848">
        <v>0</v>
      </c>
      <c r="L848">
        <v>0</v>
      </c>
      <c r="M848">
        <f>IF(N848,TRUE,AND(Q848:U848))</f>
        <v>0</v>
      </c>
      <c r="N848">
        <f>COUNTBLANK(Metadata!B848:F848)=COLUMNS(Metadata!B848:F848)</f>
        <v>0</v>
      </c>
      <c r="O848">
        <v>0</v>
      </c>
      <c r="Q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>
        <f>AND(IF(Metadata!C848="",FALSE,TRUE),exact(Metadata!C848,"human-skin"))</f>
        <v>0</v>
      </c>
      <c r="S848">
        <f>OR(AND(IF(Metadata!D848="",FALSE,TRUE),OR(exact(Metadata!D848,"missing: not collected"),exact(Metadata!D848,"missing: not provided"))),AND(IF(Metadata!D848="",FALSE,TRUE),OR(exact(Metadata!D848,"UBERON:zone of skin"),exact(Metadata!D848,"UBERON:skin of hand"),exact(Metadata!D848,"UBERON:skin of forehead"))))</f>
        <v>0</v>
      </c>
      <c r="T848">
        <f>AND(IF(Metadata!E848="",FALSE,TRUE),exact(Metadata!E848,"human skin metagenome"))</f>
        <v>0</v>
      </c>
      <c r="U848">
        <f>AND(IF(Metadata!F848="",FALSE,TRUE),exact(Metadata!F848,"539655"))</f>
        <v>0</v>
      </c>
    </row>
    <row r="849" spans="1:21">
      <c r="A849" s="4">
        <f>IF(B849=" "," ",HYPERLINK(CONCATENATE("#metadata!",ADDRESS(INDEX($L$2:$L$1001,MATCH(ROWS($J$2:J849),$J$2:$J$1001,0),0),1)),INDEX($O$2:$O$1001,MATCH(ROWS($J$2:J849),$J$2:$J$1001,0),0)))</f>
        <v>0</v>
      </c>
      <c r="B849" s="3">
        <f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>0</v>
      </c>
      <c r="C849" s="3">
        <f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>0</v>
      </c>
      <c r="D849" s="3">
        <f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>0</v>
      </c>
      <c r="E849" s="3">
        <f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>0</v>
      </c>
      <c r="F849" s="3">
        <f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>0</v>
      </c>
      <c r="J849">
        <v>0</v>
      </c>
      <c r="K849">
        <v>0</v>
      </c>
      <c r="L849">
        <v>0</v>
      </c>
      <c r="M849">
        <f>IF(N849,TRUE,AND(Q849:U849))</f>
        <v>0</v>
      </c>
      <c r="N849">
        <f>COUNTBLANK(Metadata!B849:F849)=COLUMNS(Metadata!B849:F849)</f>
        <v>0</v>
      </c>
      <c r="O849">
        <v>0</v>
      </c>
      <c r="Q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>
        <f>AND(IF(Metadata!C849="",FALSE,TRUE),exact(Metadata!C849,"human-skin"))</f>
        <v>0</v>
      </c>
      <c r="S849">
        <f>OR(AND(IF(Metadata!D849="",FALSE,TRUE),OR(exact(Metadata!D849,"missing: not collected"),exact(Metadata!D849,"missing: not provided"))),AND(IF(Metadata!D849="",FALSE,TRUE),OR(exact(Metadata!D849,"UBERON:zone of skin"),exact(Metadata!D849,"UBERON:skin of hand"),exact(Metadata!D849,"UBERON:skin of forehead"))))</f>
        <v>0</v>
      </c>
      <c r="T849">
        <f>AND(IF(Metadata!E849="",FALSE,TRUE),exact(Metadata!E849,"human skin metagenome"))</f>
        <v>0</v>
      </c>
      <c r="U849">
        <f>AND(IF(Metadata!F849="",FALSE,TRUE),exact(Metadata!F849,"539655"))</f>
        <v>0</v>
      </c>
    </row>
    <row r="850" spans="1:21">
      <c r="A850" s="4">
        <f>IF(B850=" "," ",HYPERLINK(CONCATENATE("#metadata!",ADDRESS(INDEX($L$2:$L$1001,MATCH(ROWS($J$2:J850),$J$2:$J$1001,0),0),1)),INDEX($O$2:$O$1001,MATCH(ROWS($J$2:J850),$J$2:$J$1001,0),0)))</f>
        <v>0</v>
      </c>
      <c r="B850" s="3">
        <f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>0</v>
      </c>
      <c r="C850" s="3">
        <f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>0</v>
      </c>
      <c r="D850" s="3">
        <f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>0</v>
      </c>
      <c r="E850" s="3">
        <f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>0</v>
      </c>
      <c r="F850" s="3">
        <f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>0</v>
      </c>
      <c r="J850">
        <v>0</v>
      </c>
      <c r="K850">
        <v>0</v>
      </c>
      <c r="L850">
        <v>0</v>
      </c>
      <c r="M850">
        <f>IF(N850,TRUE,AND(Q850:U850))</f>
        <v>0</v>
      </c>
      <c r="N850">
        <f>COUNTBLANK(Metadata!B850:F850)=COLUMNS(Metadata!B850:F850)</f>
        <v>0</v>
      </c>
      <c r="O850">
        <v>0</v>
      </c>
      <c r="Q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>
        <f>AND(IF(Metadata!C850="",FALSE,TRUE),exact(Metadata!C850,"human-skin"))</f>
        <v>0</v>
      </c>
      <c r="S850">
        <f>OR(AND(IF(Metadata!D850="",FALSE,TRUE),OR(exact(Metadata!D850,"missing: not collected"),exact(Metadata!D850,"missing: not provided"))),AND(IF(Metadata!D850="",FALSE,TRUE),OR(exact(Metadata!D850,"UBERON:zone of skin"),exact(Metadata!D850,"UBERON:skin of hand"),exact(Metadata!D850,"UBERON:skin of forehead"))))</f>
        <v>0</v>
      </c>
      <c r="T850">
        <f>AND(IF(Metadata!E850="",FALSE,TRUE),exact(Metadata!E850,"human skin metagenome"))</f>
        <v>0</v>
      </c>
      <c r="U850">
        <f>AND(IF(Metadata!F850="",FALSE,TRUE),exact(Metadata!F850,"539655"))</f>
        <v>0</v>
      </c>
    </row>
    <row r="851" spans="1:21">
      <c r="A851" s="4">
        <f>IF(B851=" "," ",HYPERLINK(CONCATENATE("#metadata!",ADDRESS(INDEX($L$2:$L$1001,MATCH(ROWS($J$2:J851),$J$2:$J$1001,0),0),1)),INDEX($O$2:$O$1001,MATCH(ROWS($J$2:J851),$J$2:$J$1001,0),0)))</f>
        <v>0</v>
      </c>
      <c r="B851" s="3">
        <f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>0</v>
      </c>
      <c r="C851" s="3">
        <f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>0</v>
      </c>
      <c r="D851" s="3">
        <f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>0</v>
      </c>
      <c r="E851" s="3">
        <f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>0</v>
      </c>
      <c r="F851" s="3">
        <f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>0</v>
      </c>
      <c r="J851">
        <v>0</v>
      </c>
      <c r="K851">
        <v>0</v>
      </c>
      <c r="L851">
        <v>0</v>
      </c>
      <c r="M851">
        <f>IF(N851,TRUE,AND(Q851:U851))</f>
        <v>0</v>
      </c>
      <c r="N851">
        <f>COUNTBLANK(Metadata!B851:F851)=COLUMNS(Metadata!B851:F851)</f>
        <v>0</v>
      </c>
      <c r="O851">
        <v>0</v>
      </c>
      <c r="Q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>
        <f>AND(IF(Metadata!C851="",FALSE,TRUE),exact(Metadata!C851,"human-skin"))</f>
        <v>0</v>
      </c>
      <c r="S851">
        <f>OR(AND(IF(Metadata!D851="",FALSE,TRUE),OR(exact(Metadata!D851,"missing: not collected"),exact(Metadata!D851,"missing: not provided"))),AND(IF(Metadata!D851="",FALSE,TRUE),OR(exact(Metadata!D851,"UBERON:zone of skin"),exact(Metadata!D851,"UBERON:skin of hand"),exact(Metadata!D851,"UBERON:skin of forehead"))))</f>
        <v>0</v>
      </c>
      <c r="T851">
        <f>AND(IF(Metadata!E851="",FALSE,TRUE),exact(Metadata!E851,"human skin metagenome"))</f>
        <v>0</v>
      </c>
      <c r="U851">
        <f>AND(IF(Metadata!F851="",FALSE,TRUE),exact(Metadata!F851,"539655"))</f>
        <v>0</v>
      </c>
    </row>
    <row r="852" spans="1:21">
      <c r="A852" s="4">
        <f>IF(B852=" "," ",HYPERLINK(CONCATENATE("#metadata!",ADDRESS(INDEX($L$2:$L$1001,MATCH(ROWS($J$2:J852),$J$2:$J$1001,0),0),1)),INDEX($O$2:$O$1001,MATCH(ROWS($J$2:J852),$J$2:$J$1001,0),0)))</f>
        <v>0</v>
      </c>
      <c r="B852" s="3">
        <f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>0</v>
      </c>
      <c r="C852" s="3">
        <f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>0</v>
      </c>
      <c r="D852" s="3">
        <f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>0</v>
      </c>
      <c r="E852" s="3">
        <f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>0</v>
      </c>
      <c r="F852" s="3">
        <f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>0</v>
      </c>
      <c r="J852">
        <v>0</v>
      </c>
      <c r="K852">
        <v>0</v>
      </c>
      <c r="L852">
        <v>0</v>
      </c>
      <c r="M852">
        <f>IF(N852,TRUE,AND(Q852:U852))</f>
        <v>0</v>
      </c>
      <c r="N852">
        <f>COUNTBLANK(Metadata!B852:F852)=COLUMNS(Metadata!B852:F852)</f>
        <v>0</v>
      </c>
      <c r="O852">
        <v>0</v>
      </c>
      <c r="Q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>
        <f>AND(IF(Metadata!C852="",FALSE,TRUE),exact(Metadata!C852,"human-skin"))</f>
        <v>0</v>
      </c>
      <c r="S852">
        <f>OR(AND(IF(Metadata!D852="",FALSE,TRUE),OR(exact(Metadata!D852,"missing: not collected"),exact(Metadata!D852,"missing: not provided"))),AND(IF(Metadata!D852="",FALSE,TRUE),OR(exact(Metadata!D852,"UBERON:zone of skin"),exact(Metadata!D852,"UBERON:skin of hand"),exact(Metadata!D852,"UBERON:skin of forehead"))))</f>
        <v>0</v>
      </c>
      <c r="T852">
        <f>AND(IF(Metadata!E852="",FALSE,TRUE),exact(Metadata!E852,"human skin metagenome"))</f>
        <v>0</v>
      </c>
      <c r="U852">
        <f>AND(IF(Metadata!F852="",FALSE,TRUE),exact(Metadata!F852,"539655"))</f>
        <v>0</v>
      </c>
    </row>
    <row r="853" spans="1:21">
      <c r="A853" s="4">
        <f>IF(B853=" "," ",HYPERLINK(CONCATENATE("#metadata!",ADDRESS(INDEX($L$2:$L$1001,MATCH(ROWS($J$2:J853),$J$2:$J$1001,0),0),1)),INDEX($O$2:$O$1001,MATCH(ROWS($J$2:J853),$J$2:$J$1001,0),0)))</f>
        <v>0</v>
      </c>
      <c r="B853" s="3">
        <f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>0</v>
      </c>
      <c r="C853" s="3">
        <f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>0</v>
      </c>
      <c r="D853" s="3">
        <f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>0</v>
      </c>
      <c r="E853" s="3">
        <f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>0</v>
      </c>
      <c r="F853" s="3">
        <f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>0</v>
      </c>
      <c r="J853">
        <v>0</v>
      </c>
      <c r="K853">
        <v>0</v>
      </c>
      <c r="L853">
        <v>0</v>
      </c>
      <c r="M853">
        <f>IF(N853,TRUE,AND(Q853:U853))</f>
        <v>0</v>
      </c>
      <c r="N853">
        <f>COUNTBLANK(Metadata!B853:F853)=COLUMNS(Metadata!B853:F853)</f>
        <v>0</v>
      </c>
      <c r="O853">
        <v>0</v>
      </c>
      <c r="Q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>
        <f>AND(IF(Metadata!C853="",FALSE,TRUE),exact(Metadata!C853,"human-skin"))</f>
        <v>0</v>
      </c>
      <c r="S853">
        <f>OR(AND(IF(Metadata!D853="",FALSE,TRUE),OR(exact(Metadata!D853,"missing: not collected"),exact(Metadata!D853,"missing: not provided"))),AND(IF(Metadata!D853="",FALSE,TRUE),OR(exact(Metadata!D853,"UBERON:zone of skin"),exact(Metadata!D853,"UBERON:skin of hand"),exact(Metadata!D853,"UBERON:skin of forehead"))))</f>
        <v>0</v>
      </c>
      <c r="T853">
        <f>AND(IF(Metadata!E853="",FALSE,TRUE),exact(Metadata!E853,"human skin metagenome"))</f>
        <v>0</v>
      </c>
      <c r="U853">
        <f>AND(IF(Metadata!F853="",FALSE,TRUE),exact(Metadata!F853,"539655"))</f>
        <v>0</v>
      </c>
    </row>
    <row r="854" spans="1:21">
      <c r="A854" s="4">
        <f>IF(B854=" "," ",HYPERLINK(CONCATENATE("#metadata!",ADDRESS(INDEX($L$2:$L$1001,MATCH(ROWS($J$2:J854),$J$2:$J$1001,0),0),1)),INDEX($O$2:$O$1001,MATCH(ROWS($J$2:J854),$J$2:$J$1001,0),0)))</f>
        <v>0</v>
      </c>
      <c r="B854" s="3">
        <f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>0</v>
      </c>
      <c r="C854" s="3">
        <f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>0</v>
      </c>
      <c r="D854" s="3">
        <f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>0</v>
      </c>
      <c r="E854" s="3">
        <f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>0</v>
      </c>
      <c r="F854" s="3">
        <f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>0</v>
      </c>
      <c r="J854">
        <v>0</v>
      </c>
      <c r="K854">
        <v>0</v>
      </c>
      <c r="L854">
        <v>0</v>
      </c>
      <c r="M854">
        <f>IF(N854,TRUE,AND(Q854:U854))</f>
        <v>0</v>
      </c>
      <c r="N854">
        <f>COUNTBLANK(Metadata!B854:F854)=COLUMNS(Metadata!B854:F854)</f>
        <v>0</v>
      </c>
      <c r="O854">
        <v>0</v>
      </c>
      <c r="Q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>
        <f>AND(IF(Metadata!C854="",FALSE,TRUE),exact(Metadata!C854,"human-skin"))</f>
        <v>0</v>
      </c>
      <c r="S854">
        <f>OR(AND(IF(Metadata!D854="",FALSE,TRUE),OR(exact(Metadata!D854,"missing: not collected"),exact(Metadata!D854,"missing: not provided"))),AND(IF(Metadata!D854="",FALSE,TRUE),OR(exact(Metadata!D854,"UBERON:zone of skin"),exact(Metadata!D854,"UBERON:skin of hand"),exact(Metadata!D854,"UBERON:skin of forehead"))))</f>
        <v>0</v>
      </c>
      <c r="T854">
        <f>AND(IF(Metadata!E854="",FALSE,TRUE),exact(Metadata!E854,"human skin metagenome"))</f>
        <v>0</v>
      </c>
      <c r="U854">
        <f>AND(IF(Metadata!F854="",FALSE,TRUE),exact(Metadata!F854,"539655"))</f>
        <v>0</v>
      </c>
    </row>
    <row r="855" spans="1:21">
      <c r="A855" s="4">
        <f>IF(B855=" "," ",HYPERLINK(CONCATENATE("#metadata!",ADDRESS(INDEX($L$2:$L$1001,MATCH(ROWS($J$2:J855),$J$2:$J$1001,0),0),1)),INDEX($O$2:$O$1001,MATCH(ROWS($J$2:J855),$J$2:$J$1001,0),0)))</f>
        <v>0</v>
      </c>
      <c r="B855" s="3">
        <f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>0</v>
      </c>
      <c r="C855" s="3">
        <f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>0</v>
      </c>
      <c r="D855" s="3">
        <f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>0</v>
      </c>
      <c r="E855" s="3">
        <f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>0</v>
      </c>
      <c r="F855" s="3">
        <f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>0</v>
      </c>
      <c r="J855">
        <v>0</v>
      </c>
      <c r="K855">
        <v>0</v>
      </c>
      <c r="L855">
        <v>0</v>
      </c>
      <c r="M855">
        <f>IF(N855,TRUE,AND(Q855:U855))</f>
        <v>0</v>
      </c>
      <c r="N855">
        <f>COUNTBLANK(Metadata!B855:F855)=COLUMNS(Metadata!B855:F855)</f>
        <v>0</v>
      </c>
      <c r="O855">
        <v>0</v>
      </c>
      <c r="Q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>
        <f>AND(IF(Metadata!C855="",FALSE,TRUE),exact(Metadata!C855,"human-skin"))</f>
        <v>0</v>
      </c>
      <c r="S855">
        <f>OR(AND(IF(Metadata!D855="",FALSE,TRUE),OR(exact(Metadata!D855,"missing: not collected"),exact(Metadata!D855,"missing: not provided"))),AND(IF(Metadata!D855="",FALSE,TRUE),OR(exact(Metadata!D855,"UBERON:zone of skin"),exact(Metadata!D855,"UBERON:skin of hand"),exact(Metadata!D855,"UBERON:skin of forehead"))))</f>
        <v>0</v>
      </c>
      <c r="T855">
        <f>AND(IF(Metadata!E855="",FALSE,TRUE),exact(Metadata!E855,"human skin metagenome"))</f>
        <v>0</v>
      </c>
      <c r="U855">
        <f>AND(IF(Metadata!F855="",FALSE,TRUE),exact(Metadata!F855,"539655"))</f>
        <v>0</v>
      </c>
    </row>
    <row r="856" spans="1:21">
      <c r="A856" s="4">
        <f>IF(B856=" "," ",HYPERLINK(CONCATENATE("#metadata!",ADDRESS(INDEX($L$2:$L$1001,MATCH(ROWS($J$2:J856),$J$2:$J$1001,0),0),1)),INDEX($O$2:$O$1001,MATCH(ROWS($J$2:J856),$J$2:$J$1001,0),0)))</f>
        <v>0</v>
      </c>
      <c r="B856" s="3">
        <f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>0</v>
      </c>
      <c r="C856" s="3">
        <f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>0</v>
      </c>
      <c r="D856" s="3">
        <f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>0</v>
      </c>
      <c r="E856" s="3">
        <f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>0</v>
      </c>
      <c r="F856" s="3">
        <f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>0</v>
      </c>
      <c r="J856">
        <v>0</v>
      </c>
      <c r="K856">
        <v>0</v>
      </c>
      <c r="L856">
        <v>0</v>
      </c>
      <c r="M856">
        <f>IF(N856,TRUE,AND(Q856:U856))</f>
        <v>0</v>
      </c>
      <c r="N856">
        <f>COUNTBLANK(Metadata!B856:F856)=COLUMNS(Metadata!B856:F856)</f>
        <v>0</v>
      </c>
      <c r="O856">
        <v>0</v>
      </c>
      <c r="Q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>
        <f>AND(IF(Metadata!C856="",FALSE,TRUE),exact(Metadata!C856,"human-skin"))</f>
        <v>0</v>
      </c>
      <c r="S856">
        <f>OR(AND(IF(Metadata!D856="",FALSE,TRUE),OR(exact(Metadata!D856,"missing: not collected"),exact(Metadata!D856,"missing: not provided"))),AND(IF(Metadata!D856="",FALSE,TRUE),OR(exact(Metadata!D856,"UBERON:zone of skin"),exact(Metadata!D856,"UBERON:skin of hand"),exact(Metadata!D856,"UBERON:skin of forehead"))))</f>
        <v>0</v>
      </c>
      <c r="T856">
        <f>AND(IF(Metadata!E856="",FALSE,TRUE),exact(Metadata!E856,"human skin metagenome"))</f>
        <v>0</v>
      </c>
      <c r="U856">
        <f>AND(IF(Metadata!F856="",FALSE,TRUE),exact(Metadata!F856,"539655"))</f>
        <v>0</v>
      </c>
    </row>
    <row r="857" spans="1:21">
      <c r="A857" s="4">
        <f>IF(B857=" "," ",HYPERLINK(CONCATENATE("#metadata!",ADDRESS(INDEX($L$2:$L$1001,MATCH(ROWS($J$2:J857),$J$2:$J$1001,0),0),1)),INDEX($O$2:$O$1001,MATCH(ROWS($J$2:J857),$J$2:$J$1001,0),0)))</f>
        <v>0</v>
      </c>
      <c r="B857" s="3">
        <f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>0</v>
      </c>
      <c r="C857" s="3">
        <f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>0</v>
      </c>
      <c r="D857" s="3">
        <f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>0</v>
      </c>
      <c r="E857" s="3">
        <f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>0</v>
      </c>
      <c r="F857" s="3">
        <f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>0</v>
      </c>
      <c r="J857">
        <v>0</v>
      </c>
      <c r="K857">
        <v>0</v>
      </c>
      <c r="L857">
        <v>0</v>
      </c>
      <c r="M857">
        <f>IF(N857,TRUE,AND(Q857:U857))</f>
        <v>0</v>
      </c>
      <c r="N857">
        <f>COUNTBLANK(Metadata!B857:F857)=COLUMNS(Metadata!B857:F857)</f>
        <v>0</v>
      </c>
      <c r="O857">
        <v>0</v>
      </c>
      <c r="Q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>
        <f>AND(IF(Metadata!C857="",FALSE,TRUE),exact(Metadata!C857,"human-skin"))</f>
        <v>0</v>
      </c>
      <c r="S857">
        <f>OR(AND(IF(Metadata!D857="",FALSE,TRUE),OR(exact(Metadata!D857,"missing: not collected"),exact(Metadata!D857,"missing: not provided"))),AND(IF(Metadata!D857="",FALSE,TRUE),OR(exact(Metadata!D857,"UBERON:zone of skin"),exact(Metadata!D857,"UBERON:skin of hand"),exact(Metadata!D857,"UBERON:skin of forehead"))))</f>
        <v>0</v>
      </c>
      <c r="T857">
        <f>AND(IF(Metadata!E857="",FALSE,TRUE),exact(Metadata!E857,"human skin metagenome"))</f>
        <v>0</v>
      </c>
      <c r="U857">
        <f>AND(IF(Metadata!F857="",FALSE,TRUE),exact(Metadata!F857,"539655"))</f>
        <v>0</v>
      </c>
    </row>
    <row r="858" spans="1:21">
      <c r="A858" s="4">
        <f>IF(B858=" "," ",HYPERLINK(CONCATENATE("#metadata!",ADDRESS(INDEX($L$2:$L$1001,MATCH(ROWS($J$2:J858),$J$2:$J$1001,0),0),1)),INDEX($O$2:$O$1001,MATCH(ROWS($J$2:J858),$J$2:$J$1001,0),0)))</f>
        <v>0</v>
      </c>
      <c r="B858" s="3">
        <f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>0</v>
      </c>
      <c r="C858" s="3">
        <f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>0</v>
      </c>
      <c r="D858" s="3">
        <f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>0</v>
      </c>
      <c r="E858" s="3">
        <f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>0</v>
      </c>
      <c r="F858" s="3">
        <f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>0</v>
      </c>
      <c r="J858">
        <v>0</v>
      </c>
      <c r="K858">
        <v>0</v>
      </c>
      <c r="L858">
        <v>0</v>
      </c>
      <c r="M858">
        <f>IF(N858,TRUE,AND(Q858:U858))</f>
        <v>0</v>
      </c>
      <c r="N858">
        <f>COUNTBLANK(Metadata!B858:F858)=COLUMNS(Metadata!B858:F858)</f>
        <v>0</v>
      </c>
      <c r="O858">
        <v>0</v>
      </c>
      <c r="Q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>
        <f>AND(IF(Metadata!C858="",FALSE,TRUE),exact(Metadata!C858,"human-skin"))</f>
        <v>0</v>
      </c>
      <c r="S858">
        <f>OR(AND(IF(Metadata!D858="",FALSE,TRUE),OR(exact(Metadata!D858,"missing: not collected"),exact(Metadata!D858,"missing: not provided"))),AND(IF(Metadata!D858="",FALSE,TRUE),OR(exact(Metadata!D858,"UBERON:zone of skin"),exact(Metadata!D858,"UBERON:skin of hand"),exact(Metadata!D858,"UBERON:skin of forehead"))))</f>
        <v>0</v>
      </c>
      <c r="T858">
        <f>AND(IF(Metadata!E858="",FALSE,TRUE),exact(Metadata!E858,"human skin metagenome"))</f>
        <v>0</v>
      </c>
      <c r="U858">
        <f>AND(IF(Metadata!F858="",FALSE,TRUE),exact(Metadata!F858,"539655"))</f>
        <v>0</v>
      </c>
    </row>
    <row r="859" spans="1:21">
      <c r="A859" s="4">
        <f>IF(B859=" "," ",HYPERLINK(CONCATENATE("#metadata!",ADDRESS(INDEX($L$2:$L$1001,MATCH(ROWS($J$2:J859),$J$2:$J$1001,0),0),1)),INDEX($O$2:$O$1001,MATCH(ROWS($J$2:J859),$J$2:$J$1001,0),0)))</f>
        <v>0</v>
      </c>
      <c r="B859" s="3">
        <f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>0</v>
      </c>
      <c r="C859" s="3">
        <f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>0</v>
      </c>
      <c r="D859" s="3">
        <f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>0</v>
      </c>
      <c r="E859" s="3">
        <f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>0</v>
      </c>
      <c r="F859" s="3">
        <f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>0</v>
      </c>
      <c r="J859">
        <v>0</v>
      </c>
      <c r="K859">
        <v>0</v>
      </c>
      <c r="L859">
        <v>0</v>
      </c>
      <c r="M859">
        <f>IF(N859,TRUE,AND(Q859:U859))</f>
        <v>0</v>
      </c>
      <c r="N859">
        <f>COUNTBLANK(Metadata!B859:F859)=COLUMNS(Metadata!B859:F859)</f>
        <v>0</v>
      </c>
      <c r="O859">
        <v>0</v>
      </c>
      <c r="Q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>
        <f>AND(IF(Metadata!C859="",FALSE,TRUE),exact(Metadata!C859,"human-skin"))</f>
        <v>0</v>
      </c>
      <c r="S859">
        <f>OR(AND(IF(Metadata!D859="",FALSE,TRUE),OR(exact(Metadata!D859,"missing: not collected"),exact(Metadata!D859,"missing: not provided"))),AND(IF(Metadata!D859="",FALSE,TRUE),OR(exact(Metadata!D859,"UBERON:zone of skin"),exact(Metadata!D859,"UBERON:skin of hand"),exact(Metadata!D859,"UBERON:skin of forehead"))))</f>
        <v>0</v>
      </c>
      <c r="T859">
        <f>AND(IF(Metadata!E859="",FALSE,TRUE),exact(Metadata!E859,"human skin metagenome"))</f>
        <v>0</v>
      </c>
      <c r="U859">
        <f>AND(IF(Metadata!F859="",FALSE,TRUE),exact(Metadata!F859,"539655"))</f>
        <v>0</v>
      </c>
    </row>
    <row r="860" spans="1:21">
      <c r="A860" s="4">
        <f>IF(B860=" "," ",HYPERLINK(CONCATENATE("#metadata!",ADDRESS(INDEX($L$2:$L$1001,MATCH(ROWS($J$2:J860),$J$2:$J$1001,0),0),1)),INDEX($O$2:$O$1001,MATCH(ROWS($J$2:J860),$J$2:$J$1001,0),0)))</f>
        <v>0</v>
      </c>
      <c r="B860" s="3">
        <f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>0</v>
      </c>
      <c r="C860" s="3">
        <f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>0</v>
      </c>
      <c r="D860" s="3">
        <f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>0</v>
      </c>
      <c r="E860" s="3">
        <f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>0</v>
      </c>
      <c r="F860" s="3">
        <f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>0</v>
      </c>
      <c r="J860">
        <v>0</v>
      </c>
      <c r="K860">
        <v>0</v>
      </c>
      <c r="L860">
        <v>0</v>
      </c>
      <c r="M860">
        <f>IF(N860,TRUE,AND(Q860:U860))</f>
        <v>0</v>
      </c>
      <c r="N860">
        <f>COUNTBLANK(Metadata!B860:F860)=COLUMNS(Metadata!B860:F860)</f>
        <v>0</v>
      </c>
      <c r="O860">
        <v>0</v>
      </c>
      <c r="Q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>
        <f>AND(IF(Metadata!C860="",FALSE,TRUE),exact(Metadata!C860,"human-skin"))</f>
        <v>0</v>
      </c>
      <c r="S860">
        <f>OR(AND(IF(Metadata!D860="",FALSE,TRUE),OR(exact(Metadata!D860,"missing: not collected"),exact(Metadata!D860,"missing: not provided"))),AND(IF(Metadata!D860="",FALSE,TRUE),OR(exact(Metadata!D860,"UBERON:zone of skin"),exact(Metadata!D860,"UBERON:skin of hand"),exact(Metadata!D860,"UBERON:skin of forehead"))))</f>
        <v>0</v>
      </c>
      <c r="T860">
        <f>AND(IF(Metadata!E860="",FALSE,TRUE),exact(Metadata!E860,"human skin metagenome"))</f>
        <v>0</v>
      </c>
      <c r="U860">
        <f>AND(IF(Metadata!F860="",FALSE,TRUE),exact(Metadata!F860,"539655"))</f>
        <v>0</v>
      </c>
    </row>
    <row r="861" spans="1:21">
      <c r="A861" s="4">
        <f>IF(B861=" "," ",HYPERLINK(CONCATENATE("#metadata!",ADDRESS(INDEX($L$2:$L$1001,MATCH(ROWS($J$2:J861),$J$2:$J$1001,0),0),1)),INDEX($O$2:$O$1001,MATCH(ROWS($J$2:J861),$J$2:$J$1001,0),0)))</f>
        <v>0</v>
      </c>
      <c r="B861" s="3">
        <f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>0</v>
      </c>
      <c r="C861" s="3">
        <f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>0</v>
      </c>
      <c r="D861" s="3">
        <f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>0</v>
      </c>
      <c r="E861" s="3">
        <f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>0</v>
      </c>
      <c r="F861" s="3">
        <f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>0</v>
      </c>
      <c r="J861">
        <v>0</v>
      </c>
      <c r="K861">
        <v>0</v>
      </c>
      <c r="L861">
        <v>0</v>
      </c>
      <c r="M861">
        <f>IF(N861,TRUE,AND(Q861:U861))</f>
        <v>0</v>
      </c>
      <c r="N861">
        <f>COUNTBLANK(Metadata!B861:F861)=COLUMNS(Metadata!B861:F861)</f>
        <v>0</v>
      </c>
      <c r="O861">
        <v>0</v>
      </c>
      <c r="Q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>
        <f>AND(IF(Metadata!C861="",FALSE,TRUE),exact(Metadata!C861,"human-skin"))</f>
        <v>0</v>
      </c>
      <c r="S861">
        <f>OR(AND(IF(Metadata!D861="",FALSE,TRUE),OR(exact(Metadata!D861,"missing: not collected"),exact(Metadata!D861,"missing: not provided"))),AND(IF(Metadata!D861="",FALSE,TRUE),OR(exact(Metadata!D861,"UBERON:zone of skin"),exact(Metadata!D861,"UBERON:skin of hand"),exact(Metadata!D861,"UBERON:skin of forehead"))))</f>
        <v>0</v>
      </c>
      <c r="T861">
        <f>AND(IF(Metadata!E861="",FALSE,TRUE),exact(Metadata!E861,"human skin metagenome"))</f>
        <v>0</v>
      </c>
      <c r="U861">
        <f>AND(IF(Metadata!F861="",FALSE,TRUE),exact(Metadata!F861,"539655"))</f>
        <v>0</v>
      </c>
    </row>
    <row r="862" spans="1:21">
      <c r="A862" s="4">
        <f>IF(B862=" "," ",HYPERLINK(CONCATENATE("#metadata!",ADDRESS(INDEX($L$2:$L$1001,MATCH(ROWS($J$2:J862),$J$2:$J$1001,0),0),1)),INDEX($O$2:$O$1001,MATCH(ROWS($J$2:J862),$J$2:$J$1001,0),0)))</f>
        <v>0</v>
      </c>
      <c r="B862" s="3">
        <f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>0</v>
      </c>
      <c r="C862" s="3">
        <f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>0</v>
      </c>
      <c r="D862" s="3">
        <f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>0</v>
      </c>
      <c r="E862" s="3">
        <f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>0</v>
      </c>
      <c r="F862" s="3">
        <f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>0</v>
      </c>
      <c r="J862">
        <v>0</v>
      </c>
      <c r="K862">
        <v>0</v>
      </c>
      <c r="L862">
        <v>0</v>
      </c>
      <c r="M862">
        <f>IF(N862,TRUE,AND(Q862:U862))</f>
        <v>0</v>
      </c>
      <c r="N862">
        <f>COUNTBLANK(Metadata!B862:F862)=COLUMNS(Metadata!B862:F862)</f>
        <v>0</v>
      </c>
      <c r="O862">
        <v>0</v>
      </c>
      <c r="Q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>
        <f>AND(IF(Metadata!C862="",FALSE,TRUE),exact(Metadata!C862,"human-skin"))</f>
        <v>0</v>
      </c>
      <c r="S862">
        <f>OR(AND(IF(Metadata!D862="",FALSE,TRUE),OR(exact(Metadata!D862,"missing: not collected"),exact(Metadata!D862,"missing: not provided"))),AND(IF(Metadata!D862="",FALSE,TRUE),OR(exact(Metadata!D862,"UBERON:zone of skin"),exact(Metadata!D862,"UBERON:skin of hand"),exact(Metadata!D862,"UBERON:skin of forehead"))))</f>
        <v>0</v>
      </c>
      <c r="T862">
        <f>AND(IF(Metadata!E862="",FALSE,TRUE),exact(Metadata!E862,"human skin metagenome"))</f>
        <v>0</v>
      </c>
      <c r="U862">
        <f>AND(IF(Metadata!F862="",FALSE,TRUE),exact(Metadata!F862,"539655"))</f>
        <v>0</v>
      </c>
    </row>
    <row r="863" spans="1:21">
      <c r="A863" s="4">
        <f>IF(B863=" "," ",HYPERLINK(CONCATENATE("#metadata!",ADDRESS(INDEX($L$2:$L$1001,MATCH(ROWS($J$2:J863),$J$2:$J$1001,0),0),1)),INDEX($O$2:$O$1001,MATCH(ROWS($J$2:J863),$J$2:$J$1001,0),0)))</f>
        <v>0</v>
      </c>
      <c r="B863" s="3">
        <f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>0</v>
      </c>
      <c r="C863" s="3">
        <f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>0</v>
      </c>
      <c r="D863" s="3">
        <f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>0</v>
      </c>
      <c r="E863" s="3">
        <f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>0</v>
      </c>
      <c r="F863" s="3">
        <f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>0</v>
      </c>
      <c r="J863">
        <v>0</v>
      </c>
      <c r="K863">
        <v>0</v>
      </c>
      <c r="L863">
        <v>0</v>
      </c>
      <c r="M863">
        <f>IF(N863,TRUE,AND(Q863:U863))</f>
        <v>0</v>
      </c>
      <c r="N863">
        <f>COUNTBLANK(Metadata!B863:F863)=COLUMNS(Metadata!B863:F863)</f>
        <v>0</v>
      </c>
      <c r="O863">
        <v>0</v>
      </c>
      <c r="Q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>
        <f>AND(IF(Metadata!C863="",FALSE,TRUE),exact(Metadata!C863,"human-skin"))</f>
        <v>0</v>
      </c>
      <c r="S863">
        <f>OR(AND(IF(Metadata!D863="",FALSE,TRUE),OR(exact(Metadata!D863,"missing: not collected"),exact(Metadata!D863,"missing: not provided"))),AND(IF(Metadata!D863="",FALSE,TRUE),OR(exact(Metadata!D863,"UBERON:zone of skin"),exact(Metadata!D863,"UBERON:skin of hand"),exact(Metadata!D863,"UBERON:skin of forehead"))))</f>
        <v>0</v>
      </c>
      <c r="T863">
        <f>AND(IF(Metadata!E863="",FALSE,TRUE),exact(Metadata!E863,"human skin metagenome"))</f>
        <v>0</v>
      </c>
      <c r="U863">
        <f>AND(IF(Metadata!F863="",FALSE,TRUE),exact(Metadata!F863,"539655"))</f>
        <v>0</v>
      </c>
    </row>
    <row r="864" spans="1:21">
      <c r="A864" s="4">
        <f>IF(B864=" "," ",HYPERLINK(CONCATENATE("#metadata!",ADDRESS(INDEX($L$2:$L$1001,MATCH(ROWS($J$2:J864),$J$2:$J$1001,0),0),1)),INDEX($O$2:$O$1001,MATCH(ROWS($J$2:J864),$J$2:$J$1001,0),0)))</f>
        <v>0</v>
      </c>
      <c r="B864" s="3">
        <f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>0</v>
      </c>
      <c r="C864" s="3">
        <f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>0</v>
      </c>
      <c r="D864" s="3">
        <f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>0</v>
      </c>
      <c r="E864" s="3">
        <f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>0</v>
      </c>
      <c r="F864" s="3">
        <f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>0</v>
      </c>
      <c r="J864">
        <v>0</v>
      </c>
      <c r="K864">
        <v>0</v>
      </c>
      <c r="L864">
        <v>0</v>
      </c>
      <c r="M864">
        <f>IF(N864,TRUE,AND(Q864:U864))</f>
        <v>0</v>
      </c>
      <c r="N864">
        <f>COUNTBLANK(Metadata!B864:F864)=COLUMNS(Metadata!B864:F864)</f>
        <v>0</v>
      </c>
      <c r="O864">
        <v>0</v>
      </c>
      <c r="Q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>
        <f>AND(IF(Metadata!C864="",FALSE,TRUE),exact(Metadata!C864,"human-skin"))</f>
        <v>0</v>
      </c>
      <c r="S864">
        <f>OR(AND(IF(Metadata!D864="",FALSE,TRUE),OR(exact(Metadata!D864,"missing: not collected"),exact(Metadata!D864,"missing: not provided"))),AND(IF(Metadata!D864="",FALSE,TRUE),OR(exact(Metadata!D864,"UBERON:zone of skin"),exact(Metadata!D864,"UBERON:skin of hand"),exact(Metadata!D864,"UBERON:skin of forehead"))))</f>
        <v>0</v>
      </c>
      <c r="T864">
        <f>AND(IF(Metadata!E864="",FALSE,TRUE),exact(Metadata!E864,"human skin metagenome"))</f>
        <v>0</v>
      </c>
      <c r="U864">
        <f>AND(IF(Metadata!F864="",FALSE,TRUE),exact(Metadata!F864,"539655"))</f>
        <v>0</v>
      </c>
    </row>
    <row r="865" spans="1:21">
      <c r="A865" s="4">
        <f>IF(B865=" "," ",HYPERLINK(CONCATENATE("#metadata!",ADDRESS(INDEX($L$2:$L$1001,MATCH(ROWS($J$2:J865),$J$2:$J$1001,0),0),1)),INDEX($O$2:$O$1001,MATCH(ROWS($J$2:J865),$J$2:$J$1001,0),0)))</f>
        <v>0</v>
      </c>
      <c r="B865" s="3">
        <f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>0</v>
      </c>
      <c r="C865" s="3">
        <f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>0</v>
      </c>
      <c r="D865" s="3">
        <f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>0</v>
      </c>
      <c r="E865" s="3">
        <f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>0</v>
      </c>
      <c r="F865" s="3">
        <f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>0</v>
      </c>
      <c r="J865">
        <v>0</v>
      </c>
      <c r="K865">
        <v>0</v>
      </c>
      <c r="L865">
        <v>0</v>
      </c>
      <c r="M865">
        <f>IF(N865,TRUE,AND(Q865:U865))</f>
        <v>0</v>
      </c>
      <c r="N865">
        <f>COUNTBLANK(Metadata!B865:F865)=COLUMNS(Metadata!B865:F865)</f>
        <v>0</v>
      </c>
      <c r="O865">
        <v>0</v>
      </c>
      <c r="Q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>
        <f>AND(IF(Metadata!C865="",FALSE,TRUE),exact(Metadata!C865,"human-skin"))</f>
        <v>0</v>
      </c>
      <c r="S865">
        <f>OR(AND(IF(Metadata!D865="",FALSE,TRUE),OR(exact(Metadata!D865,"missing: not collected"),exact(Metadata!D865,"missing: not provided"))),AND(IF(Metadata!D865="",FALSE,TRUE),OR(exact(Metadata!D865,"UBERON:zone of skin"),exact(Metadata!D865,"UBERON:skin of hand"),exact(Metadata!D865,"UBERON:skin of forehead"))))</f>
        <v>0</v>
      </c>
      <c r="T865">
        <f>AND(IF(Metadata!E865="",FALSE,TRUE),exact(Metadata!E865,"human skin metagenome"))</f>
        <v>0</v>
      </c>
      <c r="U865">
        <f>AND(IF(Metadata!F865="",FALSE,TRUE),exact(Metadata!F865,"539655"))</f>
        <v>0</v>
      </c>
    </row>
    <row r="866" spans="1:21">
      <c r="A866" s="4">
        <f>IF(B866=" "," ",HYPERLINK(CONCATENATE("#metadata!",ADDRESS(INDEX($L$2:$L$1001,MATCH(ROWS($J$2:J866),$J$2:$J$1001,0),0),1)),INDEX($O$2:$O$1001,MATCH(ROWS($J$2:J866),$J$2:$J$1001,0),0)))</f>
        <v>0</v>
      </c>
      <c r="B866" s="3">
        <f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>0</v>
      </c>
      <c r="C866" s="3">
        <f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>0</v>
      </c>
      <c r="D866" s="3">
        <f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>0</v>
      </c>
      <c r="E866" s="3">
        <f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>0</v>
      </c>
      <c r="F866" s="3">
        <f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>0</v>
      </c>
      <c r="J866">
        <v>0</v>
      </c>
      <c r="K866">
        <v>0</v>
      </c>
      <c r="L866">
        <v>0</v>
      </c>
      <c r="M866">
        <f>IF(N866,TRUE,AND(Q866:U866))</f>
        <v>0</v>
      </c>
      <c r="N866">
        <f>COUNTBLANK(Metadata!B866:F866)=COLUMNS(Metadata!B866:F866)</f>
        <v>0</v>
      </c>
      <c r="O866">
        <v>0</v>
      </c>
      <c r="Q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>
        <f>AND(IF(Metadata!C866="",FALSE,TRUE),exact(Metadata!C866,"human-skin"))</f>
        <v>0</v>
      </c>
      <c r="S866">
        <f>OR(AND(IF(Metadata!D866="",FALSE,TRUE),OR(exact(Metadata!D866,"missing: not collected"),exact(Metadata!D866,"missing: not provided"))),AND(IF(Metadata!D866="",FALSE,TRUE),OR(exact(Metadata!D866,"UBERON:zone of skin"),exact(Metadata!D866,"UBERON:skin of hand"),exact(Metadata!D866,"UBERON:skin of forehead"))))</f>
        <v>0</v>
      </c>
      <c r="T866">
        <f>AND(IF(Metadata!E866="",FALSE,TRUE),exact(Metadata!E866,"human skin metagenome"))</f>
        <v>0</v>
      </c>
      <c r="U866">
        <f>AND(IF(Metadata!F866="",FALSE,TRUE),exact(Metadata!F866,"539655"))</f>
        <v>0</v>
      </c>
    </row>
    <row r="867" spans="1:21">
      <c r="A867" s="4">
        <f>IF(B867=" "," ",HYPERLINK(CONCATENATE("#metadata!",ADDRESS(INDEX($L$2:$L$1001,MATCH(ROWS($J$2:J867),$J$2:$J$1001,0),0),1)),INDEX($O$2:$O$1001,MATCH(ROWS($J$2:J867),$J$2:$J$1001,0),0)))</f>
        <v>0</v>
      </c>
      <c r="B867" s="3">
        <f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>0</v>
      </c>
      <c r="C867" s="3">
        <f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>0</v>
      </c>
      <c r="D867" s="3">
        <f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>0</v>
      </c>
      <c r="E867" s="3">
        <f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>0</v>
      </c>
      <c r="F867" s="3">
        <f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>0</v>
      </c>
      <c r="J867">
        <v>0</v>
      </c>
      <c r="K867">
        <v>0</v>
      </c>
      <c r="L867">
        <v>0</v>
      </c>
      <c r="M867">
        <f>IF(N867,TRUE,AND(Q867:U867))</f>
        <v>0</v>
      </c>
      <c r="N867">
        <f>COUNTBLANK(Metadata!B867:F867)=COLUMNS(Metadata!B867:F867)</f>
        <v>0</v>
      </c>
      <c r="O867">
        <v>0</v>
      </c>
      <c r="Q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>
        <f>AND(IF(Metadata!C867="",FALSE,TRUE),exact(Metadata!C867,"human-skin"))</f>
        <v>0</v>
      </c>
      <c r="S867">
        <f>OR(AND(IF(Metadata!D867="",FALSE,TRUE),OR(exact(Metadata!D867,"missing: not collected"),exact(Metadata!D867,"missing: not provided"))),AND(IF(Metadata!D867="",FALSE,TRUE),OR(exact(Metadata!D867,"UBERON:zone of skin"),exact(Metadata!D867,"UBERON:skin of hand"),exact(Metadata!D867,"UBERON:skin of forehead"))))</f>
        <v>0</v>
      </c>
      <c r="T867">
        <f>AND(IF(Metadata!E867="",FALSE,TRUE),exact(Metadata!E867,"human skin metagenome"))</f>
        <v>0</v>
      </c>
      <c r="U867">
        <f>AND(IF(Metadata!F867="",FALSE,TRUE),exact(Metadata!F867,"539655"))</f>
        <v>0</v>
      </c>
    </row>
    <row r="868" spans="1:21">
      <c r="A868" s="4">
        <f>IF(B868=" "," ",HYPERLINK(CONCATENATE("#metadata!",ADDRESS(INDEX($L$2:$L$1001,MATCH(ROWS($J$2:J868),$J$2:$J$1001,0),0),1)),INDEX($O$2:$O$1001,MATCH(ROWS($J$2:J868),$J$2:$J$1001,0),0)))</f>
        <v>0</v>
      </c>
      <c r="B868" s="3">
        <f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>0</v>
      </c>
      <c r="C868" s="3">
        <f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>0</v>
      </c>
      <c r="D868" s="3">
        <f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>0</v>
      </c>
      <c r="E868" s="3">
        <f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>0</v>
      </c>
      <c r="F868" s="3">
        <f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>0</v>
      </c>
      <c r="J868">
        <v>0</v>
      </c>
      <c r="K868">
        <v>0</v>
      </c>
      <c r="L868">
        <v>0</v>
      </c>
      <c r="M868">
        <f>IF(N868,TRUE,AND(Q868:U868))</f>
        <v>0</v>
      </c>
      <c r="N868">
        <f>COUNTBLANK(Metadata!B868:F868)=COLUMNS(Metadata!B868:F868)</f>
        <v>0</v>
      </c>
      <c r="O868">
        <v>0</v>
      </c>
      <c r="Q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>
        <f>AND(IF(Metadata!C868="",FALSE,TRUE),exact(Metadata!C868,"human-skin"))</f>
        <v>0</v>
      </c>
      <c r="S868">
        <f>OR(AND(IF(Metadata!D868="",FALSE,TRUE),OR(exact(Metadata!D868,"missing: not collected"),exact(Metadata!D868,"missing: not provided"))),AND(IF(Metadata!D868="",FALSE,TRUE),OR(exact(Metadata!D868,"UBERON:zone of skin"),exact(Metadata!D868,"UBERON:skin of hand"),exact(Metadata!D868,"UBERON:skin of forehead"))))</f>
        <v>0</v>
      </c>
      <c r="T868">
        <f>AND(IF(Metadata!E868="",FALSE,TRUE),exact(Metadata!E868,"human skin metagenome"))</f>
        <v>0</v>
      </c>
      <c r="U868">
        <f>AND(IF(Metadata!F868="",FALSE,TRUE),exact(Metadata!F868,"539655"))</f>
        <v>0</v>
      </c>
    </row>
    <row r="869" spans="1:21">
      <c r="A869" s="4">
        <f>IF(B869=" "," ",HYPERLINK(CONCATENATE("#metadata!",ADDRESS(INDEX($L$2:$L$1001,MATCH(ROWS($J$2:J869),$J$2:$J$1001,0),0),1)),INDEX($O$2:$O$1001,MATCH(ROWS($J$2:J869),$J$2:$J$1001,0),0)))</f>
        <v>0</v>
      </c>
      <c r="B869" s="3">
        <f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>0</v>
      </c>
      <c r="C869" s="3">
        <f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>0</v>
      </c>
      <c r="D869" s="3">
        <f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>0</v>
      </c>
      <c r="E869" s="3">
        <f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>0</v>
      </c>
      <c r="F869" s="3">
        <f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>0</v>
      </c>
      <c r="J869">
        <v>0</v>
      </c>
      <c r="K869">
        <v>0</v>
      </c>
      <c r="L869">
        <v>0</v>
      </c>
      <c r="M869">
        <f>IF(N869,TRUE,AND(Q869:U869))</f>
        <v>0</v>
      </c>
      <c r="N869">
        <f>COUNTBLANK(Metadata!B869:F869)=COLUMNS(Metadata!B869:F869)</f>
        <v>0</v>
      </c>
      <c r="O869">
        <v>0</v>
      </c>
      <c r="Q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>
        <f>AND(IF(Metadata!C869="",FALSE,TRUE),exact(Metadata!C869,"human-skin"))</f>
        <v>0</v>
      </c>
      <c r="S869">
        <f>OR(AND(IF(Metadata!D869="",FALSE,TRUE),OR(exact(Metadata!D869,"missing: not collected"),exact(Metadata!D869,"missing: not provided"))),AND(IF(Metadata!D869="",FALSE,TRUE),OR(exact(Metadata!D869,"UBERON:zone of skin"),exact(Metadata!D869,"UBERON:skin of hand"),exact(Metadata!D869,"UBERON:skin of forehead"))))</f>
        <v>0</v>
      </c>
      <c r="T869">
        <f>AND(IF(Metadata!E869="",FALSE,TRUE),exact(Metadata!E869,"human skin metagenome"))</f>
        <v>0</v>
      </c>
      <c r="U869">
        <f>AND(IF(Metadata!F869="",FALSE,TRUE),exact(Metadata!F869,"539655"))</f>
        <v>0</v>
      </c>
    </row>
    <row r="870" spans="1:21">
      <c r="A870" s="4">
        <f>IF(B870=" "," ",HYPERLINK(CONCATENATE("#metadata!",ADDRESS(INDEX($L$2:$L$1001,MATCH(ROWS($J$2:J870),$J$2:$J$1001,0),0),1)),INDEX($O$2:$O$1001,MATCH(ROWS($J$2:J870),$J$2:$J$1001,0),0)))</f>
        <v>0</v>
      </c>
      <c r="B870" s="3">
        <f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>0</v>
      </c>
      <c r="C870" s="3">
        <f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>0</v>
      </c>
      <c r="D870" s="3">
        <f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>0</v>
      </c>
      <c r="E870" s="3">
        <f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>0</v>
      </c>
      <c r="F870" s="3">
        <f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>0</v>
      </c>
      <c r="J870">
        <v>0</v>
      </c>
      <c r="K870">
        <v>0</v>
      </c>
      <c r="L870">
        <v>0</v>
      </c>
      <c r="M870">
        <f>IF(N870,TRUE,AND(Q870:U870))</f>
        <v>0</v>
      </c>
      <c r="N870">
        <f>COUNTBLANK(Metadata!B870:F870)=COLUMNS(Metadata!B870:F870)</f>
        <v>0</v>
      </c>
      <c r="O870">
        <v>0</v>
      </c>
      <c r="Q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>
        <f>AND(IF(Metadata!C870="",FALSE,TRUE),exact(Metadata!C870,"human-skin"))</f>
        <v>0</v>
      </c>
      <c r="S870">
        <f>OR(AND(IF(Metadata!D870="",FALSE,TRUE),OR(exact(Metadata!D870,"missing: not collected"),exact(Metadata!D870,"missing: not provided"))),AND(IF(Metadata!D870="",FALSE,TRUE),OR(exact(Metadata!D870,"UBERON:zone of skin"),exact(Metadata!D870,"UBERON:skin of hand"),exact(Metadata!D870,"UBERON:skin of forehead"))))</f>
        <v>0</v>
      </c>
      <c r="T870">
        <f>AND(IF(Metadata!E870="",FALSE,TRUE),exact(Metadata!E870,"human skin metagenome"))</f>
        <v>0</v>
      </c>
      <c r="U870">
        <f>AND(IF(Metadata!F870="",FALSE,TRUE),exact(Metadata!F870,"539655"))</f>
        <v>0</v>
      </c>
    </row>
    <row r="871" spans="1:21">
      <c r="A871" s="4">
        <f>IF(B871=" "," ",HYPERLINK(CONCATENATE("#metadata!",ADDRESS(INDEX($L$2:$L$1001,MATCH(ROWS($J$2:J871),$J$2:$J$1001,0),0),1)),INDEX($O$2:$O$1001,MATCH(ROWS($J$2:J871),$J$2:$J$1001,0),0)))</f>
        <v>0</v>
      </c>
      <c r="B871" s="3">
        <f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>0</v>
      </c>
      <c r="C871" s="3">
        <f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>0</v>
      </c>
      <c r="D871" s="3">
        <f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>0</v>
      </c>
      <c r="E871" s="3">
        <f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>0</v>
      </c>
      <c r="F871" s="3">
        <f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>0</v>
      </c>
      <c r="J871">
        <v>0</v>
      </c>
      <c r="K871">
        <v>0</v>
      </c>
      <c r="L871">
        <v>0</v>
      </c>
      <c r="M871">
        <f>IF(N871,TRUE,AND(Q871:U871))</f>
        <v>0</v>
      </c>
      <c r="N871">
        <f>COUNTBLANK(Metadata!B871:F871)=COLUMNS(Metadata!B871:F871)</f>
        <v>0</v>
      </c>
      <c r="O871">
        <v>0</v>
      </c>
      <c r="Q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>
        <f>AND(IF(Metadata!C871="",FALSE,TRUE),exact(Metadata!C871,"human-skin"))</f>
        <v>0</v>
      </c>
      <c r="S871">
        <f>OR(AND(IF(Metadata!D871="",FALSE,TRUE),OR(exact(Metadata!D871,"missing: not collected"),exact(Metadata!D871,"missing: not provided"))),AND(IF(Metadata!D871="",FALSE,TRUE),OR(exact(Metadata!D871,"UBERON:zone of skin"),exact(Metadata!D871,"UBERON:skin of hand"),exact(Metadata!D871,"UBERON:skin of forehead"))))</f>
        <v>0</v>
      </c>
      <c r="T871">
        <f>AND(IF(Metadata!E871="",FALSE,TRUE),exact(Metadata!E871,"human skin metagenome"))</f>
        <v>0</v>
      </c>
      <c r="U871">
        <f>AND(IF(Metadata!F871="",FALSE,TRUE),exact(Metadata!F871,"539655"))</f>
        <v>0</v>
      </c>
    </row>
    <row r="872" spans="1:21">
      <c r="A872" s="4">
        <f>IF(B872=" "," ",HYPERLINK(CONCATENATE("#metadata!",ADDRESS(INDEX($L$2:$L$1001,MATCH(ROWS($J$2:J872),$J$2:$J$1001,0),0),1)),INDEX($O$2:$O$1001,MATCH(ROWS($J$2:J872),$J$2:$J$1001,0),0)))</f>
        <v>0</v>
      </c>
      <c r="B872" s="3">
        <f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>0</v>
      </c>
      <c r="C872" s="3">
        <f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>0</v>
      </c>
      <c r="D872" s="3">
        <f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>0</v>
      </c>
      <c r="E872" s="3">
        <f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>0</v>
      </c>
      <c r="F872" s="3">
        <f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>0</v>
      </c>
      <c r="J872">
        <v>0</v>
      </c>
      <c r="K872">
        <v>0</v>
      </c>
      <c r="L872">
        <v>0</v>
      </c>
      <c r="M872">
        <f>IF(N872,TRUE,AND(Q872:U872))</f>
        <v>0</v>
      </c>
      <c r="N872">
        <f>COUNTBLANK(Metadata!B872:F872)=COLUMNS(Metadata!B872:F872)</f>
        <v>0</v>
      </c>
      <c r="O872">
        <v>0</v>
      </c>
      <c r="Q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>
        <f>AND(IF(Metadata!C872="",FALSE,TRUE),exact(Metadata!C872,"human-skin"))</f>
        <v>0</v>
      </c>
      <c r="S872">
        <f>OR(AND(IF(Metadata!D872="",FALSE,TRUE),OR(exact(Metadata!D872,"missing: not collected"),exact(Metadata!D872,"missing: not provided"))),AND(IF(Metadata!D872="",FALSE,TRUE),OR(exact(Metadata!D872,"UBERON:zone of skin"),exact(Metadata!D872,"UBERON:skin of hand"),exact(Metadata!D872,"UBERON:skin of forehead"))))</f>
        <v>0</v>
      </c>
      <c r="T872">
        <f>AND(IF(Metadata!E872="",FALSE,TRUE),exact(Metadata!E872,"human skin metagenome"))</f>
        <v>0</v>
      </c>
      <c r="U872">
        <f>AND(IF(Metadata!F872="",FALSE,TRUE),exact(Metadata!F872,"539655"))</f>
        <v>0</v>
      </c>
    </row>
    <row r="873" spans="1:21">
      <c r="A873" s="4">
        <f>IF(B873=" "," ",HYPERLINK(CONCATENATE("#metadata!",ADDRESS(INDEX($L$2:$L$1001,MATCH(ROWS($J$2:J873),$J$2:$J$1001,0),0),1)),INDEX($O$2:$O$1001,MATCH(ROWS($J$2:J873),$J$2:$J$1001,0),0)))</f>
        <v>0</v>
      </c>
      <c r="B873" s="3">
        <f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>0</v>
      </c>
      <c r="C873" s="3">
        <f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>0</v>
      </c>
      <c r="D873" s="3">
        <f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>0</v>
      </c>
      <c r="E873" s="3">
        <f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>0</v>
      </c>
      <c r="F873" s="3">
        <f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>0</v>
      </c>
      <c r="J873">
        <v>0</v>
      </c>
      <c r="K873">
        <v>0</v>
      </c>
      <c r="L873">
        <v>0</v>
      </c>
      <c r="M873">
        <f>IF(N873,TRUE,AND(Q873:U873))</f>
        <v>0</v>
      </c>
      <c r="N873">
        <f>COUNTBLANK(Metadata!B873:F873)=COLUMNS(Metadata!B873:F873)</f>
        <v>0</v>
      </c>
      <c r="O873">
        <v>0</v>
      </c>
      <c r="Q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>
        <f>AND(IF(Metadata!C873="",FALSE,TRUE),exact(Metadata!C873,"human-skin"))</f>
        <v>0</v>
      </c>
      <c r="S873">
        <f>OR(AND(IF(Metadata!D873="",FALSE,TRUE),OR(exact(Metadata!D873,"missing: not collected"),exact(Metadata!D873,"missing: not provided"))),AND(IF(Metadata!D873="",FALSE,TRUE),OR(exact(Metadata!D873,"UBERON:zone of skin"),exact(Metadata!D873,"UBERON:skin of hand"),exact(Metadata!D873,"UBERON:skin of forehead"))))</f>
        <v>0</v>
      </c>
      <c r="T873">
        <f>AND(IF(Metadata!E873="",FALSE,TRUE),exact(Metadata!E873,"human skin metagenome"))</f>
        <v>0</v>
      </c>
      <c r="U873">
        <f>AND(IF(Metadata!F873="",FALSE,TRUE),exact(Metadata!F873,"539655"))</f>
        <v>0</v>
      </c>
    </row>
    <row r="874" spans="1:21">
      <c r="A874" s="4">
        <f>IF(B874=" "," ",HYPERLINK(CONCATENATE("#metadata!",ADDRESS(INDEX($L$2:$L$1001,MATCH(ROWS($J$2:J874),$J$2:$J$1001,0),0),1)),INDEX($O$2:$O$1001,MATCH(ROWS($J$2:J874),$J$2:$J$1001,0),0)))</f>
        <v>0</v>
      </c>
      <c r="B874" s="3">
        <f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>0</v>
      </c>
      <c r="C874" s="3">
        <f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>0</v>
      </c>
      <c r="D874" s="3">
        <f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>0</v>
      </c>
      <c r="E874" s="3">
        <f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>0</v>
      </c>
      <c r="F874" s="3">
        <f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>0</v>
      </c>
      <c r="J874">
        <v>0</v>
      </c>
      <c r="K874">
        <v>0</v>
      </c>
      <c r="L874">
        <v>0</v>
      </c>
      <c r="M874">
        <f>IF(N874,TRUE,AND(Q874:U874))</f>
        <v>0</v>
      </c>
      <c r="N874">
        <f>COUNTBLANK(Metadata!B874:F874)=COLUMNS(Metadata!B874:F874)</f>
        <v>0</v>
      </c>
      <c r="O874">
        <v>0</v>
      </c>
      <c r="Q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>
        <f>AND(IF(Metadata!C874="",FALSE,TRUE),exact(Metadata!C874,"human-skin"))</f>
        <v>0</v>
      </c>
      <c r="S874">
        <f>OR(AND(IF(Metadata!D874="",FALSE,TRUE),OR(exact(Metadata!D874,"missing: not collected"),exact(Metadata!D874,"missing: not provided"))),AND(IF(Metadata!D874="",FALSE,TRUE),OR(exact(Metadata!D874,"UBERON:zone of skin"),exact(Metadata!D874,"UBERON:skin of hand"),exact(Metadata!D874,"UBERON:skin of forehead"))))</f>
        <v>0</v>
      </c>
      <c r="T874">
        <f>AND(IF(Metadata!E874="",FALSE,TRUE),exact(Metadata!E874,"human skin metagenome"))</f>
        <v>0</v>
      </c>
      <c r="U874">
        <f>AND(IF(Metadata!F874="",FALSE,TRUE),exact(Metadata!F874,"539655"))</f>
        <v>0</v>
      </c>
    </row>
    <row r="875" spans="1:21">
      <c r="A875" s="4">
        <f>IF(B875=" "," ",HYPERLINK(CONCATENATE("#metadata!",ADDRESS(INDEX($L$2:$L$1001,MATCH(ROWS($J$2:J875),$J$2:$J$1001,0),0),1)),INDEX($O$2:$O$1001,MATCH(ROWS($J$2:J875),$J$2:$J$1001,0),0)))</f>
        <v>0</v>
      </c>
      <c r="B875" s="3">
        <f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>0</v>
      </c>
      <c r="C875" s="3">
        <f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>0</v>
      </c>
      <c r="D875" s="3">
        <f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>0</v>
      </c>
      <c r="E875" s="3">
        <f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>0</v>
      </c>
      <c r="F875" s="3">
        <f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>0</v>
      </c>
      <c r="J875">
        <v>0</v>
      </c>
      <c r="K875">
        <v>0</v>
      </c>
      <c r="L875">
        <v>0</v>
      </c>
      <c r="M875">
        <f>IF(N875,TRUE,AND(Q875:U875))</f>
        <v>0</v>
      </c>
      <c r="N875">
        <f>COUNTBLANK(Metadata!B875:F875)=COLUMNS(Metadata!B875:F875)</f>
        <v>0</v>
      </c>
      <c r="O875">
        <v>0</v>
      </c>
      <c r="Q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>
        <f>AND(IF(Metadata!C875="",FALSE,TRUE),exact(Metadata!C875,"human-skin"))</f>
        <v>0</v>
      </c>
      <c r="S875">
        <f>OR(AND(IF(Metadata!D875="",FALSE,TRUE),OR(exact(Metadata!D875,"missing: not collected"),exact(Metadata!D875,"missing: not provided"))),AND(IF(Metadata!D875="",FALSE,TRUE),OR(exact(Metadata!D875,"UBERON:zone of skin"),exact(Metadata!D875,"UBERON:skin of hand"),exact(Metadata!D875,"UBERON:skin of forehead"))))</f>
        <v>0</v>
      </c>
      <c r="T875">
        <f>AND(IF(Metadata!E875="",FALSE,TRUE),exact(Metadata!E875,"human skin metagenome"))</f>
        <v>0</v>
      </c>
      <c r="U875">
        <f>AND(IF(Metadata!F875="",FALSE,TRUE),exact(Metadata!F875,"539655"))</f>
        <v>0</v>
      </c>
    </row>
    <row r="876" spans="1:21">
      <c r="A876" s="4">
        <f>IF(B876=" "," ",HYPERLINK(CONCATENATE("#metadata!",ADDRESS(INDEX($L$2:$L$1001,MATCH(ROWS($J$2:J876),$J$2:$J$1001,0),0),1)),INDEX($O$2:$O$1001,MATCH(ROWS($J$2:J876),$J$2:$J$1001,0),0)))</f>
        <v>0</v>
      </c>
      <c r="B876" s="3">
        <f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>0</v>
      </c>
      <c r="C876" s="3">
        <f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>0</v>
      </c>
      <c r="D876" s="3">
        <f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>0</v>
      </c>
      <c r="E876" s="3">
        <f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>0</v>
      </c>
      <c r="F876" s="3">
        <f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>0</v>
      </c>
      <c r="J876">
        <v>0</v>
      </c>
      <c r="K876">
        <v>0</v>
      </c>
      <c r="L876">
        <v>0</v>
      </c>
      <c r="M876">
        <f>IF(N876,TRUE,AND(Q876:U876))</f>
        <v>0</v>
      </c>
      <c r="N876">
        <f>COUNTBLANK(Metadata!B876:F876)=COLUMNS(Metadata!B876:F876)</f>
        <v>0</v>
      </c>
      <c r="O876">
        <v>0</v>
      </c>
      <c r="Q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>
        <f>AND(IF(Metadata!C876="",FALSE,TRUE),exact(Metadata!C876,"human-skin"))</f>
        <v>0</v>
      </c>
      <c r="S876">
        <f>OR(AND(IF(Metadata!D876="",FALSE,TRUE),OR(exact(Metadata!D876,"missing: not collected"),exact(Metadata!D876,"missing: not provided"))),AND(IF(Metadata!D876="",FALSE,TRUE),OR(exact(Metadata!D876,"UBERON:zone of skin"),exact(Metadata!D876,"UBERON:skin of hand"),exact(Metadata!D876,"UBERON:skin of forehead"))))</f>
        <v>0</v>
      </c>
      <c r="T876">
        <f>AND(IF(Metadata!E876="",FALSE,TRUE),exact(Metadata!E876,"human skin metagenome"))</f>
        <v>0</v>
      </c>
      <c r="U876">
        <f>AND(IF(Metadata!F876="",FALSE,TRUE),exact(Metadata!F876,"539655"))</f>
        <v>0</v>
      </c>
    </row>
    <row r="877" spans="1:21">
      <c r="A877" s="4">
        <f>IF(B877=" "," ",HYPERLINK(CONCATENATE("#metadata!",ADDRESS(INDEX($L$2:$L$1001,MATCH(ROWS($J$2:J877),$J$2:$J$1001,0),0),1)),INDEX($O$2:$O$1001,MATCH(ROWS($J$2:J877),$J$2:$J$1001,0),0)))</f>
        <v>0</v>
      </c>
      <c r="B877" s="3">
        <f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>0</v>
      </c>
      <c r="C877" s="3">
        <f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>0</v>
      </c>
      <c r="D877" s="3">
        <f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>0</v>
      </c>
      <c r="E877" s="3">
        <f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>0</v>
      </c>
      <c r="F877" s="3">
        <f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>0</v>
      </c>
      <c r="J877">
        <v>0</v>
      </c>
      <c r="K877">
        <v>0</v>
      </c>
      <c r="L877">
        <v>0</v>
      </c>
      <c r="M877">
        <f>IF(N877,TRUE,AND(Q877:U877))</f>
        <v>0</v>
      </c>
      <c r="N877">
        <f>COUNTBLANK(Metadata!B877:F877)=COLUMNS(Metadata!B877:F877)</f>
        <v>0</v>
      </c>
      <c r="O877">
        <v>0</v>
      </c>
      <c r="Q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>
        <f>AND(IF(Metadata!C877="",FALSE,TRUE),exact(Metadata!C877,"human-skin"))</f>
        <v>0</v>
      </c>
      <c r="S877">
        <f>OR(AND(IF(Metadata!D877="",FALSE,TRUE),OR(exact(Metadata!D877,"missing: not collected"),exact(Metadata!D877,"missing: not provided"))),AND(IF(Metadata!D877="",FALSE,TRUE),OR(exact(Metadata!D877,"UBERON:zone of skin"),exact(Metadata!D877,"UBERON:skin of hand"),exact(Metadata!D877,"UBERON:skin of forehead"))))</f>
        <v>0</v>
      </c>
      <c r="T877">
        <f>AND(IF(Metadata!E877="",FALSE,TRUE),exact(Metadata!E877,"human skin metagenome"))</f>
        <v>0</v>
      </c>
      <c r="U877">
        <f>AND(IF(Metadata!F877="",FALSE,TRUE),exact(Metadata!F877,"539655"))</f>
        <v>0</v>
      </c>
    </row>
    <row r="878" spans="1:21">
      <c r="A878" s="4">
        <f>IF(B878=" "," ",HYPERLINK(CONCATENATE("#metadata!",ADDRESS(INDEX($L$2:$L$1001,MATCH(ROWS($J$2:J878),$J$2:$J$1001,0),0),1)),INDEX($O$2:$O$1001,MATCH(ROWS($J$2:J878),$J$2:$J$1001,0),0)))</f>
        <v>0</v>
      </c>
      <c r="B878" s="3">
        <f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>0</v>
      </c>
      <c r="C878" s="3">
        <f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>0</v>
      </c>
      <c r="D878" s="3">
        <f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>0</v>
      </c>
      <c r="E878" s="3">
        <f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>0</v>
      </c>
      <c r="F878" s="3">
        <f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>0</v>
      </c>
      <c r="J878">
        <v>0</v>
      </c>
      <c r="K878">
        <v>0</v>
      </c>
      <c r="L878">
        <v>0</v>
      </c>
      <c r="M878">
        <f>IF(N878,TRUE,AND(Q878:U878))</f>
        <v>0</v>
      </c>
      <c r="N878">
        <f>COUNTBLANK(Metadata!B878:F878)=COLUMNS(Metadata!B878:F878)</f>
        <v>0</v>
      </c>
      <c r="O878">
        <v>0</v>
      </c>
      <c r="Q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>
        <f>AND(IF(Metadata!C878="",FALSE,TRUE),exact(Metadata!C878,"human-skin"))</f>
        <v>0</v>
      </c>
      <c r="S878">
        <f>OR(AND(IF(Metadata!D878="",FALSE,TRUE),OR(exact(Metadata!D878,"missing: not collected"),exact(Metadata!D878,"missing: not provided"))),AND(IF(Metadata!D878="",FALSE,TRUE),OR(exact(Metadata!D878,"UBERON:zone of skin"),exact(Metadata!D878,"UBERON:skin of hand"),exact(Metadata!D878,"UBERON:skin of forehead"))))</f>
        <v>0</v>
      </c>
      <c r="T878">
        <f>AND(IF(Metadata!E878="",FALSE,TRUE),exact(Metadata!E878,"human skin metagenome"))</f>
        <v>0</v>
      </c>
      <c r="U878">
        <f>AND(IF(Metadata!F878="",FALSE,TRUE),exact(Metadata!F878,"539655"))</f>
        <v>0</v>
      </c>
    </row>
    <row r="879" spans="1:21">
      <c r="A879" s="4">
        <f>IF(B879=" "," ",HYPERLINK(CONCATENATE("#metadata!",ADDRESS(INDEX($L$2:$L$1001,MATCH(ROWS($J$2:J879),$J$2:$J$1001,0),0),1)),INDEX($O$2:$O$1001,MATCH(ROWS($J$2:J879),$J$2:$J$1001,0),0)))</f>
        <v>0</v>
      </c>
      <c r="B879" s="3">
        <f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>0</v>
      </c>
      <c r="C879" s="3">
        <f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>0</v>
      </c>
      <c r="D879" s="3">
        <f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>0</v>
      </c>
      <c r="E879" s="3">
        <f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>0</v>
      </c>
      <c r="F879" s="3">
        <f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>0</v>
      </c>
      <c r="J879">
        <v>0</v>
      </c>
      <c r="K879">
        <v>0</v>
      </c>
      <c r="L879">
        <v>0</v>
      </c>
      <c r="M879">
        <f>IF(N879,TRUE,AND(Q879:U879))</f>
        <v>0</v>
      </c>
      <c r="N879">
        <f>COUNTBLANK(Metadata!B879:F879)=COLUMNS(Metadata!B879:F879)</f>
        <v>0</v>
      </c>
      <c r="O879">
        <v>0</v>
      </c>
      <c r="Q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>
        <f>AND(IF(Metadata!C879="",FALSE,TRUE),exact(Metadata!C879,"human-skin"))</f>
        <v>0</v>
      </c>
      <c r="S879">
        <f>OR(AND(IF(Metadata!D879="",FALSE,TRUE),OR(exact(Metadata!D879,"missing: not collected"),exact(Metadata!D879,"missing: not provided"))),AND(IF(Metadata!D879="",FALSE,TRUE),OR(exact(Metadata!D879,"UBERON:zone of skin"),exact(Metadata!D879,"UBERON:skin of hand"),exact(Metadata!D879,"UBERON:skin of forehead"))))</f>
        <v>0</v>
      </c>
      <c r="T879">
        <f>AND(IF(Metadata!E879="",FALSE,TRUE),exact(Metadata!E879,"human skin metagenome"))</f>
        <v>0</v>
      </c>
      <c r="U879">
        <f>AND(IF(Metadata!F879="",FALSE,TRUE),exact(Metadata!F879,"539655"))</f>
        <v>0</v>
      </c>
    </row>
    <row r="880" spans="1:21">
      <c r="A880" s="4">
        <f>IF(B880=" "," ",HYPERLINK(CONCATENATE("#metadata!",ADDRESS(INDEX($L$2:$L$1001,MATCH(ROWS($J$2:J880),$J$2:$J$1001,0),0),1)),INDEX($O$2:$O$1001,MATCH(ROWS($J$2:J880),$J$2:$J$1001,0),0)))</f>
        <v>0</v>
      </c>
      <c r="B880" s="3">
        <f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>0</v>
      </c>
      <c r="C880" s="3">
        <f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>0</v>
      </c>
      <c r="D880" s="3">
        <f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>0</v>
      </c>
      <c r="E880" s="3">
        <f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>0</v>
      </c>
      <c r="F880" s="3">
        <f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>0</v>
      </c>
      <c r="J880">
        <v>0</v>
      </c>
      <c r="K880">
        <v>0</v>
      </c>
      <c r="L880">
        <v>0</v>
      </c>
      <c r="M880">
        <f>IF(N880,TRUE,AND(Q880:U880))</f>
        <v>0</v>
      </c>
      <c r="N880">
        <f>COUNTBLANK(Metadata!B880:F880)=COLUMNS(Metadata!B880:F880)</f>
        <v>0</v>
      </c>
      <c r="O880">
        <v>0</v>
      </c>
      <c r="Q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>
        <f>AND(IF(Metadata!C880="",FALSE,TRUE),exact(Metadata!C880,"human-skin"))</f>
        <v>0</v>
      </c>
      <c r="S880">
        <f>OR(AND(IF(Metadata!D880="",FALSE,TRUE),OR(exact(Metadata!D880,"missing: not collected"),exact(Metadata!D880,"missing: not provided"))),AND(IF(Metadata!D880="",FALSE,TRUE),OR(exact(Metadata!D880,"UBERON:zone of skin"),exact(Metadata!D880,"UBERON:skin of hand"),exact(Metadata!D880,"UBERON:skin of forehead"))))</f>
        <v>0</v>
      </c>
      <c r="T880">
        <f>AND(IF(Metadata!E880="",FALSE,TRUE),exact(Metadata!E880,"human skin metagenome"))</f>
        <v>0</v>
      </c>
      <c r="U880">
        <f>AND(IF(Metadata!F880="",FALSE,TRUE),exact(Metadata!F880,"539655"))</f>
        <v>0</v>
      </c>
    </row>
    <row r="881" spans="1:21">
      <c r="A881" s="4">
        <f>IF(B881=" "," ",HYPERLINK(CONCATENATE("#metadata!",ADDRESS(INDEX($L$2:$L$1001,MATCH(ROWS($J$2:J881),$J$2:$J$1001,0),0),1)),INDEX($O$2:$O$1001,MATCH(ROWS($J$2:J881),$J$2:$J$1001,0),0)))</f>
        <v>0</v>
      </c>
      <c r="B881" s="3">
        <f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>0</v>
      </c>
      <c r="C881" s="3">
        <f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>0</v>
      </c>
      <c r="D881" s="3">
        <f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>0</v>
      </c>
      <c r="E881" s="3">
        <f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>0</v>
      </c>
      <c r="F881" s="3">
        <f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>0</v>
      </c>
      <c r="J881">
        <v>0</v>
      </c>
      <c r="K881">
        <v>0</v>
      </c>
      <c r="L881">
        <v>0</v>
      </c>
      <c r="M881">
        <f>IF(N881,TRUE,AND(Q881:U881))</f>
        <v>0</v>
      </c>
      <c r="N881">
        <f>COUNTBLANK(Metadata!B881:F881)=COLUMNS(Metadata!B881:F881)</f>
        <v>0</v>
      </c>
      <c r="O881">
        <v>0</v>
      </c>
      <c r="Q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>
        <f>AND(IF(Metadata!C881="",FALSE,TRUE),exact(Metadata!C881,"human-skin"))</f>
        <v>0</v>
      </c>
      <c r="S881">
        <f>OR(AND(IF(Metadata!D881="",FALSE,TRUE),OR(exact(Metadata!D881,"missing: not collected"),exact(Metadata!D881,"missing: not provided"))),AND(IF(Metadata!D881="",FALSE,TRUE),OR(exact(Metadata!D881,"UBERON:zone of skin"),exact(Metadata!D881,"UBERON:skin of hand"),exact(Metadata!D881,"UBERON:skin of forehead"))))</f>
        <v>0</v>
      </c>
      <c r="T881">
        <f>AND(IF(Metadata!E881="",FALSE,TRUE),exact(Metadata!E881,"human skin metagenome"))</f>
        <v>0</v>
      </c>
      <c r="U881">
        <f>AND(IF(Metadata!F881="",FALSE,TRUE),exact(Metadata!F881,"539655"))</f>
        <v>0</v>
      </c>
    </row>
    <row r="882" spans="1:21">
      <c r="A882" s="4">
        <f>IF(B882=" "," ",HYPERLINK(CONCATENATE("#metadata!",ADDRESS(INDEX($L$2:$L$1001,MATCH(ROWS($J$2:J882),$J$2:$J$1001,0),0),1)),INDEX($O$2:$O$1001,MATCH(ROWS($J$2:J882),$J$2:$J$1001,0),0)))</f>
        <v>0</v>
      </c>
      <c r="B882" s="3">
        <f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>0</v>
      </c>
      <c r="C882" s="3">
        <f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>0</v>
      </c>
      <c r="D882" s="3">
        <f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>0</v>
      </c>
      <c r="E882" s="3">
        <f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>0</v>
      </c>
      <c r="F882" s="3">
        <f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>0</v>
      </c>
      <c r="J882">
        <v>0</v>
      </c>
      <c r="K882">
        <v>0</v>
      </c>
      <c r="L882">
        <v>0</v>
      </c>
      <c r="M882">
        <f>IF(N882,TRUE,AND(Q882:U882))</f>
        <v>0</v>
      </c>
      <c r="N882">
        <f>COUNTBLANK(Metadata!B882:F882)=COLUMNS(Metadata!B882:F882)</f>
        <v>0</v>
      </c>
      <c r="O882">
        <v>0</v>
      </c>
      <c r="Q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>
        <f>AND(IF(Metadata!C882="",FALSE,TRUE),exact(Metadata!C882,"human-skin"))</f>
        <v>0</v>
      </c>
      <c r="S882">
        <f>OR(AND(IF(Metadata!D882="",FALSE,TRUE),OR(exact(Metadata!D882,"missing: not collected"),exact(Metadata!D882,"missing: not provided"))),AND(IF(Metadata!D882="",FALSE,TRUE),OR(exact(Metadata!D882,"UBERON:zone of skin"),exact(Metadata!D882,"UBERON:skin of hand"),exact(Metadata!D882,"UBERON:skin of forehead"))))</f>
        <v>0</v>
      </c>
      <c r="T882">
        <f>AND(IF(Metadata!E882="",FALSE,TRUE),exact(Metadata!E882,"human skin metagenome"))</f>
        <v>0</v>
      </c>
      <c r="U882">
        <f>AND(IF(Metadata!F882="",FALSE,TRUE),exact(Metadata!F882,"539655"))</f>
        <v>0</v>
      </c>
    </row>
    <row r="883" spans="1:21">
      <c r="A883" s="4">
        <f>IF(B883=" "," ",HYPERLINK(CONCATENATE("#metadata!",ADDRESS(INDEX($L$2:$L$1001,MATCH(ROWS($J$2:J883),$J$2:$J$1001,0),0),1)),INDEX($O$2:$O$1001,MATCH(ROWS($J$2:J883),$J$2:$J$1001,0),0)))</f>
        <v>0</v>
      </c>
      <c r="B883" s="3">
        <f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>0</v>
      </c>
      <c r="C883" s="3">
        <f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>0</v>
      </c>
      <c r="D883" s="3">
        <f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>0</v>
      </c>
      <c r="E883" s="3">
        <f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>0</v>
      </c>
      <c r="F883" s="3">
        <f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>0</v>
      </c>
      <c r="J883">
        <v>0</v>
      </c>
      <c r="K883">
        <v>0</v>
      </c>
      <c r="L883">
        <v>0</v>
      </c>
      <c r="M883">
        <f>IF(N883,TRUE,AND(Q883:U883))</f>
        <v>0</v>
      </c>
      <c r="N883">
        <f>COUNTBLANK(Metadata!B883:F883)=COLUMNS(Metadata!B883:F883)</f>
        <v>0</v>
      </c>
      <c r="O883">
        <v>0</v>
      </c>
      <c r="Q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>
        <f>AND(IF(Metadata!C883="",FALSE,TRUE),exact(Metadata!C883,"human-skin"))</f>
        <v>0</v>
      </c>
      <c r="S883">
        <f>OR(AND(IF(Metadata!D883="",FALSE,TRUE),OR(exact(Metadata!D883,"missing: not collected"),exact(Metadata!D883,"missing: not provided"))),AND(IF(Metadata!D883="",FALSE,TRUE),OR(exact(Metadata!D883,"UBERON:zone of skin"),exact(Metadata!D883,"UBERON:skin of hand"),exact(Metadata!D883,"UBERON:skin of forehead"))))</f>
        <v>0</v>
      </c>
      <c r="T883">
        <f>AND(IF(Metadata!E883="",FALSE,TRUE),exact(Metadata!E883,"human skin metagenome"))</f>
        <v>0</v>
      </c>
      <c r="U883">
        <f>AND(IF(Metadata!F883="",FALSE,TRUE),exact(Metadata!F883,"539655"))</f>
        <v>0</v>
      </c>
    </row>
    <row r="884" spans="1:21">
      <c r="A884" s="4">
        <f>IF(B884=" "," ",HYPERLINK(CONCATENATE("#metadata!",ADDRESS(INDEX($L$2:$L$1001,MATCH(ROWS($J$2:J884),$J$2:$J$1001,0),0),1)),INDEX($O$2:$O$1001,MATCH(ROWS($J$2:J884),$J$2:$J$1001,0),0)))</f>
        <v>0</v>
      </c>
      <c r="B884" s="3">
        <f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>0</v>
      </c>
      <c r="C884" s="3">
        <f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>0</v>
      </c>
      <c r="D884" s="3">
        <f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>0</v>
      </c>
      <c r="E884" s="3">
        <f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>0</v>
      </c>
      <c r="F884" s="3">
        <f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>0</v>
      </c>
      <c r="J884">
        <v>0</v>
      </c>
      <c r="K884">
        <v>0</v>
      </c>
      <c r="L884">
        <v>0</v>
      </c>
      <c r="M884">
        <f>IF(N884,TRUE,AND(Q884:U884))</f>
        <v>0</v>
      </c>
      <c r="N884">
        <f>COUNTBLANK(Metadata!B884:F884)=COLUMNS(Metadata!B884:F884)</f>
        <v>0</v>
      </c>
      <c r="O884">
        <v>0</v>
      </c>
      <c r="Q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>
        <f>AND(IF(Metadata!C884="",FALSE,TRUE),exact(Metadata!C884,"human-skin"))</f>
        <v>0</v>
      </c>
      <c r="S884">
        <f>OR(AND(IF(Metadata!D884="",FALSE,TRUE),OR(exact(Metadata!D884,"missing: not collected"),exact(Metadata!D884,"missing: not provided"))),AND(IF(Metadata!D884="",FALSE,TRUE),OR(exact(Metadata!D884,"UBERON:zone of skin"),exact(Metadata!D884,"UBERON:skin of hand"),exact(Metadata!D884,"UBERON:skin of forehead"))))</f>
        <v>0</v>
      </c>
      <c r="T884">
        <f>AND(IF(Metadata!E884="",FALSE,TRUE),exact(Metadata!E884,"human skin metagenome"))</f>
        <v>0</v>
      </c>
      <c r="U884">
        <f>AND(IF(Metadata!F884="",FALSE,TRUE),exact(Metadata!F884,"539655"))</f>
        <v>0</v>
      </c>
    </row>
    <row r="885" spans="1:21">
      <c r="A885" s="4">
        <f>IF(B885=" "," ",HYPERLINK(CONCATENATE("#metadata!",ADDRESS(INDEX($L$2:$L$1001,MATCH(ROWS($J$2:J885),$J$2:$J$1001,0),0),1)),INDEX($O$2:$O$1001,MATCH(ROWS($J$2:J885),$J$2:$J$1001,0),0)))</f>
        <v>0</v>
      </c>
      <c r="B885" s="3">
        <f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>0</v>
      </c>
      <c r="C885" s="3">
        <f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>0</v>
      </c>
      <c r="D885" s="3">
        <f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>0</v>
      </c>
      <c r="E885" s="3">
        <f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>0</v>
      </c>
      <c r="F885" s="3">
        <f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>0</v>
      </c>
      <c r="J885">
        <v>0</v>
      </c>
      <c r="K885">
        <v>0</v>
      </c>
      <c r="L885">
        <v>0</v>
      </c>
      <c r="M885">
        <f>IF(N885,TRUE,AND(Q885:U885))</f>
        <v>0</v>
      </c>
      <c r="N885">
        <f>COUNTBLANK(Metadata!B885:F885)=COLUMNS(Metadata!B885:F885)</f>
        <v>0</v>
      </c>
      <c r="O885">
        <v>0</v>
      </c>
      <c r="Q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>
        <f>AND(IF(Metadata!C885="",FALSE,TRUE),exact(Metadata!C885,"human-skin"))</f>
        <v>0</v>
      </c>
      <c r="S885">
        <f>OR(AND(IF(Metadata!D885="",FALSE,TRUE),OR(exact(Metadata!D885,"missing: not collected"),exact(Metadata!D885,"missing: not provided"))),AND(IF(Metadata!D885="",FALSE,TRUE),OR(exact(Metadata!D885,"UBERON:zone of skin"),exact(Metadata!D885,"UBERON:skin of hand"),exact(Metadata!D885,"UBERON:skin of forehead"))))</f>
        <v>0</v>
      </c>
      <c r="T885">
        <f>AND(IF(Metadata!E885="",FALSE,TRUE),exact(Metadata!E885,"human skin metagenome"))</f>
        <v>0</v>
      </c>
      <c r="U885">
        <f>AND(IF(Metadata!F885="",FALSE,TRUE),exact(Metadata!F885,"539655"))</f>
        <v>0</v>
      </c>
    </row>
    <row r="886" spans="1:21">
      <c r="A886" s="4">
        <f>IF(B886=" "," ",HYPERLINK(CONCATENATE("#metadata!",ADDRESS(INDEX($L$2:$L$1001,MATCH(ROWS($J$2:J886),$J$2:$J$1001,0),0),1)),INDEX($O$2:$O$1001,MATCH(ROWS($J$2:J886),$J$2:$J$1001,0),0)))</f>
        <v>0</v>
      </c>
      <c r="B886" s="3">
        <f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>0</v>
      </c>
      <c r="C886" s="3">
        <f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>0</v>
      </c>
      <c r="D886" s="3">
        <f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>0</v>
      </c>
      <c r="E886" s="3">
        <f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>0</v>
      </c>
      <c r="F886" s="3">
        <f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>0</v>
      </c>
      <c r="J886">
        <v>0</v>
      </c>
      <c r="K886">
        <v>0</v>
      </c>
      <c r="L886">
        <v>0</v>
      </c>
      <c r="M886">
        <f>IF(N886,TRUE,AND(Q886:U886))</f>
        <v>0</v>
      </c>
      <c r="N886">
        <f>COUNTBLANK(Metadata!B886:F886)=COLUMNS(Metadata!B886:F886)</f>
        <v>0</v>
      </c>
      <c r="O886">
        <v>0</v>
      </c>
      <c r="Q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>
        <f>AND(IF(Metadata!C886="",FALSE,TRUE),exact(Metadata!C886,"human-skin"))</f>
        <v>0</v>
      </c>
      <c r="S886">
        <f>OR(AND(IF(Metadata!D886="",FALSE,TRUE),OR(exact(Metadata!D886,"missing: not collected"),exact(Metadata!D886,"missing: not provided"))),AND(IF(Metadata!D886="",FALSE,TRUE),OR(exact(Metadata!D886,"UBERON:zone of skin"),exact(Metadata!D886,"UBERON:skin of hand"),exact(Metadata!D886,"UBERON:skin of forehead"))))</f>
        <v>0</v>
      </c>
      <c r="T886">
        <f>AND(IF(Metadata!E886="",FALSE,TRUE),exact(Metadata!E886,"human skin metagenome"))</f>
        <v>0</v>
      </c>
      <c r="U886">
        <f>AND(IF(Metadata!F886="",FALSE,TRUE),exact(Metadata!F886,"539655"))</f>
        <v>0</v>
      </c>
    </row>
    <row r="887" spans="1:21">
      <c r="A887" s="4">
        <f>IF(B887=" "," ",HYPERLINK(CONCATENATE("#metadata!",ADDRESS(INDEX($L$2:$L$1001,MATCH(ROWS($J$2:J887),$J$2:$J$1001,0),0),1)),INDEX($O$2:$O$1001,MATCH(ROWS($J$2:J887),$J$2:$J$1001,0),0)))</f>
        <v>0</v>
      </c>
      <c r="B887" s="3">
        <f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>0</v>
      </c>
      <c r="C887" s="3">
        <f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>0</v>
      </c>
      <c r="D887" s="3">
        <f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>0</v>
      </c>
      <c r="E887" s="3">
        <f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>0</v>
      </c>
      <c r="F887" s="3">
        <f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>0</v>
      </c>
      <c r="J887">
        <v>0</v>
      </c>
      <c r="K887">
        <v>0</v>
      </c>
      <c r="L887">
        <v>0</v>
      </c>
      <c r="M887">
        <f>IF(N887,TRUE,AND(Q887:U887))</f>
        <v>0</v>
      </c>
      <c r="N887">
        <f>COUNTBLANK(Metadata!B887:F887)=COLUMNS(Metadata!B887:F887)</f>
        <v>0</v>
      </c>
      <c r="O887">
        <v>0</v>
      </c>
      <c r="Q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>
        <f>AND(IF(Metadata!C887="",FALSE,TRUE),exact(Metadata!C887,"human-skin"))</f>
        <v>0</v>
      </c>
      <c r="S887">
        <f>OR(AND(IF(Metadata!D887="",FALSE,TRUE),OR(exact(Metadata!D887,"missing: not collected"),exact(Metadata!D887,"missing: not provided"))),AND(IF(Metadata!D887="",FALSE,TRUE),OR(exact(Metadata!D887,"UBERON:zone of skin"),exact(Metadata!D887,"UBERON:skin of hand"),exact(Metadata!D887,"UBERON:skin of forehead"))))</f>
        <v>0</v>
      </c>
      <c r="T887">
        <f>AND(IF(Metadata!E887="",FALSE,TRUE),exact(Metadata!E887,"human skin metagenome"))</f>
        <v>0</v>
      </c>
      <c r="U887">
        <f>AND(IF(Metadata!F887="",FALSE,TRUE),exact(Metadata!F887,"539655"))</f>
        <v>0</v>
      </c>
    </row>
    <row r="888" spans="1:21">
      <c r="A888" s="4">
        <f>IF(B888=" "," ",HYPERLINK(CONCATENATE("#metadata!",ADDRESS(INDEX($L$2:$L$1001,MATCH(ROWS($J$2:J888),$J$2:$J$1001,0),0),1)),INDEX($O$2:$O$1001,MATCH(ROWS($J$2:J888),$J$2:$J$1001,0),0)))</f>
        <v>0</v>
      </c>
      <c r="B888" s="3">
        <f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>0</v>
      </c>
      <c r="C888" s="3">
        <f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>0</v>
      </c>
      <c r="D888" s="3">
        <f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>0</v>
      </c>
      <c r="E888" s="3">
        <f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>0</v>
      </c>
      <c r="F888" s="3">
        <f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>0</v>
      </c>
      <c r="J888">
        <v>0</v>
      </c>
      <c r="K888">
        <v>0</v>
      </c>
      <c r="L888">
        <v>0</v>
      </c>
      <c r="M888">
        <f>IF(N888,TRUE,AND(Q888:U888))</f>
        <v>0</v>
      </c>
      <c r="N888">
        <f>COUNTBLANK(Metadata!B888:F888)=COLUMNS(Metadata!B888:F888)</f>
        <v>0</v>
      </c>
      <c r="O888">
        <v>0</v>
      </c>
      <c r="Q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>
        <f>AND(IF(Metadata!C888="",FALSE,TRUE),exact(Metadata!C888,"human-skin"))</f>
        <v>0</v>
      </c>
      <c r="S888">
        <f>OR(AND(IF(Metadata!D888="",FALSE,TRUE),OR(exact(Metadata!D888,"missing: not collected"),exact(Metadata!D888,"missing: not provided"))),AND(IF(Metadata!D888="",FALSE,TRUE),OR(exact(Metadata!D888,"UBERON:zone of skin"),exact(Metadata!D888,"UBERON:skin of hand"),exact(Metadata!D888,"UBERON:skin of forehead"))))</f>
        <v>0</v>
      </c>
      <c r="T888">
        <f>AND(IF(Metadata!E888="",FALSE,TRUE),exact(Metadata!E888,"human skin metagenome"))</f>
        <v>0</v>
      </c>
      <c r="U888">
        <f>AND(IF(Metadata!F888="",FALSE,TRUE),exact(Metadata!F888,"539655"))</f>
        <v>0</v>
      </c>
    </row>
    <row r="889" spans="1:21">
      <c r="A889" s="4">
        <f>IF(B889=" "," ",HYPERLINK(CONCATENATE("#metadata!",ADDRESS(INDEX($L$2:$L$1001,MATCH(ROWS($J$2:J889),$J$2:$J$1001,0),0),1)),INDEX($O$2:$O$1001,MATCH(ROWS($J$2:J889),$J$2:$J$1001,0),0)))</f>
        <v>0</v>
      </c>
      <c r="B889" s="3">
        <f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>0</v>
      </c>
      <c r="C889" s="3">
        <f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>0</v>
      </c>
      <c r="D889" s="3">
        <f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>0</v>
      </c>
      <c r="E889" s="3">
        <f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>0</v>
      </c>
      <c r="F889" s="3">
        <f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>0</v>
      </c>
      <c r="J889">
        <v>0</v>
      </c>
      <c r="K889">
        <v>0</v>
      </c>
      <c r="L889">
        <v>0</v>
      </c>
      <c r="M889">
        <f>IF(N889,TRUE,AND(Q889:U889))</f>
        <v>0</v>
      </c>
      <c r="N889">
        <f>COUNTBLANK(Metadata!B889:F889)=COLUMNS(Metadata!B889:F889)</f>
        <v>0</v>
      </c>
      <c r="O889">
        <v>0</v>
      </c>
      <c r="Q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>
        <f>AND(IF(Metadata!C889="",FALSE,TRUE),exact(Metadata!C889,"human-skin"))</f>
        <v>0</v>
      </c>
      <c r="S889">
        <f>OR(AND(IF(Metadata!D889="",FALSE,TRUE),OR(exact(Metadata!D889,"missing: not collected"),exact(Metadata!D889,"missing: not provided"))),AND(IF(Metadata!D889="",FALSE,TRUE),OR(exact(Metadata!D889,"UBERON:zone of skin"),exact(Metadata!D889,"UBERON:skin of hand"),exact(Metadata!D889,"UBERON:skin of forehead"))))</f>
        <v>0</v>
      </c>
      <c r="T889">
        <f>AND(IF(Metadata!E889="",FALSE,TRUE),exact(Metadata!E889,"human skin metagenome"))</f>
        <v>0</v>
      </c>
      <c r="U889">
        <f>AND(IF(Metadata!F889="",FALSE,TRUE),exact(Metadata!F889,"539655"))</f>
        <v>0</v>
      </c>
    </row>
    <row r="890" spans="1:21">
      <c r="A890" s="4">
        <f>IF(B890=" "," ",HYPERLINK(CONCATENATE("#metadata!",ADDRESS(INDEX($L$2:$L$1001,MATCH(ROWS($J$2:J890),$J$2:$J$1001,0),0),1)),INDEX($O$2:$O$1001,MATCH(ROWS($J$2:J890),$J$2:$J$1001,0),0)))</f>
        <v>0</v>
      </c>
      <c r="B890" s="3">
        <f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>0</v>
      </c>
      <c r="C890" s="3">
        <f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>0</v>
      </c>
      <c r="D890" s="3">
        <f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>0</v>
      </c>
      <c r="E890" s="3">
        <f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>0</v>
      </c>
      <c r="F890" s="3">
        <f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>0</v>
      </c>
      <c r="J890">
        <v>0</v>
      </c>
      <c r="K890">
        <v>0</v>
      </c>
      <c r="L890">
        <v>0</v>
      </c>
      <c r="M890">
        <f>IF(N890,TRUE,AND(Q890:U890))</f>
        <v>0</v>
      </c>
      <c r="N890">
        <f>COUNTBLANK(Metadata!B890:F890)=COLUMNS(Metadata!B890:F890)</f>
        <v>0</v>
      </c>
      <c r="O890">
        <v>0</v>
      </c>
      <c r="Q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>
        <f>AND(IF(Metadata!C890="",FALSE,TRUE),exact(Metadata!C890,"human-skin"))</f>
        <v>0</v>
      </c>
      <c r="S890">
        <f>OR(AND(IF(Metadata!D890="",FALSE,TRUE),OR(exact(Metadata!D890,"missing: not collected"),exact(Metadata!D890,"missing: not provided"))),AND(IF(Metadata!D890="",FALSE,TRUE),OR(exact(Metadata!D890,"UBERON:zone of skin"),exact(Metadata!D890,"UBERON:skin of hand"),exact(Metadata!D890,"UBERON:skin of forehead"))))</f>
        <v>0</v>
      </c>
      <c r="T890">
        <f>AND(IF(Metadata!E890="",FALSE,TRUE),exact(Metadata!E890,"human skin metagenome"))</f>
        <v>0</v>
      </c>
      <c r="U890">
        <f>AND(IF(Metadata!F890="",FALSE,TRUE),exact(Metadata!F890,"539655"))</f>
        <v>0</v>
      </c>
    </row>
    <row r="891" spans="1:21">
      <c r="A891" s="4">
        <f>IF(B891=" "," ",HYPERLINK(CONCATENATE("#metadata!",ADDRESS(INDEX($L$2:$L$1001,MATCH(ROWS($J$2:J891),$J$2:$J$1001,0),0),1)),INDEX($O$2:$O$1001,MATCH(ROWS($J$2:J891),$J$2:$J$1001,0),0)))</f>
        <v>0</v>
      </c>
      <c r="B891" s="3">
        <f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>0</v>
      </c>
      <c r="C891" s="3">
        <f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>0</v>
      </c>
      <c r="D891" s="3">
        <f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>0</v>
      </c>
      <c r="E891" s="3">
        <f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>0</v>
      </c>
      <c r="F891" s="3">
        <f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>0</v>
      </c>
      <c r="J891">
        <v>0</v>
      </c>
      <c r="K891">
        <v>0</v>
      </c>
      <c r="L891">
        <v>0</v>
      </c>
      <c r="M891">
        <f>IF(N891,TRUE,AND(Q891:U891))</f>
        <v>0</v>
      </c>
      <c r="N891">
        <f>COUNTBLANK(Metadata!B891:F891)=COLUMNS(Metadata!B891:F891)</f>
        <v>0</v>
      </c>
      <c r="O891">
        <v>0</v>
      </c>
      <c r="Q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>
        <f>AND(IF(Metadata!C891="",FALSE,TRUE),exact(Metadata!C891,"human-skin"))</f>
        <v>0</v>
      </c>
      <c r="S891">
        <f>OR(AND(IF(Metadata!D891="",FALSE,TRUE),OR(exact(Metadata!D891,"missing: not collected"),exact(Metadata!D891,"missing: not provided"))),AND(IF(Metadata!D891="",FALSE,TRUE),OR(exact(Metadata!D891,"UBERON:zone of skin"),exact(Metadata!D891,"UBERON:skin of hand"),exact(Metadata!D891,"UBERON:skin of forehead"))))</f>
        <v>0</v>
      </c>
      <c r="T891">
        <f>AND(IF(Metadata!E891="",FALSE,TRUE),exact(Metadata!E891,"human skin metagenome"))</f>
        <v>0</v>
      </c>
      <c r="U891">
        <f>AND(IF(Metadata!F891="",FALSE,TRUE),exact(Metadata!F891,"539655"))</f>
        <v>0</v>
      </c>
    </row>
    <row r="892" spans="1:21">
      <c r="A892" s="4">
        <f>IF(B892=" "," ",HYPERLINK(CONCATENATE("#metadata!",ADDRESS(INDEX($L$2:$L$1001,MATCH(ROWS($J$2:J892),$J$2:$J$1001,0),0),1)),INDEX($O$2:$O$1001,MATCH(ROWS($J$2:J892),$J$2:$J$1001,0),0)))</f>
        <v>0</v>
      </c>
      <c r="B892" s="3">
        <f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>0</v>
      </c>
      <c r="C892" s="3">
        <f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>0</v>
      </c>
      <c r="D892" s="3">
        <f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>0</v>
      </c>
      <c r="E892" s="3">
        <f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>0</v>
      </c>
      <c r="F892" s="3">
        <f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>0</v>
      </c>
      <c r="J892">
        <v>0</v>
      </c>
      <c r="K892">
        <v>0</v>
      </c>
      <c r="L892">
        <v>0</v>
      </c>
      <c r="M892">
        <f>IF(N892,TRUE,AND(Q892:U892))</f>
        <v>0</v>
      </c>
      <c r="N892">
        <f>COUNTBLANK(Metadata!B892:F892)=COLUMNS(Metadata!B892:F892)</f>
        <v>0</v>
      </c>
      <c r="O892">
        <v>0</v>
      </c>
      <c r="Q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>
        <f>AND(IF(Metadata!C892="",FALSE,TRUE),exact(Metadata!C892,"human-skin"))</f>
        <v>0</v>
      </c>
      <c r="S892">
        <f>OR(AND(IF(Metadata!D892="",FALSE,TRUE),OR(exact(Metadata!D892,"missing: not collected"),exact(Metadata!D892,"missing: not provided"))),AND(IF(Metadata!D892="",FALSE,TRUE),OR(exact(Metadata!D892,"UBERON:zone of skin"),exact(Metadata!D892,"UBERON:skin of hand"),exact(Metadata!D892,"UBERON:skin of forehead"))))</f>
        <v>0</v>
      </c>
      <c r="T892">
        <f>AND(IF(Metadata!E892="",FALSE,TRUE),exact(Metadata!E892,"human skin metagenome"))</f>
        <v>0</v>
      </c>
      <c r="U892">
        <f>AND(IF(Metadata!F892="",FALSE,TRUE),exact(Metadata!F892,"539655"))</f>
        <v>0</v>
      </c>
    </row>
    <row r="893" spans="1:21">
      <c r="A893" s="4">
        <f>IF(B893=" "," ",HYPERLINK(CONCATENATE("#metadata!",ADDRESS(INDEX($L$2:$L$1001,MATCH(ROWS($J$2:J893),$J$2:$J$1001,0),0),1)),INDEX($O$2:$O$1001,MATCH(ROWS($J$2:J893),$J$2:$J$1001,0),0)))</f>
        <v>0</v>
      </c>
      <c r="B893" s="3">
        <f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>0</v>
      </c>
      <c r="C893" s="3">
        <f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>0</v>
      </c>
      <c r="D893" s="3">
        <f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>0</v>
      </c>
      <c r="E893" s="3">
        <f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>0</v>
      </c>
      <c r="F893" s="3">
        <f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>0</v>
      </c>
      <c r="J893">
        <v>0</v>
      </c>
      <c r="K893">
        <v>0</v>
      </c>
      <c r="L893">
        <v>0</v>
      </c>
      <c r="M893">
        <f>IF(N893,TRUE,AND(Q893:U893))</f>
        <v>0</v>
      </c>
      <c r="N893">
        <f>COUNTBLANK(Metadata!B893:F893)=COLUMNS(Metadata!B893:F893)</f>
        <v>0</v>
      </c>
      <c r="O893">
        <v>0</v>
      </c>
      <c r="Q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>
        <f>AND(IF(Metadata!C893="",FALSE,TRUE),exact(Metadata!C893,"human-skin"))</f>
        <v>0</v>
      </c>
      <c r="S893">
        <f>OR(AND(IF(Metadata!D893="",FALSE,TRUE),OR(exact(Metadata!D893,"missing: not collected"),exact(Metadata!D893,"missing: not provided"))),AND(IF(Metadata!D893="",FALSE,TRUE),OR(exact(Metadata!D893,"UBERON:zone of skin"),exact(Metadata!D893,"UBERON:skin of hand"),exact(Metadata!D893,"UBERON:skin of forehead"))))</f>
        <v>0</v>
      </c>
      <c r="T893">
        <f>AND(IF(Metadata!E893="",FALSE,TRUE),exact(Metadata!E893,"human skin metagenome"))</f>
        <v>0</v>
      </c>
      <c r="U893">
        <f>AND(IF(Metadata!F893="",FALSE,TRUE),exact(Metadata!F893,"539655"))</f>
        <v>0</v>
      </c>
    </row>
    <row r="894" spans="1:21">
      <c r="A894" s="4">
        <f>IF(B894=" "," ",HYPERLINK(CONCATENATE("#metadata!",ADDRESS(INDEX($L$2:$L$1001,MATCH(ROWS($J$2:J894),$J$2:$J$1001,0),0),1)),INDEX($O$2:$O$1001,MATCH(ROWS($J$2:J894),$J$2:$J$1001,0),0)))</f>
        <v>0</v>
      </c>
      <c r="B894" s="3">
        <f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>0</v>
      </c>
      <c r="C894" s="3">
        <f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>0</v>
      </c>
      <c r="D894" s="3">
        <f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>0</v>
      </c>
      <c r="E894" s="3">
        <f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>0</v>
      </c>
      <c r="F894" s="3">
        <f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>0</v>
      </c>
      <c r="J894">
        <v>0</v>
      </c>
      <c r="K894">
        <v>0</v>
      </c>
      <c r="L894">
        <v>0</v>
      </c>
      <c r="M894">
        <f>IF(N894,TRUE,AND(Q894:U894))</f>
        <v>0</v>
      </c>
      <c r="N894">
        <f>COUNTBLANK(Metadata!B894:F894)=COLUMNS(Metadata!B894:F894)</f>
        <v>0</v>
      </c>
      <c r="O894">
        <v>0</v>
      </c>
      <c r="Q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>
        <f>AND(IF(Metadata!C894="",FALSE,TRUE),exact(Metadata!C894,"human-skin"))</f>
        <v>0</v>
      </c>
      <c r="S894">
        <f>OR(AND(IF(Metadata!D894="",FALSE,TRUE),OR(exact(Metadata!D894,"missing: not collected"),exact(Metadata!D894,"missing: not provided"))),AND(IF(Metadata!D894="",FALSE,TRUE),OR(exact(Metadata!D894,"UBERON:zone of skin"),exact(Metadata!D894,"UBERON:skin of hand"),exact(Metadata!D894,"UBERON:skin of forehead"))))</f>
        <v>0</v>
      </c>
      <c r="T894">
        <f>AND(IF(Metadata!E894="",FALSE,TRUE),exact(Metadata!E894,"human skin metagenome"))</f>
        <v>0</v>
      </c>
      <c r="U894">
        <f>AND(IF(Metadata!F894="",FALSE,TRUE),exact(Metadata!F894,"539655"))</f>
        <v>0</v>
      </c>
    </row>
    <row r="895" spans="1:21">
      <c r="A895" s="4">
        <f>IF(B895=" "," ",HYPERLINK(CONCATENATE("#metadata!",ADDRESS(INDEX($L$2:$L$1001,MATCH(ROWS($J$2:J895),$J$2:$J$1001,0),0),1)),INDEX($O$2:$O$1001,MATCH(ROWS($J$2:J895),$J$2:$J$1001,0),0)))</f>
        <v>0</v>
      </c>
      <c r="B895" s="3">
        <f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>0</v>
      </c>
      <c r="C895" s="3">
        <f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>0</v>
      </c>
      <c r="D895" s="3">
        <f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>0</v>
      </c>
      <c r="E895" s="3">
        <f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>0</v>
      </c>
      <c r="F895" s="3">
        <f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>0</v>
      </c>
      <c r="J895">
        <v>0</v>
      </c>
      <c r="K895">
        <v>0</v>
      </c>
      <c r="L895">
        <v>0</v>
      </c>
      <c r="M895">
        <f>IF(N895,TRUE,AND(Q895:U895))</f>
        <v>0</v>
      </c>
      <c r="N895">
        <f>COUNTBLANK(Metadata!B895:F895)=COLUMNS(Metadata!B895:F895)</f>
        <v>0</v>
      </c>
      <c r="O895">
        <v>0</v>
      </c>
      <c r="Q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>
        <f>AND(IF(Metadata!C895="",FALSE,TRUE),exact(Metadata!C895,"human-skin"))</f>
        <v>0</v>
      </c>
      <c r="S895">
        <f>OR(AND(IF(Metadata!D895="",FALSE,TRUE),OR(exact(Metadata!D895,"missing: not collected"),exact(Metadata!D895,"missing: not provided"))),AND(IF(Metadata!D895="",FALSE,TRUE),OR(exact(Metadata!D895,"UBERON:zone of skin"),exact(Metadata!D895,"UBERON:skin of hand"),exact(Metadata!D895,"UBERON:skin of forehead"))))</f>
        <v>0</v>
      </c>
      <c r="T895">
        <f>AND(IF(Metadata!E895="",FALSE,TRUE),exact(Metadata!E895,"human skin metagenome"))</f>
        <v>0</v>
      </c>
      <c r="U895">
        <f>AND(IF(Metadata!F895="",FALSE,TRUE),exact(Metadata!F895,"539655"))</f>
        <v>0</v>
      </c>
    </row>
    <row r="896" spans="1:21">
      <c r="A896" s="4">
        <f>IF(B896=" "," ",HYPERLINK(CONCATENATE("#metadata!",ADDRESS(INDEX($L$2:$L$1001,MATCH(ROWS($J$2:J896),$J$2:$J$1001,0),0),1)),INDEX($O$2:$O$1001,MATCH(ROWS($J$2:J896),$J$2:$J$1001,0),0)))</f>
        <v>0</v>
      </c>
      <c r="B896" s="3">
        <f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>0</v>
      </c>
      <c r="C896" s="3">
        <f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>0</v>
      </c>
      <c r="D896" s="3">
        <f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>0</v>
      </c>
      <c r="E896" s="3">
        <f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>0</v>
      </c>
      <c r="F896" s="3">
        <f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>0</v>
      </c>
      <c r="J896">
        <v>0</v>
      </c>
      <c r="K896">
        <v>0</v>
      </c>
      <c r="L896">
        <v>0</v>
      </c>
      <c r="M896">
        <f>IF(N896,TRUE,AND(Q896:U896))</f>
        <v>0</v>
      </c>
      <c r="N896">
        <f>COUNTBLANK(Metadata!B896:F896)=COLUMNS(Metadata!B896:F896)</f>
        <v>0</v>
      </c>
      <c r="O896">
        <v>0</v>
      </c>
      <c r="Q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>
        <f>AND(IF(Metadata!C896="",FALSE,TRUE),exact(Metadata!C896,"human-skin"))</f>
        <v>0</v>
      </c>
      <c r="S896">
        <f>OR(AND(IF(Metadata!D896="",FALSE,TRUE),OR(exact(Metadata!D896,"missing: not collected"),exact(Metadata!D896,"missing: not provided"))),AND(IF(Metadata!D896="",FALSE,TRUE),OR(exact(Metadata!D896,"UBERON:zone of skin"),exact(Metadata!D896,"UBERON:skin of hand"),exact(Metadata!D896,"UBERON:skin of forehead"))))</f>
        <v>0</v>
      </c>
      <c r="T896">
        <f>AND(IF(Metadata!E896="",FALSE,TRUE),exact(Metadata!E896,"human skin metagenome"))</f>
        <v>0</v>
      </c>
      <c r="U896">
        <f>AND(IF(Metadata!F896="",FALSE,TRUE),exact(Metadata!F896,"539655"))</f>
        <v>0</v>
      </c>
    </row>
    <row r="897" spans="1:21">
      <c r="A897" s="4">
        <f>IF(B897=" "," ",HYPERLINK(CONCATENATE("#metadata!",ADDRESS(INDEX($L$2:$L$1001,MATCH(ROWS($J$2:J897),$J$2:$J$1001,0),0),1)),INDEX($O$2:$O$1001,MATCH(ROWS($J$2:J897),$J$2:$J$1001,0),0)))</f>
        <v>0</v>
      </c>
      <c r="B897" s="3">
        <f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>0</v>
      </c>
      <c r="C897" s="3">
        <f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>0</v>
      </c>
      <c r="D897" s="3">
        <f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>0</v>
      </c>
      <c r="E897" s="3">
        <f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>0</v>
      </c>
      <c r="F897" s="3">
        <f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>0</v>
      </c>
      <c r="J897">
        <v>0</v>
      </c>
      <c r="K897">
        <v>0</v>
      </c>
      <c r="L897">
        <v>0</v>
      </c>
      <c r="M897">
        <f>IF(N897,TRUE,AND(Q897:U897))</f>
        <v>0</v>
      </c>
      <c r="N897">
        <f>COUNTBLANK(Metadata!B897:F897)=COLUMNS(Metadata!B897:F897)</f>
        <v>0</v>
      </c>
      <c r="O897">
        <v>0</v>
      </c>
      <c r="Q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>
        <f>AND(IF(Metadata!C897="",FALSE,TRUE),exact(Metadata!C897,"human-skin"))</f>
        <v>0</v>
      </c>
      <c r="S897">
        <f>OR(AND(IF(Metadata!D897="",FALSE,TRUE),OR(exact(Metadata!D897,"missing: not collected"),exact(Metadata!D897,"missing: not provided"))),AND(IF(Metadata!D897="",FALSE,TRUE),OR(exact(Metadata!D897,"UBERON:zone of skin"),exact(Metadata!D897,"UBERON:skin of hand"),exact(Metadata!D897,"UBERON:skin of forehead"))))</f>
        <v>0</v>
      </c>
      <c r="T897">
        <f>AND(IF(Metadata!E897="",FALSE,TRUE),exact(Metadata!E897,"human skin metagenome"))</f>
        <v>0</v>
      </c>
      <c r="U897">
        <f>AND(IF(Metadata!F897="",FALSE,TRUE),exact(Metadata!F897,"539655"))</f>
        <v>0</v>
      </c>
    </row>
    <row r="898" spans="1:21">
      <c r="A898" s="4">
        <f>IF(B898=" "," ",HYPERLINK(CONCATENATE("#metadata!",ADDRESS(INDEX($L$2:$L$1001,MATCH(ROWS($J$2:J898),$J$2:$J$1001,0),0),1)),INDEX($O$2:$O$1001,MATCH(ROWS($J$2:J898),$J$2:$J$1001,0),0)))</f>
        <v>0</v>
      </c>
      <c r="B898" s="3">
        <f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>0</v>
      </c>
      <c r="C898" s="3">
        <f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>0</v>
      </c>
      <c r="D898" s="3">
        <f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>0</v>
      </c>
      <c r="E898" s="3">
        <f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>0</v>
      </c>
      <c r="F898" s="3">
        <f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>0</v>
      </c>
      <c r="J898">
        <v>0</v>
      </c>
      <c r="K898">
        <v>0</v>
      </c>
      <c r="L898">
        <v>0</v>
      </c>
      <c r="M898">
        <f>IF(N898,TRUE,AND(Q898:U898))</f>
        <v>0</v>
      </c>
      <c r="N898">
        <f>COUNTBLANK(Metadata!B898:F898)=COLUMNS(Metadata!B898:F898)</f>
        <v>0</v>
      </c>
      <c r="O898">
        <v>0</v>
      </c>
      <c r="Q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>
        <f>AND(IF(Metadata!C898="",FALSE,TRUE),exact(Metadata!C898,"human-skin"))</f>
        <v>0</v>
      </c>
      <c r="S898">
        <f>OR(AND(IF(Metadata!D898="",FALSE,TRUE),OR(exact(Metadata!D898,"missing: not collected"),exact(Metadata!D898,"missing: not provided"))),AND(IF(Metadata!D898="",FALSE,TRUE),OR(exact(Metadata!D898,"UBERON:zone of skin"),exact(Metadata!D898,"UBERON:skin of hand"),exact(Metadata!D898,"UBERON:skin of forehead"))))</f>
        <v>0</v>
      </c>
      <c r="T898">
        <f>AND(IF(Metadata!E898="",FALSE,TRUE),exact(Metadata!E898,"human skin metagenome"))</f>
        <v>0</v>
      </c>
      <c r="U898">
        <f>AND(IF(Metadata!F898="",FALSE,TRUE),exact(Metadata!F898,"539655"))</f>
        <v>0</v>
      </c>
    </row>
    <row r="899" spans="1:21">
      <c r="A899" s="4">
        <f>IF(B899=" "," ",HYPERLINK(CONCATENATE("#metadata!",ADDRESS(INDEX($L$2:$L$1001,MATCH(ROWS($J$2:J899),$J$2:$J$1001,0),0),1)),INDEX($O$2:$O$1001,MATCH(ROWS($J$2:J899),$J$2:$J$1001,0),0)))</f>
        <v>0</v>
      </c>
      <c r="B899" s="3">
        <f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>0</v>
      </c>
      <c r="C899" s="3">
        <f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>0</v>
      </c>
      <c r="D899" s="3">
        <f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>0</v>
      </c>
      <c r="E899" s="3">
        <f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>0</v>
      </c>
      <c r="F899" s="3">
        <f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>0</v>
      </c>
      <c r="J899">
        <v>0</v>
      </c>
      <c r="K899">
        <v>0</v>
      </c>
      <c r="L899">
        <v>0</v>
      </c>
      <c r="M899">
        <f>IF(N899,TRUE,AND(Q899:U899))</f>
        <v>0</v>
      </c>
      <c r="N899">
        <f>COUNTBLANK(Metadata!B899:F899)=COLUMNS(Metadata!B899:F899)</f>
        <v>0</v>
      </c>
      <c r="O899">
        <v>0</v>
      </c>
      <c r="Q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>
        <f>AND(IF(Metadata!C899="",FALSE,TRUE),exact(Metadata!C899,"human-skin"))</f>
        <v>0</v>
      </c>
      <c r="S899">
        <f>OR(AND(IF(Metadata!D899="",FALSE,TRUE),OR(exact(Metadata!D899,"missing: not collected"),exact(Metadata!D899,"missing: not provided"))),AND(IF(Metadata!D899="",FALSE,TRUE),OR(exact(Metadata!D899,"UBERON:zone of skin"),exact(Metadata!D899,"UBERON:skin of hand"),exact(Metadata!D899,"UBERON:skin of forehead"))))</f>
        <v>0</v>
      </c>
      <c r="T899">
        <f>AND(IF(Metadata!E899="",FALSE,TRUE),exact(Metadata!E899,"human skin metagenome"))</f>
        <v>0</v>
      </c>
      <c r="U899">
        <f>AND(IF(Metadata!F899="",FALSE,TRUE),exact(Metadata!F899,"539655"))</f>
        <v>0</v>
      </c>
    </row>
    <row r="900" spans="1:21">
      <c r="A900" s="4">
        <f>IF(B900=" "," ",HYPERLINK(CONCATENATE("#metadata!",ADDRESS(INDEX($L$2:$L$1001,MATCH(ROWS($J$2:J900),$J$2:$J$1001,0),0),1)),INDEX($O$2:$O$1001,MATCH(ROWS($J$2:J900),$J$2:$J$1001,0),0)))</f>
        <v>0</v>
      </c>
      <c r="B900" s="3">
        <f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>0</v>
      </c>
      <c r="C900" s="3">
        <f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>0</v>
      </c>
      <c r="D900" s="3">
        <f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>0</v>
      </c>
      <c r="E900" s="3">
        <f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>0</v>
      </c>
      <c r="F900" s="3">
        <f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>0</v>
      </c>
      <c r="J900">
        <v>0</v>
      </c>
      <c r="K900">
        <v>0</v>
      </c>
      <c r="L900">
        <v>0</v>
      </c>
      <c r="M900">
        <f>IF(N900,TRUE,AND(Q900:U900))</f>
        <v>0</v>
      </c>
      <c r="N900">
        <f>COUNTBLANK(Metadata!B900:F900)=COLUMNS(Metadata!B900:F900)</f>
        <v>0</v>
      </c>
      <c r="O900">
        <v>0</v>
      </c>
      <c r="Q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>
        <f>AND(IF(Metadata!C900="",FALSE,TRUE),exact(Metadata!C900,"human-skin"))</f>
        <v>0</v>
      </c>
      <c r="S900">
        <f>OR(AND(IF(Metadata!D900="",FALSE,TRUE),OR(exact(Metadata!D900,"missing: not collected"),exact(Metadata!D900,"missing: not provided"))),AND(IF(Metadata!D900="",FALSE,TRUE),OR(exact(Metadata!D900,"UBERON:zone of skin"),exact(Metadata!D900,"UBERON:skin of hand"),exact(Metadata!D900,"UBERON:skin of forehead"))))</f>
        <v>0</v>
      </c>
      <c r="T900">
        <f>AND(IF(Metadata!E900="",FALSE,TRUE),exact(Metadata!E900,"human skin metagenome"))</f>
        <v>0</v>
      </c>
      <c r="U900">
        <f>AND(IF(Metadata!F900="",FALSE,TRUE),exact(Metadata!F900,"539655"))</f>
        <v>0</v>
      </c>
    </row>
    <row r="901" spans="1:21">
      <c r="A901" s="4">
        <f>IF(B901=" "," ",HYPERLINK(CONCATENATE("#metadata!",ADDRESS(INDEX($L$2:$L$1001,MATCH(ROWS($J$2:J901),$J$2:$J$1001,0),0),1)),INDEX($O$2:$O$1001,MATCH(ROWS($J$2:J901),$J$2:$J$1001,0),0)))</f>
        <v>0</v>
      </c>
      <c r="B901" s="3">
        <f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>0</v>
      </c>
      <c r="C901" s="3">
        <f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>0</v>
      </c>
      <c r="D901" s="3">
        <f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>0</v>
      </c>
      <c r="E901" s="3">
        <f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>0</v>
      </c>
      <c r="F901" s="3">
        <f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>0</v>
      </c>
      <c r="J901">
        <v>0</v>
      </c>
      <c r="K901">
        <v>0</v>
      </c>
      <c r="L901">
        <v>0</v>
      </c>
      <c r="M901">
        <f>IF(N901,TRUE,AND(Q901:U901))</f>
        <v>0</v>
      </c>
      <c r="N901">
        <f>COUNTBLANK(Metadata!B901:F901)=COLUMNS(Metadata!B901:F901)</f>
        <v>0</v>
      </c>
      <c r="O901">
        <v>0</v>
      </c>
      <c r="Q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>
        <f>AND(IF(Metadata!C901="",FALSE,TRUE),exact(Metadata!C901,"human-skin"))</f>
        <v>0</v>
      </c>
      <c r="S901">
        <f>OR(AND(IF(Metadata!D901="",FALSE,TRUE),OR(exact(Metadata!D901,"missing: not collected"),exact(Metadata!D901,"missing: not provided"))),AND(IF(Metadata!D901="",FALSE,TRUE),OR(exact(Metadata!D901,"UBERON:zone of skin"),exact(Metadata!D901,"UBERON:skin of hand"),exact(Metadata!D901,"UBERON:skin of forehead"))))</f>
        <v>0</v>
      </c>
      <c r="T901">
        <f>AND(IF(Metadata!E901="",FALSE,TRUE),exact(Metadata!E901,"human skin metagenome"))</f>
        <v>0</v>
      </c>
      <c r="U901">
        <f>AND(IF(Metadata!F901="",FALSE,TRUE),exact(Metadata!F901,"539655"))</f>
        <v>0</v>
      </c>
    </row>
    <row r="902" spans="1:21">
      <c r="A902" s="4">
        <f>IF(B902=" "," ",HYPERLINK(CONCATENATE("#metadata!",ADDRESS(INDEX($L$2:$L$1001,MATCH(ROWS($J$2:J902),$J$2:$J$1001,0),0),1)),INDEX($O$2:$O$1001,MATCH(ROWS($J$2:J902),$J$2:$J$1001,0),0)))</f>
        <v>0</v>
      </c>
      <c r="B902" s="3">
        <f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>0</v>
      </c>
      <c r="C902" s="3">
        <f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>0</v>
      </c>
      <c r="D902" s="3">
        <f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>0</v>
      </c>
      <c r="E902" s="3">
        <f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>0</v>
      </c>
      <c r="F902" s="3">
        <f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>0</v>
      </c>
      <c r="J902">
        <v>0</v>
      </c>
      <c r="K902">
        <v>0</v>
      </c>
      <c r="L902">
        <v>0</v>
      </c>
      <c r="M902">
        <f>IF(N902,TRUE,AND(Q902:U902))</f>
        <v>0</v>
      </c>
      <c r="N902">
        <f>COUNTBLANK(Metadata!B902:F902)=COLUMNS(Metadata!B902:F902)</f>
        <v>0</v>
      </c>
      <c r="O902">
        <v>0</v>
      </c>
      <c r="Q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>
        <f>AND(IF(Metadata!C902="",FALSE,TRUE),exact(Metadata!C902,"human-skin"))</f>
        <v>0</v>
      </c>
      <c r="S902">
        <f>OR(AND(IF(Metadata!D902="",FALSE,TRUE),OR(exact(Metadata!D902,"missing: not collected"),exact(Metadata!D902,"missing: not provided"))),AND(IF(Metadata!D902="",FALSE,TRUE),OR(exact(Metadata!D902,"UBERON:zone of skin"),exact(Metadata!D902,"UBERON:skin of hand"),exact(Metadata!D902,"UBERON:skin of forehead"))))</f>
        <v>0</v>
      </c>
      <c r="T902">
        <f>AND(IF(Metadata!E902="",FALSE,TRUE),exact(Metadata!E902,"human skin metagenome"))</f>
        <v>0</v>
      </c>
      <c r="U902">
        <f>AND(IF(Metadata!F902="",FALSE,TRUE),exact(Metadata!F902,"539655"))</f>
        <v>0</v>
      </c>
    </row>
    <row r="903" spans="1:21">
      <c r="A903" s="4">
        <f>IF(B903=" "," ",HYPERLINK(CONCATENATE("#metadata!",ADDRESS(INDEX($L$2:$L$1001,MATCH(ROWS($J$2:J903),$J$2:$J$1001,0),0),1)),INDEX($O$2:$O$1001,MATCH(ROWS($J$2:J903),$J$2:$J$1001,0),0)))</f>
        <v>0</v>
      </c>
      <c r="B903" s="3">
        <f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>0</v>
      </c>
      <c r="C903" s="3">
        <f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>0</v>
      </c>
      <c r="D903" s="3">
        <f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>0</v>
      </c>
      <c r="E903" s="3">
        <f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>0</v>
      </c>
      <c r="F903" s="3">
        <f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>0</v>
      </c>
      <c r="J903">
        <v>0</v>
      </c>
      <c r="K903">
        <v>0</v>
      </c>
      <c r="L903">
        <v>0</v>
      </c>
      <c r="M903">
        <f>IF(N903,TRUE,AND(Q903:U903))</f>
        <v>0</v>
      </c>
      <c r="N903">
        <f>COUNTBLANK(Metadata!B903:F903)=COLUMNS(Metadata!B903:F903)</f>
        <v>0</v>
      </c>
      <c r="O903">
        <v>0</v>
      </c>
      <c r="Q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>
        <f>AND(IF(Metadata!C903="",FALSE,TRUE),exact(Metadata!C903,"human-skin"))</f>
        <v>0</v>
      </c>
      <c r="S903">
        <f>OR(AND(IF(Metadata!D903="",FALSE,TRUE),OR(exact(Metadata!D903,"missing: not collected"),exact(Metadata!D903,"missing: not provided"))),AND(IF(Metadata!D903="",FALSE,TRUE),OR(exact(Metadata!D903,"UBERON:zone of skin"),exact(Metadata!D903,"UBERON:skin of hand"),exact(Metadata!D903,"UBERON:skin of forehead"))))</f>
        <v>0</v>
      </c>
      <c r="T903">
        <f>AND(IF(Metadata!E903="",FALSE,TRUE),exact(Metadata!E903,"human skin metagenome"))</f>
        <v>0</v>
      </c>
      <c r="U903">
        <f>AND(IF(Metadata!F903="",FALSE,TRUE),exact(Metadata!F903,"539655"))</f>
        <v>0</v>
      </c>
    </row>
    <row r="904" spans="1:21">
      <c r="A904" s="4">
        <f>IF(B904=" "," ",HYPERLINK(CONCATENATE("#metadata!",ADDRESS(INDEX($L$2:$L$1001,MATCH(ROWS($J$2:J904),$J$2:$J$1001,0),0),1)),INDEX($O$2:$O$1001,MATCH(ROWS($J$2:J904),$J$2:$J$1001,0),0)))</f>
        <v>0</v>
      </c>
      <c r="B904" s="3">
        <f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>0</v>
      </c>
      <c r="C904" s="3">
        <f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>0</v>
      </c>
      <c r="D904" s="3">
        <f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>0</v>
      </c>
      <c r="E904" s="3">
        <f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>0</v>
      </c>
      <c r="F904" s="3">
        <f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>0</v>
      </c>
      <c r="J904">
        <v>0</v>
      </c>
      <c r="K904">
        <v>0</v>
      </c>
      <c r="L904">
        <v>0</v>
      </c>
      <c r="M904">
        <f>IF(N904,TRUE,AND(Q904:U904))</f>
        <v>0</v>
      </c>
      <c r="N904">
        <f>COUNTBLANK(Metadata!B904:F904)=COLUMNS(Metadata!B904:F904)</f>
        <v>0</v>
      </c>
      <c r="O904">
        <v>0</v>
      </c>
      <c r="Q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>
        <f>AND(IF(Metadata!C904="",FALSE,TRUE),exact(Metadata!C904,"human-skin"))</f>
        <v>0</v>
      </c>
      <c r="S904">
        <f>OR(AND(IF(Metadata!D904="",FALSE,TRUE),OR(exact(Metadata!D904,"missing: not collected"),exact(Metadata!D904,"missing: not provided"))),AND(IF(Metadata!D904="",FALSE,TRUE),OR(exact(Metadata!D904,"UBERON:zone of skin"),exact(Metadata!D904,"UBERON:skin of hand"),exact(Metadata!D904,"UBERON:skin of forehead"))))</f>
        <v>0</v>
      </c>
      <c r="T904">
        <f>AND(IF(Metadata!E904="",FALSE,TRUE),exact(Metadata!E904,"human skin metagenome"))</f>
        <v>0</v>
      </c>
      <c r="U904">
        <f>AND(IF(Metadata!F904="",FALSE,TRUE),exact(Metadata!F904,"539655"))</f>
        <v>0</v>
      </c>
    </row>
    <row r="905" spans="1:21">
      <c r="A905" s="4">
        <f>IF(B905=" "," ",HYPERLINK(CONCATENATE("#metadata!",ADDRESS(INDEX($L$2:$L$1001,MATCH(ROWS($J$2:J905),$J$2:$J$1001,0),0),1)),INDEX($O$2:$O$1001,MATCH(ROWS($J$2:J905),$J$2:$J$1001,0),0)))</f>
        <v>0</v>
      </c>
      <c r="B905" s="3">
        <f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>0</v>
      </c>
      <c r="C905" s="3">
        <f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>0</v>
      </c>
      <c r="D905" s="3">
        <f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>0</v>
      </c>
      <c r="E905" s="3">
        <f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>0</v>
      </c>
      <c r="F905" s="3">
        <f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>0</v>
      </c>
      <c r="J905">
        <v>0</v>
      </c>
      <c r="K905">
        <v>0</v>
      </c>
      <c r="L905">
        <v>0</v>
      </c>
      <c r="M905">
        <f>IF(N905,TRUE,AND(Q905:U905))</f>
        <v>0</v>
      </c>
      <c r="N905">
        <f>COUNTBLANK(Metadata!B905:F905)=COLUMNS(Metadata!B905:F905)</f>
        <v>0</v>
      </c>
      <c r="O905">
        <v>0</v>
      </c>
      <c r="Q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>
        <f>AND(IF(Metadata!C905="",FALSE,TRUE),exact(Metadata!C905,"human-skin"))</f>
        <v>0</v>
      </c>
      <c r="S905">
        <f>OR(AND(IF(Metadata!D905="",FALSE,TRUE),OR(exact(Metadata!D905,"missing: not collected"),exact(Metadata!D905,"missing: not provided"))),AND(IF(Metadata!D905="",FALSE,TRUE),OR(exact(Metadata!D905,"UBERON:zone of skin"),exact(Metadata!D905,"UBERON:skin of hand"),exact(Metadata!D905,"UBERON:skin of forehead"))))</f>
        <v>0</v>
      </c>
      <c r="T905">
        <f>AND(IF(Metadata!E905="",FALSE,TRUE),exact(Metadata!E905,"human skin metagenome"))</f>
        <v>0</v>
      </c>
      <c r="U905">
        <f>AND(IF(Metadata!F905="",FALSE,TRUE),exact(Metadata!F905,"539655"))</f>
        <v>0</v>
      </c>
    </row>
    <row r="906" spans="1:21">
      <c r="A906" s="4">
        <f>IF(B906=" "," ",HYPERLINK(CONCATENATE("#metadata!",ADDRESS(INDEX($L$2:$L$1001,MATCH(ROWS($J$2:J906),$J$2:$J$1001,0),0),1)),INDEX($O$2:$O$1001,MATCH(ROWS($J$2:J906),$J$2:$J$1001,0),0)))</f>
        <v>0</v>
      </c>
      <c r="B906" s="3">
        <f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>0</v>
      </c>
      <c r="C906" s="3">
        <f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>0</v>
      </c>
      <c r="D906" s="3">
        <f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>0</v>
      </c>
      <c r="E906" s="3">
        <f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>0</v>
      </c>
      <c r="F906" s="3">
        <f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>0</v>
      </c>
      <c r="J906">
        <v>0</v>
      </c>
      <c r="K906">
        <v>0</v>
      </c>
      <c r="L906">
        <v>0</v>
      </c>
      <c r="M906">
        <f>IF(N906,TRUE,AND(Q906:U906))</f>
        <v>0</v>
      </c>
      <c r="N906">
        <f>COUNTBLANK(Metadata!B906:F906)=COLUMNS(Metadata!B906:F906)</f>
        <v>0</v>
      </c>
      <c r="O906">
        <v>0</v>
      </c>
      <c r="Q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>
        <f>AND(IF(Metadata!C906="",FALSE,TRUE),exact(Metadata!C906,"human-skin"))</f>
        <v>0</v>
      </c>
      <c r="S906">
        <f>OR(AND(IF(Metadata!D906="",FALSE,TRUE),OR(exact(Metadata!D906,"missing: not collected"),exact(Metadata!D906,"missing: not provided"))),AND(IF(Metadata!D906="",FALSE,TRUE),OR(exact(Metadata!D906,"UBERON:zone of skin"),exact(Metadata!D906,"UBERON:skin of hand"),exact(Metadata!D906,"UBERON:skin of forehead"))))</f>
        <v>0</v>
      </c>
      <c r="T906">
        <f>AND(IF(Metadata!E906="",FALSE,TRUE),exact(Metadata!E906,"human skin metagenome"))</f>
        <v>0</v>
      </c>
      <c r="U906">
        <f>AND(IF(Metadata!F906="",FALSE,TRUE),exact(Metadata!F906,"539655"))</f>
        <v>0</v>
      </c>
    </row>
    <row r="907" spans="1:21">
      <c r="A907" s="4">
        <f>IF(B907=" "," ",HYPERLINK(CONCATENATE("#metadata!",ADDRESS(INDEX($L$2:$L$1001,MATCH(ROWS($J$2:J907),$J$2:$J$1001,0),0),1)),INDEX($O$2:$O$1001,MATCH(ROWS($J$2:J907),$J$2:$J$1001,0),0)))</f>
        <v>0</v>
      </c>
      <c r="B907" s="3">
        <f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>0</v>
      </c>
      <c r="C907" s="3">
        <f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>0</v>
      </c>
      <c r="D907" s="3">
        <f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>0</v>
      </c>
      <c r="E907" s="3">
        <f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>0</v>
      </c>
      <c r="F907" s="3">
        <f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>0</v>
      </c>
      <c r="J907">
        <v>0</v>
      </c>
      <c r="K907">
        <v>0</v>
      </c>
      <c r="L907">
        <v>0</v>
      </c>
      <c r="M907">
        <f>IF(N907,TRUE,AND(Q907:U907))</f>
        <v>0</v>
      </c>
      <c r="N907">
        <f>COUNTBLANK(Metadata!B907:F907)=COLUMNS(Metadata!B907:F907)</f>
        <v>0</v>
      </c>
      <c r="O907">
        <v>0</v>
      </c>
      <c r="Q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>
        <f>AND(IF(Metadata!C907="",FALSE,TRUE),exact(Metadata!C907,"human-skin"))</f>
        <v>0</v>
      </c>
      <c r="S907">
        <f>OR(AND(IF(Metadata!D907="",FALSE,TRUE),OR(exact(Metadata!D907,"missing: not collected"),exact(Metadata!D907,"missing: not provided"))),AND(IF(Metadata!D907="",FALSE,TRUE),OR(exact(Metadata!D907,"UBERON:zone of skin"),exact(Metadata!D907,"UBERON:skin of hand"),exact(Metadata!D907,"UBERON:skin of forehead"))))</f>
        <v>0</v>
      </c>
      <c r="T907">
        <f>AND(IF(Metadata!E907="",FALSE,TRUE),exact(Metadata!E907,"human skin metagenome"))</f>
        <v>0</v>
      </c>
      <c r="U907">
        <f>AND(IF(Metadata!F907="",FALSE,TRUE),exact(Metadata!F907,"539655"))</f>
        <v>0</v>
      </c>
    </row>
    <row r="908" spans="1:21">
      <c r="A908" s="4">
        <f>IF(B908=" "," ",HYPERLINK(CONCATENATE("#metadata!",ADDRESS(INDEX($L$2:$L$1001,MATCH(ROWS($J$2:J908),$J$2:$J$1001,0),0),1)),INDEX($O$2:$O$1001,MATCH(ROWS($J$2:J908),$J$2:$J$1001,0),0)))</f>
        <v>0</v>
      </c>
      <c r="B908" s="3">
        <f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>0</v>
      </c>
      <c r="C908" s="3">
        <f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>0</v>
      </c>
      <c r="D908" s="3">
        <f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>0</v>
      </c>
      <c r="E908" s="3">
        <f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>0</v>
      </c>
      <c r="F908" s="3">
        <f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>0</v>
      </c>
      <c r="J908">
        <v>0</v>
      </c>
      <c r="K908">
        <v>0</v>
      </c>
      <c r="L908">
        <v>0</v>
      </c>
      <c r="M908">
        <f>IF(N908,TRUE,AND(Q908:U908))</f>
        <v>0</v>
      </c>
      <c r="N908">
        <f>COUNTBLANK(Metadata!B908:F908)=COLUMNS(Metadata!B908:F908)</f>
        <v>0</v>
      </c>
      <c r="O908">
        <v>0</v>
      </c>
      <c r="Q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>
        <f>AND(IF(Metadata!C908="",FALSE,TRUE),exact(Metadata!C908,"human-skin"))</f>
        <v>0</v>
      </c>
      <c r="S908">
        <f>OR(AND(IF(Metadata!D908="",FALSE,TRUE),OR(exact(Metadata!D908,"missing: not collected"),exact(Metadata!D908,"missing: not provided"))),AND(IF(Metadata!D908="",FALSE,TRUE),OR(exact(Metadata!D908,"UBERON:zone of skin"),exact(Metadata!D908,"UBERON:skin of hand"),exact(Metadata!D908,"UBERON:skin of forehead"))))</f>
        <v>0</v>
      </c>
      <c r="T908">
        <f>AND(IF(Metadata!E908="",FALSE,TRUE),exact(Metadata!E908,"human skin metagenome"))</f>
        <v>0</v>
      </c>
      <c r="U908">
        <f>AND(IF(Metadata!F908="",FALSE,TRUE),exact(Metadata!F908,"539655"))</f>
        <v>0</v>
      </c>
    </row>
    <row r="909" spans="1:21">
      <c r="A909" s="4">
        <f>IF(B909=" "," ",HYPERLINK(CONCATENATE("#metadata!",ADDRESS(INDEX($L$2:$L$1001,MATCH(ROWS($J$2:J909),$J$2:$J$1001,0),0),1)),INDEX($O$2:$O$1001,MATCH(ROWS($J$2:J909),$J$2:$J$1001,0),0)))</f>
        <v>0</v>
      </c>
      <c r="B909" s="3">
        <f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>0</v>
      </c>
      <c r="C909" s="3">
        <f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>0</v>
      </c>
      <c r="D909" s="3">
        <f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>0</v>
      </c>
      <c r="E909" s="3">
        <f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>0</v>
      </c>
      <c r="F909" s="3">
        <f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>0</v>
      </c>
      <c r="J909">
        <v>0</v>
      </c>
      <c r="K909">
        <v>0</v>
      </c>
      <c r="L909">
        <v>0</v>
      </c>
      <c r="M909">
        <f>IF(N909,TRUE,AND(Q909:U909))</f>
        <v>0</v>
      </c>
      <c r="N909">
        <f>COUNTBLANK(Metadata!B909:F909)=COLUMNS(Metadata!B909:F909)</f>
        <v>0</v>
      </c>
      <c r="O909">
        <v>0</v>
      </c>
      <c r="Q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>
        <f>AND(IF(Metadata!C909="",FALSE,TRUE),exact(Metadata!C909,"human-skin"))</f>
        <v>0</v>
      </c>
      <c r="S909">
        <f>OR(AND(IF(Metadata!D909="",FALSE,TRUE),OR(exact(Metadata!D909,"missing: not collected"),exact(Metadata!D909,"missing: not provided"))),AND(IF(Metadata!D909="",FALSE,TRUE),OR(exact(Metadata!D909,"UBERON:zone of skin"),exact(Metadata!D909,"UBERON:skin of hand"),exact(Metadata!D909,"UBERON:skin of forehead"))))</f>
        <v>0</v>
      </c>
      <c r="T909">
        <f>AND(IF(Metadata!E909="",FALSE,TRUE),exact(Metadata!E909,"human skin metagenome"))</f>
        <v>0</v>
      </c>
      <c r="U909">
        <f>AND(IF(Metadata!F909="",FALSE,TRUE),exact(Metadata!F909,"539655"))</f>
        <v>0</v>
      </c>
    </row>
    <row r="910" spans="1:21">
      <c r="A910" s="4">
        <f>IF(B910=" "," ",HYPERLINK(CONCATENATE("#metadata!",ADDRESS(INDEX($L$2:$L$1001,MATCH(ROWS($J$2:J910),$J$2:$J$1001,0),0),1)),INDEX($O$2:$O$1001,MATCH(ROWS($J$2:J910),$J$2:$J$1001,0),0)))</f>
        <v>0</v>
      </c>
      <c r="B910" s="3">
        <f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>0</v>
      </c>
      <c r="C910" s="3">
        <f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>0</v>
      </c>
      <c r="D910" s="3">
        <f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>0</v>
      </c>
      <c r="E910" s="3">
        <f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>0</v>
      </c>
      <c r="F910" s="3">
        <f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>0</v>
      </c>
      <c r="J910">
        <v>0</v>
      </c>
      <c r="K910">
        <v>0</v>
      </c>
      <c r="L910">
        <v>0</v>
      </c>
      <c r="M910">
        <f>IF(N910,TRUE,AND(Q910:U910))</f>
        <v>0</v>
      </c>
      <c r="N910">
        <f>COUNTBLANK(Metadata!B910:F910)=COLUMNS(Metadata!B910:F910)</f>
        <v>0</v>
      </c>
      <c r="O910">
        <v>0</v>
      </c>
      <c r="Q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>
        <f>AND(IF(Metadata!C910="",FALSE,TRUE),exact(Metadata!C910,"human-skin"))</f>
        <v>0</v>
      </c>
      <c r="S910">
        <f>OR(AND(IF(Metadata!D910="",FALSE,TRUE),OR(exact(Metadata!D910,"missing: not collected"),exact(Metadata!D910,"missing: not provided"))),AND(IF(Metadata!D910="",FALSE,TRUE),OR(exact(Metadata!D910,"UBERON:zone of skin"),exact(Metadata!D910,"UBERON:skin of hand"),exact(Metadata!D910,"UBERON:skin of forehead"))))</f>
        <v>0</v>
      </c>
      <c r="T910">
        <f>AND(IF(Metadata!E910="",FALSE,TRUE),exact(Metadata!E910,"human skin metagenome"))</f>
        <v>0</v>
      </c>
      <c r="U910">
        <f>AND(IF(Metadata!F910="",FALSE,TRUE),exact(Metadata!F910,"539655"))</f>
        <v>0</v>
      </c>
    </row>
    <row r="911" spans="1:21">
      <c r="A911" s="4">
        <f>IF(B911=" "," ",HYPERLINK(CONCATENATE("#metadata!",ADDRESS(INDEX($L$2:$L$1001,MATCH(ROWS($J$2:J911),$J$2:$J$1001,0),0),1)),INDEX($O$2:$O$1001,MATCH(ROWS($J$2:J911),$J$2:$J$1001,0),0)))</f>
        <v>0</v>
      </c>
      <c r="B911" s="3">
        <f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>0</v>
      </c>
      <c r="C911" s="3">
        <f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>0</v>
      </c>
      <c r="D911" s="3">
        <f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>0</v>
      </c>
      <c r="E911" s="3">
        <f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>0</v>
      </c>
      <c r="F911" s="3">
        <f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>0</v>
      </c>
      <c r="J911">
        <v>0</v>
      </c>
      <c r="K911">
        <v>0</v>
      </c>
      <c r="L911">
        <v>0</v>
      </c>
      <c r="M911">
        <f>IF(N911,TRUE,AND(Q911:U911))</f>
        <v>0</v>
      </c>
      <c r="N911">
        <f>COUNTBLANK(Metadata!B911:F911)=COLUMNS(Metadata!B911:F911)</f>
        <v>0</v>
      </c>
      <c r="O911">
        <v>0</v>
      </c>
      <c r="Q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>
        <f>AND(IF(Metadata!C911="",FALSE,TRUE),exact(Metadata!C911,"human-skin"))</f>
        <v>0</v>
      </c>
      <c r="S911">
        <f>OR(AND(IF(Metadata!D911="",FALSE,TRUE),OR(exact(Metadata!D911,"missing: not collected"),exact(Metadata!D911,"missing: not provided"))),AND(IF(Metadata!D911="",FALSE,TRUE),OR(exact(Metadata!D911,"UBERON:zone of skin"),exact(Metadata!D911,"UBERON:skin of hand"),exact(Metadata!D911,"UBERON:skin of forehead"))))</f>
        <v>0</v>
      </c>
      <c r="T911">
        <f>AND(IF(Metadata!E911="",FALSE,TRUE),exact(Metadata!E911,"human skin metagenome"))</f>
        <v>0</v>
      </c>
      <c r="U911">
        <f>AND(IF(Metadata!F911="",FALSE,TRUE),exact(Metadata!F911,"539655"))</f>
        <v>0</v>
      </c>
    </row>
    <row r="912" spans="1:21">
      <c r="A912" s="4">
        <f>IF(B912=" "," ",HYPERLINK(CONCATENATE("#metadata!",ADDRESS(INDEX($L$2:$L$1001,MATCH(ROWS($J$2:J912),$J$2:$J$1001,0),0),1)),INDEX($O$2:$O$1001,MATCH(ROWS($J$2:J912),$J$2:$J$1001,0),0)))</f>
        <v>0</v>
      </c>
      <c r="B912" s="3">
        <f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>0</v>
      </c>
      <c r="C912" s="3">
        <f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>0</v>
      </c>
      <c r="D912" s="3">
        <f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>0</v>
      </c>
      <c r="E912" s="3">
        <f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>0</v>
      </c>
      <c r="F912" s="3">
        <f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>0</v>
      </c>
      <c r="J912">
        <v>0</v>
      </c>
      <c r="K912">
        <v>0</v>
      </c>
      <c r="L912">
        <v>0</v>
      </c>
      <c r="M912">
        <f>IF(N912,TRUE,AND(Q912:U912))</f>
        <v>0</v>
      </c>
      <c r="N912">
        <f>COUNTBLANK(Metadata!B912:F912)=COLUMNS(Metadata!B912:F912)</f>
        <v>0</v>
      </c>
      <c r="O912">
        <v>0</v>
      </c>
      <c r="Q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>
        <f>AND(IF(Metadata!C912="",FALSE,TRUE),exact(Metadata!C912,"human-skin"))</f>
        <v>0</v>
      </c>
      <c r="S912">
        <f>OR(AND(IF(Metadata!D912="",FALSE,TRUE),OR(exact(Metadata!D912,"missing: not collected"),exact(Metadata!D912,"missing: not provided"))),AND(IF(Metadata!D912="",FALSE,TRUE),OR(exact(Metadata!D912,"UBERON:zone of skin"),exact(Metadata!D912,"UBERON:skin of hand"),exact(Metadata!D912,"UBERON:skin of forehead"))))</f>
        <v>0</v>
      </c>
      <c r="T912">
        <f>AND(IF(Metadata!E912="",FALSE,TRUE),exact(Metadata!E912,"human skin metagenome"))</f>
        <v>0</v>
      </c>
      <c r="U912">
        <f>AND(IF(Metadata!F912="",FALSE,TRUE),exact(Metadata!F912,"539655"))</f>
        <v>0</v>
      </c>
    </row>
    <row r="913" spans="1:21">
      <c r="A913" s="4">
        <f>IF(B913=" "," ",HYPERLINK(CONCATENATE("#metadata!",ADDRESS(INDEX($L$2:$L$1001,MATCH(ROWS($J$2:J913),$J$2:$J$1001,0),0),1)),INDEX($O$2:$O$1001,MATCH(ROWS($J$2:J913),$J$2:$J$1001,0),0)))</f>
        <v>0</v>
      </c>
      <c r="B913" s="3">
        <f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>0</v>
      </c>
      <c r="C913" s="3">
        <f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>0</v>
      </c>
      <c r="D913" s="3">
        <f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>0</v>
      </c>
      <c r="E913" s="3">
        <f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>0</v>
      </c>
      <c r="F913" s="3">
        <f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>0</v>
      </c>
      <c r="J913">
        <v>0</v>
      </c>
      <c r="K913">
        <v>0</v>
      </c>
      <c r="L913">
        <v>0</v>
      </c>
      <c r="M913">
        <f>IF(N913,TRUE,AND(Q913:U913))</f>
        <v>0</v>
      </c>
      <c r="N913">
        <f>COUNTBLANK(Metadata!B913:F913)=COLUMNS(Metadata!B913:F913)</f>
        <v>0</v>
      </c>
      <c r="O913">
        <v>0</v>
      </c>
      <c r="Q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>
        <f>AND(IF(Metadata!C913="",FALSE,TRUE),exact(Metadata!C913,"human-skin"))</f>
        <v>0</v>
      </c>
      <c r="S913">
        <f>OR(AND(IF(Metadata!D913="",FALSE,TRUE),OR(exact(Metadata!D913,"missing: not collected"),exact(Metadata!D913,"missing: not provided"))),AND(IF(Metadata!D913="",FALSE,TRUE),OR(exact(Metadata!D913,"UBERON:zone of skin"),exact(Metadata!D913,"UBERON:skin of hand"),exact(Metadata!D913,"UBERON:skin of forehead"))))</f>
        <v>0</v>
      </c>
      <c r="T913">
        <f>AND(IF(Metadata!E913="",FALSE,TRUE),exact(Metadata!E913,"human skin metagenome"))</f>
        <v>0</v>
      </c>
      <c r="U913">
        <f>AND(IF(Metadata!F913="",FALSE,TRUE),exact(Metadata!F913,"539655"))</f>
        <v>0</v>
      </c>
    </row>
    <row r="914" spans="1:21">
      <c r="A914" s="4">
        <f>IF(B914=" "," ",HYPERLINK(CONCATENATE("#metadata!",ADDRESS(INDEX($L$2:$L$1001,MATCH(ROWS($J$2:J914),$J$2:$J$1001,0),0),1)),INDEX($O$2:$O$1001,MATCH(ROWS($J$2:J914),$J$2:$J$1001,0),0)))</f>
        <v>0</v>
      </c>
      <c r="B914" s="3">
        <f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>0</v>
      </c>
      <c r="C914" s="3">
        <f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>0</v>
      </c>
      <c r="D914" s="3">
        <f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>0</v>
      </c>
      <c r="E914" s="3">
        <f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>0</v>
      </c>
      <c r="F914" s="3">
        <f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>0</v>
      </c>
      <c r="J914">
        <v>0</v>
      </c>
      <c r="K914">
        <v>0</v>
      </c>
      <c r="L914">
        <v>0</v>
      </c>
      <c r="M914">
        <f>IF(N914,TRUE,AND(Q914:U914))</f>
        <v>0</v>
      </c>
      <c r="N914">
        <f>COUNTBLANK(Metadata!B914:F914)=COLUMNS(Metadata!B914:F914)</f>
        <v>0</v>
      </c>
      <c r="O914">
        <v>0</v>
      </c>
      <c r="Q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>
        <f>AND(IF(Metadata!C914="",FALSE,TRUE),exact(Metadata!C914,"human-skin"))</f>
        <v>0</v>
      </c>
      <c r="S914">
        <f>OR(AND(IF(Metadata!D914="",FALSE,TRUE),OR(exact(Metadata!D914,"missing: not collected"),exact(Metadata!D914,"missing: not provided"))),AND(IF(Metadata!D914="",FALSE,TRUE),OR(exact(Metadata!D914,"UBERON:zone of skin"),exact(Metadata!D914,"UBERON:skin of hand"),exact(Metadata!D914,"UBERON:skin of forehead"))))</f>
        <v>0</v>
      </c>
      <c r="T914">
        <f>AND(IF(Metadata!E914="",FALSE,TRUE),exact(Metadata!E914,"human skin metagenome"))</f>
        <v>0</v>
      </c>
      <c r="U914">
        <f>AND(IF(Metadata!F914="",FALSE,TRUE),exact(Metadata!F914,"539655"))</f>
        <v>0</v>
      </c>
    </row>
    <row r="915" spans="1:21">
      <c r="A915" s="4">
        <f>IF(B915=" "," ",HYPERLINK(CONCATENATE("#metadata!",ADDRESS(INDEX($L$2:$L$1001,MATCH(ROWS($J$2:J915),$J$2:$J$1001,0),0),1)),INDEX($O$2:$O$1001,MATCH(ROWS($J$2:J915),$J$2:$J$1001,0),0)))</f>
        <v>0</v>
      </c>
      <c r="B915" s="3">
        <f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>0</v>
      </c>
      <c r="C915" s="3">
        <f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>0</v>
      </c>
      <c r="D915" s="3">
        <f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>0</v>
      </c>
      <c r="E915" s="3">
        <f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>0</v>
      </c>
      <c r="F915" s="3">
        <f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>0</v>
      </c>
      <c r="J915">
        <v>0</v>
      </c>
      <c r="K915">
        <v>0</v>
      </c>
      <c r="L915">
        <v>0</v>
      </c>
      <c r="M915">
        <f>IF(N915,TRUE,AND(Q915:U915))</f>
        <v>0</v>
      </c>
      <c r="N915">
        <f>COUNTBLANK(Metadata!B915:F915)=COLUMNS(Metadata!B915:F915)</f>
        <v>0</v>
      </c>
      <c r="O915">
        <v>0</v>
      </c>
      <c r="Q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>
        <f>AND(IF(Metadata!C915="",FALSE,TRUE),exact(Metadata!C915,"human-skin"))</f>
        <v>0</v>
      </c>
      <c r="S915">
        <f>OR(AND(IF(Metadata!D915="",FALSE,TRUE),OR(exact(Metadata!D915,"missing: not collected"),exact(Metadata!D915,"missing: not provided"))),AND(IF(Metadata!D915="",FALSE,TRUE),OR(exact(Metadata!D915,"UBERON:zone of skin"),exact(Metadata!D915,"UBERON:skin of hand"),exact(Metadata!D915,"UBERON:skin of forehead"))))</f>
        <v>0</v>
      </c>
      <c r="T915">
        <f>AND(IF(Metadata!E915="",FALSE,TRUE),exact(Metadata!E915,"human skin metagenome"))</f>
        <v>0</v>
      </c>
      <c r="U915">
        <f>AND(IF(Metadata!F915="",FALSE,TRUE),exact(Metadata!F915,"539655"))</f>
        <v>0</v>
      </c>
    </row>
    <row r="916" spans="1:21">
      <c r="A916" s="4">
        <f>IF(B916=" "," ",HYPERLINK(CONCATENATE("#metadata!",ADDRESS(INDEX($L$2:$L$1001,MATCH(ROWS($J$2:J916),$J$2:$J$1001,0),0),1)),INDEX($O$2:$O$1001,MATCH(ROWS($J$2:J916),$J$2:$J$1001,0),0)))</f>
        <v>0</v>
      </c>
      <c r="B916" s="3">
        <f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>0</v>
      </c>
      <c r="C916" s="3">
        <f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>0</v>
      </c>
      <c r="D916" s="3">
        <f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>0</v>
      </c>
      <c r="E916" s="3">
        <f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>0</v>
      </c>
      <c r="F916" s="3">
        <f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>0</v>
      </c>
      <c r="J916">
        <v>0</v>
      </c>
      <c r="K916">
        <v>0</v>
      </c>
      <c r="L916">
        <v>0</v>
      </c>
      <c r="M916">
        <f>IF(N916,TRUE,AND(Q916:U916))</f>
        <v>0</v>
      </c>
      <c r="N916">
        <f>COUNTBLANK(Metadata!B916:F916)=COLUMNS(Metadata!B916:F916)</f>
        <v>0</v>
      </c>
      <c r="O916">
        <v>0</v>
      </c>
      <c r="Q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>
        <f>AND(IF(Metadata!C916="",FALSE,TRUE),exact(Metadata!C916,"human-skin"))</f>
        <v>0</v>
      </c>
      <c r="S916">
        <f>OR(AND(IF(Metadata!D916="",FALSE,TRUE),OR(exact(Metadata!D916,"missing: not collected"),exact(Metadata!D916,"missing: not provided"))),AND(IF(Metadata!D916="",FALSE,TRUE),OR(exact(Metadata!D916,"UBERON:zone of skin"),exact(Metadata!D916,"UBERON:skin of hand"),exact(Metadata!D916,"UBERON:skin of forehead"))))</f>
        <v>0</v>
      </c>
      <c r="T916">
        <f>AND(IF(Metadata!E916="",FALSE,TRUE),exact(Metadata!E916,"human skin metagenome"))</f>
        <v>0</v>
      </c>
      <c r="U916">
        <f>AND(IF(Metadata!F916="",FALSE,TRUE),exact(Metadata!F916,"539655"))</f>
        <v>0</v>
      </c>
    </row>
    <row r="917" spans="1:21">
      <c r="A917" s="4">
        <f>IF(B917=" "," ",HYPERLINK(CONCATENATE("#metadata!",ADDRESS(INDEX($L$2:$L$1001,MATCH(ROWS($J$2:J917),$J$2:$J$1001,0),0),1)),INDEX($O$2:$O$1001,MATCH(ROWS($J$2:J917),$J$2:$J$1001,0),0)))</f>
        <v>0</v>
      </c>
      <c r="B917" s="3">
        <f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>0</v>
      </c>
      <c r="C917" s="3">
        <f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>0</v>
      </c>
      <c r="D917" s="3">
        <f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>0</v>
      </c>
      <c r="E917" s="3">
        <f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>0</v>
      </c>
      <c r="F917" s="3">
        <f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>0</v>
      </c>
      <c r="J917">
        <v>0</v>
      </c>
      <c r="K917">
        <v>0</v>
      </c>
      <c r="L917">
        <v>0</v>
      </c>
      <c r="M917">
        <f>IF(N917,TRUE,AND(Q917:U917))</f>
        <v>0</v>
      </c>
      <c r="N917">
        <f>COUNTBLANK(Metadata!B917:F917)=COLUMNS(Metadata!B917:F917)</f>
        <v>0</v>
      </c>
      <c r="O917">
        <v>0</v>
      </c>
      <c r="Q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>
        <f>AND(IF(Metadata!C917="",FALSE,TRUE),exact(Metadata!C917,"human-skin"))</f>
        <v>0</v>
      </c>
      <c r="S917">
        <f>OR(AND(IF(Metadata!D917="",FALSE,TRUE),OR(exact(Metadata!D917,"missing: not collected"),exact(Metadata!D917,"missing: not provided"))),AND(IF(Metadata!D917="",FALSE,TRUE),OR(exact(Metadata!D917,"UBERON:zone of skin"),exact(Metadata!D917,"UBERON:skin of hand"),exact(Metadata!D917,"UBERON:skin of forehead"))))</f>
        <v>0</v>
      </c>
      <c r="T917">
        <f>AND(IF(Metadata!E917="",FALSE,TRUE),exact(Metadata!E917,"human skin metagenome"))</f>
        <v>0</v>
      </c>
      <c r="U917">
        <f>AND(IF(Metadata!F917="",FALSE,TRUE),exact(Metadata!F917,"539655"))</f>
        <v>0</v>
      </c>
    </row>
    <row r="918" spans="1:21">
      <c r="A918" s="4">
        <f>IF(B918=" "," ",HYPERLINK(CONCATENATE("#metadata!",ADDRESS(INDEX($L$2:$L$1001,MATCH(ROWS($J$2:J918),$J$2:$J$1001,0),0),1)),INDEX($O$2:$O$1001,MATCH(ROWS($J$2:J918),$J$2:$J$1001,0),0)))</f>
        <v>0</v>
      </c>
      <c r="B918" s="3">
        <f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>0</v>
      </c>
      <c r="C918" s="3">
        <f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>0</v>
      </c>
      <c r="D918" s="3">
        <f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>0</v>
      </c>
      <c r="E918" s="3">
        <f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>0</v>
      </c>
      <c r="F918" s="3">
        <f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>0</v>
      </c>
      <c r="J918">
        <v>0</v>
      </c>
      <c r="K918">
        <v>0</v>
      </c>
      <c r="L918">
        <v>0</v>
      </c>
      <c r="M918">
        <f>IF(N918,TRUE,AND(Q918:U918))</f>
        <v>0</v>
      </c>
      <c r="N918">
        <f>COUNTBLANK(Metadata!B918:F918)=COLUMNS(Metadata!B918:F918)</f>
        <v>0</v>
      </c>
      <c r="O918">
        <v>0</v>
      </c>
      <c r="Q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>
        <f>AND(IF(Metadata!C918="",FALSE,TRUE),exact(Metadata!C918,"human-skin"))</f>
        <v>0</v>
      </c>
      <c r="S918">
        <f>OR(AND(IF(Metadata!D918="",FALSE,TRUE),OR(exact(Metadata!D918,"missing: not collected"),exact(Metadata!D918,"missing: not provided"))),AND(IF(Metadata!D918="",FALSE,TRUE),OR(exact(Metadata!D918,"UBERON:zone of skin"),exact(Metadata!D918,"UBERON:skin of hand"),exact(Metadata!D918,"UBERON:skin of forehead"))))</f>
        <v>0</v>
      </c>
      <c r="T918">
        <f>AND(IF(Metadata!E918="",FALSE,TRUE),exact(Metadata!E918,"human skin metagenome"))</f>
        <v>0</v>
      </c>
      <c r="U918">
        <f>AND(IF(Metadata!F918="",FALSE,TRUE),exact(Metadata!F918,"539655"))</f>
        <v>0</v>
      </c>
    </row>
    <row r="919" spans="1:21">
      <c r="A919" s="4">
        <f>IF(B919=" "," ",HYPERLINK(CONCATENATE("#metadata!",ADDRESS(INDEX($L$2:$L$1001,MATCH(ROWS($J$2:J919),$J$2:$J$1001,0),0),1)),INDEX($O$2:$O$1001,MATCH(ROWS($J$2:J919),$J$2:$J$1001,0),0)))</f>
        <v>0</v>
      </c>
      <c r="B919" s="3">
        <f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>0</v>
      </c>
      <c r="C919" s="3">
        <f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>0</v>
      </c>
      <c r="D919" s="3">
        <f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>0</v>
      </c>
      <c r="E919" s="3">
        <f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>0</v>
      </c>
      <c r="F919" s="3">
        <f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>0</v>
      </c>
      <c r="J919">
        <v>0</v>
      </c>
      <c r="K919">
        <v>0</v>
      </c>
      <c r="L919">
        <v>0</v>
      </c>
      <c r="M919">
        <f>IF(N919,TRUE,AND(Q919:U919))</f>
        <v>0</v>
      </c>
      <c r="N919">
        <f>COUNTBLANK(Metadata!B919:F919)=COLUMNS(Metadata!B919:F919)</f>
        <v>0</v>
      </c>
      <c r="O919">
        <v>0</v>
      </c>
      <c r="Q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>
        <f>AND(IF(Metadata!C919="",FALSE,TRUE),exact(Metadata!C919,"human-skin"))</f>
        <v>0</v>
      </c>
      <c r="S919">
        <f>OR(AND(IF(Metadata!D919="",FALSE,TRUE),OR(exact(Metadata!D919,"missing: not collected"),exact(Metadata!D919,"missing: not provided"))),AND(IF(Metadata!D919="",FALSE,TRUE),OR(exact(Metadata!D919,"UBERON:zone of skin"),exact(Metadata!D919,"UBERON:skin of hand"),exact(Metadata!D919,"UBERON:skin of forehead"))))</f>
        <v>0</v>
      </c>
      <c r="T919">
        <f>AND(IF(Metadata!E919="",FALSE,TRUE),exact(Metadata!E919,"human skin metagenome"))</f>
        <v>0</v>
      </c>
      <c r="U919">
        <f>AND(IF(Metadata!F919="",FALSE,TRUE),exact(Metadata!F919,"539655"))</f>
        <v>0</v>
      </c>
    </row>
    <row r="920" spans="1:21">
      <c r="A920" s="4">
        <f>IF(B920=" "," ",HYPERLINK(CONCATENATE("#metadata!",ADDRESS(INDEX($L$2:$L$1001,MATCH(ROWS($J$2:J920),$J$2:$J$1001,0),0),1)),INDEX($O$2:$O$1001,MATCH(ROWS($J$2:J920),$J$2:$J$1001,0),0)))</f>
        <v>0</v>
      </c>
      <c r="B920" s="3">
        <f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>0</v>
      </c>
      <c r="C920" s="3">
        <f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>0</v>
      </c>
      <c r="D920" s="3">
        <f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>0</v>
      </c>
      <c r="E920" s="3">
        <f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>0</v>
      </c>
      <c r="F920" s="3">
        <f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>0</v>
      </c>
      <c r="J920">
        <v>0</v>
      </c>
      <c r="K920">
        <v>0</v>
      </c>
      <c r="L920">
        <v>0</v>
      </c>
      <c r="M920">
        <f>IF(N920,TRUE,AND(Q920:U920))</f>
        <v>0</v>
      </c>
      <c r="N920">
        <f>COUNTBLANK(Metadata!B920:F920)=COLUMNS(Metadata!B920:F920)</f>
        <v>0</v>
      </c>
      <c r="O920">
        <v>0</v>
      </c>
      <c r="Q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>
        <f>AND(IF(Metadata!C920="",FALSE,TRUE),exact(Metadata!C920,"human-skin"))</f>
        <v>0</v>
      </c>
      <c r="S920">
        <f>OR(AND(IF(Metadata!D920="",FALSE,TRUE),OR(exact(Metadata!D920,"missing: not collected"),exact(Metadata!D920,"missing: not provided"))),AND(IF(Metadata!D920="",FALSE,TRUE),OR(exact(Metadata!D920,"UBERON:zone of skin"),exact(Metadata!D920,"UBERON:skin of hand"),exact(Metadata!D920,"UBERON:skin of forehead"))))</f>
        <v>0</v>
      </c>
      <c r="T920">
        <f>AND(IF(Metadata!E920="",FALSE,TRUE),exact(Metadata!E920,"human skin metagenome"))</f>
        <v>0</v>
      </c>
      <c r="U920">
        <f>AND(IF(Metadata!F920="",FALSE,TRUE),exact(Metadata!F920,"539655"))</f>
        <v>0</v>
      </c>
    </row>
    <row r="921" spans="1:21">
      <c r="A921" s="4">
        <f>IF(B921=" "," ",HYPERLINK(CONCATENATE("#metadata!",ADDRESS(INDEX($L$2:$L$1001,MATCH(ROWS($J$2:J921),$J$2:$J$1001,0),0),1)),INDEX($O$2:$O$1001,MATCH(ROWS($J$2:J921),$J$2:$J$1001,0),0)))</f>
        <v>0</v>
      </c>
      <c r="B921" s="3">
        <f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>0</v>
      </c>
      <c r="C921" s="3">
        <f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>0</v>
      </c>
      <c r="D921" s="3">
        <f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>0</v>
      </c>
      <c r="E921" s="3">
        <f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>0</v>
      </c>
      <c r="F921" s="3">
        <f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>0</v>
      </c>
      <c r="J921">
        <v>0</v>
      </c>
      <c r="K921">
        <v>0</v>
      </c>
      <c r="L921">
        <v>0</v>
      </c>
      <c r="M921">
        <f>IF(N921,TRUE,AND(Q921:U921))</f>
        <v>0</v>
      </c>
      <c r="N921">
        <f>COUNTBLANK(Metadata!B921:F921)=COLUMNS(Metadata!B921:F921)</f>
        <v>0</v>
      </c>
      <c r="O921">
        <v>0</v>
      </c>
      <c r="Q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>
        <f>AND(IF(Metadata!C921="",FALSE,TRUE),exact(Metadata!C921,"human-skin"))</f>
        <v>0</v>
      </c>
      <c r="S921">
        <f>OR(AND(IF(Metadata!D921="",FALSE,TRUE),OR(exact(Metadata!D921,"missing: not collected"),exact(Metadata!D921,"missing: not provided"))),AND(IF(Metadata!D921="",FALSE,TRUE),OR(exact(Metadata!D921,"UBERON:zone of skin"),exact(Metadata!D921,"UBERON:skin of hand"),exact(Metadata!D921,"UBERON:skin of forehead"))))</f>
        <v>0</v>
      </c>
      <c r="T921">
        <f>AND(IF(Metadata!E921="",FALSE,TRUE),exact(Metadata!E921,"human skin metagenome"))</f>
        <v>0</v>
      </c>
      <c r="U921">
        <f>AND(IF(Metadata!F921="",FALSE,TRUE),exact(Metadata!F921,"539655"))</f>
        <v>0</v>
      </c>
    </row>
    <row r="922" spans="1:21">
      <c r="A922" s="4">
        <f>IF(B922=" "," ",HYPERLINK(CONCATENATE("#metadata!",ADDRESS(INDEX($L$2:$L$1001,MATCH(ROWS($J$2:J922),$J$2:$J$1001,0),0),1)),INDEX($O$2:$O$1001,MATCH(ROWS($J$2:J922),$J$2:$J$1001,0),0)))</f>
        <v>0</v>
      </c>
      <c r="B922" s="3">
        <f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>0</v>
      </c>
      <c r="C922" s="3">
        <f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>0</v>
      </c>
      <c r="D922" s="3">
        <f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>0</v>
      </c>
      <c r="E922" s="3">
        <f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>0</v>
      </c>
      <c r="F922" s="3">
        <f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>0</v>
      </c>
      <c r="J922">
        <v>0</v>
      </c>
      <c r="K922">
        <v>0</v>
      </c>
      <c r="L922">
        <v>0</v>
      </c>
      <c r="M922">
        <f>IF(N922,TRUE,AND(Q922:U922))</f>
        <v>0</v>
      </c>
      <c r="N922">
        <f>COUNTBLANK(Metadata!B922:F922)=COLUMNS(Metadata!B922:F922)</f>
        <v>0</v>
      </c>
      <c r="O922">
        <v>0</v>
      </c>
      <c r="Q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>
        <f>AND(IF(Metadata!C922="",FALSE,TRUE),exact(Metadata!C922,"human-skin"))</f>
        <v>0</v>
      </c>
      <c r="S922">
        <f>OR(AND(IF(Metadata!D922="",FALSE,TRUE),OR(exact(Metadata!D922,"missing: not collected"),exact(Metadata!D922,"missing: not provided"))),AND(IF(Metadata!D922="",FALSE,TRUE),OR(exact(Metadata!D922,"UBERON:zone of skin"),exact(Metadata!D922,"UBERON:skin of hand"),exact(Metadata!D922,"UBERON:skin of forehead"))))</f>
        <v>0</v>
      </c>
      <c r="T922">
        <f>AND(IF(Metadata!E922="",FALSE,TRUE),exact(Metadata!E922,"human skin metagenome"))</f>
        <v>0</v>
      </c>
      <c r="U922">
        <f>AND(IF(Metadata!F922="",FALSE,TRUE),exact(Metadata!F922,"539655"))</f>
        <v>0</v>
      </c>
    </row>
    <row r="923" spans="1:21">
      <c r="A923" s="4">
        <f>IF(B923=" "," ",HYPERLINK(CONCATENATE("#metadata!",ADDRESS(INDEX($L$2:$L$1001,MATCH(ROWS($J$2:J923),$J$2:$J$1001,0),0),1)),INDEX($O$2:$O$1001,MATCH(ROWS($J$2:J923),$J$2:$J$1001,0),0)))</f>
        <v>0</v>
      </c>
      <c r="B923" s="3">
        <f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>0</v>
      </c>
      <c r="C923" s="3">
        <f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>0</v>
      </c>
      <c r="D923" s="3">
        <f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>0</v>
      </c>
      <c r="E923" s="3">
        <f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>0</v>
      </c>
      <c r="F923" s="3">
        <f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>0</v>
      </c>
      <c r="J923">
        <v>0</v>
      </c>
      <c r="K923">
        <v>0</v>
      </c>
      <c r="L923">
        <v>0</v>
      </c>
      <c r="M923">
        <f>IF(N923,TRUE,AND(Q923:U923))</f>
        <v>0</v>
      </c>
      <c r="N923">
        <f>COUNTBLANK(Metadata!B923:F923)=COLUMNS(Metadata!B923:F923)</f>
        <v>0</v>
      </c>
      <c r="O923">
        <v>0</v>
      </c>
      <c r="Q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>
        <f>AND(IF(Metadata!C923="",FALSE,TRUE),exact(Metadata!C923,"human-skin"))</f>
        <v>0</v>
      </c>
      <c r="S923">
        <f>OR(AND(IF(Metadata!D923="",FALSE,TRUE),OR(exact(Metadata!D923,"missing: not collected"),exact(Metadata!D923,"missing: not provided"))),AND(IF(Metadata!D923="",FALSE,TRUE),OR(exact(Metadata!D923,"UBERON:zone of skin"),exact(Metadata!D923,"UBERON:skin of hand"),exact(Metadata!D923,"UBERON:skin of forehead"))))</f>
        <v>0</v>
      </c>
      <c r="T923">
        <f>AND(IF(Metadata!E923="",FALSE,TRUE),exact(Metadata!E923,"human skin metagenome"))</f>
        <v>0</v>
      </c>
      <c r="U923">
        <f>AND(IF(Metadata!F923="",FALSE,TRUE),exact(Metadata!F923,"539655"))</f>
        <v>0</v>
      </c>
    </row>
    <row r="924" spans="1:21">
      <c r="A924" s="4">
        <f>IF(B924=" "," ",HYPERLINK(CONCATENATE("#metadata!",ADDRESS(INDEX($L$2:$L$1001,MATCH(ROWS($J$2:J924),$J$2:$J$1001,0),0),1)),INDEX($O$2:$O$1001,MATCH(ROWS($J$2:J924),$J$2:$J$1001,0),0)))</f>
        <v>0</v>
      </c>
      <c r="B924" s="3">
        <f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>0</v>
      </c>
      <c r="C924" s="3">
        <f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>0</v>
      </c>
      <c r="D924" s="3">
        <f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>0</v>
      </c>
      <c r="E924" s="3">
        <f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>0</v>
      </c>
      <c r="F924" s="3">
        <f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>0</v>
      </c>
      <c r="J924">
        <v>0</v>
      </c>
      <c r="K924">
        <v>0</v>
      </c>
      <c r="L924">
        <v>0</v>
      </c>
      <c r="M924">
        <f>IF(N924,TRUE,AND(Q924:U924))</f>
        <v>0</v>
      </c>
      <c r="N924">
        <f>COUNTBLANK(Metadata!B924:F924)=COLUMNS(Metadata!B924:F924)</f>
        <v>0</v>
      </c>
      <c r="O924">
        <v>0</v>
      </c>
      <c r="Q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>
        <f>AND(IF(Metadata!C924="",FALSE,TRUE),exact(Metadata!C924,"human-skin"))</f>
        <v>0</v>
      </c>
      <c r="S924">
        <f>OR(AND(IF(Metadata!D924="",FALSE,TRUE),OR(exact(Metadata!D924,"missing: not collected"),exact(Metadata!D924,"missing: not provided"))),AND(IF(Metadata!D924="",FALSE,TRUE),OR(exact(Metadata!D924,"UBERON:zone of skin"),exact(Metadata!D924,"UBERON:skin of hand"),exact(Metadata!D924,"UBERON:skin of forehead"))))</f>
        <v>0</v>
      </c>
      <c r="T924">
        <f>AND(IF(Metadata!E924="",FALSE,TRUE),exact(Metadata!E924,"human skin metagenome"))</f>
        <v>0</v>
      </c>
      <c r="U924">
        <f>AND(IF(Metadata!F924="",FALSE,TRUE),exact(Metadata!F924,"539655"))</f>
        <v>0</v>
      </c>
    </row>
    <row r="925" spans="1:21">
      <c r="A925" s="4">
        <f>IF(B925=" "," ",HYPERLINK(CONCATENATE("#metadata!",ADDRESS(INDEX($L$2:$L$1001,MATCH(ROWS($J$2:J925),$J$2:$J$1001,0),0),1)),INDEX($O$2:$O$1001,MATCH(ROWS($J$2:J925),$J$2:$J$1001,0),0)))</f>
        <v>0</v>
      </c>
      <c r="B925" s="3">
        <f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>0</v>
      </c>
      <c r="C925" s="3">
        <f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>0</v>
      </c>
      <c r="D925" s="3">
        <f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>0</v>
      </c>
      <c r="E925" s="3">
        <f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>0</v>
      </c>
      <c r="F925" s="3">
        <f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>0</v>
      </c>
      <c r="J925">
        <v>0</v>
      </c>
      <c r="K925">
        <v>0</v>
      </c>
      <c r="L925">
        <v>0</v>
      </c>
      <c r="M925">
        <f>IF(N925,TRUE,AND(Q925:U925))</f>
        <v>0</v>
      </c>
      <c r="N925">
        <f>COUNTBLANK(Metadata!B925:F925)=COLUMNS(Metadata!B925:F925)</f>
        <v>0</v>
      </c>
      <c r="O925">
        <v>0</v>
      </c>
      <c r="Q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>
        <f>AND(IF(Metadata!C925="",FALSE,TRUE),exact(Metadata!C925,"human-skin"))</f>
        <v>0</v>
      </c>
      <c r="S925">
        <f>OR(AND(IF(Metadata!D925="",FALSE,TRUE),OR(exact(Metadata!D925,"missing: not collected"),exact(Metadata!D925,"missing: not provided"))),AND(IF(Metadata!D925="",FALSE,TRUE),OR(exact(Metadata!D925,"UBERON:zone of skin"),exact(Metadata!D925,"UBERON:skin of hand"),exact(Metadata!D925,"UBERON:skin of forehead"))))</f>
        <v>0</v>
      </c>
      <c r="T925">
        <f>AND(IF(Metadata!E925="",FALSE,TRUE),exact(Metadata!E925,"human skin metagenome"))</f>
        <v>0</v>
      </c>
      <c r="U925">
        <f>AND(IF(Metadata!F925="",FALSE,TRUE),exact(Metadata!F925,"539655"))</f>
        <v>0</v>
      </c>
    </row>
    <row r="926" spans="1:21">
      <c r="A926" s="4">
        <f>IF(B926=" "," ",HYPERLINK(CONCATENATE("#metadata!",ADDRESS(INDEX($L$2:$L$1001,MATCH(ROWS($J$2:J926),$J$2:$J$1001,0),0),1)),INDEX($O$2:$O$1001,MATCH(ROWS($J$2:J926),$J$2:$J$1001,0),0)))</f>
        <v>0</v>
      </c>
      <c r="B926" s="3">
        <f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>0</v>
      </c>
      <c r="C926" s="3">
        <f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>0</v>
      </c>
      <c r="D926" s="3">
        <f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>0</v>
      </c>
      <c r="E926" s="3">
        <f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>0</v>
      </c>
      <c r="F926" s="3">
        <f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>0</v>
      </c>
      <c r="J926">
        <v>0</v>
      </c>
      <c r="K926">
        <v>0</v>
      </c>
      <c r="L926">
        <v>0</v>
      </c>
      <c r="M926">
        <f>IF(N926,TRUE,AND(Q926:U926))</f>
        <v>0</v>
      </c>
      <c r="N926">
        <f>COUNTBLANK(Metadata!B926:F926)=COLUMNS(Metadata!B926:F926)</f>
        <v>0</v>
      </c>
      <c r="O926">
        <v>0</v>
      </c>
      <c r="Q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>
        <f>AND(IF(Metadata!C926="",FALSE,TRUE),exact(Metadata!C926,"human-skin"))</f>
        <v>0</v>
      </c>
      <c r="S926">
        <f>OR(AND(IF(Metadata!D926="",FALSE,TRUE),OR(exact(Metadata!D926,"missing: not collected"),exact(Metadata!D926,"missing: not provided"))),AND(IF(Metadata!D926="",FALSE,TRUE),OR(exact(Metadata!D926,"UBERON:zone of skin"),exact(Metadata!D926,"UBERON:skin of hand"),exact(Metadata!D926,"UBERON:skin of forehead"))))</f>
        <v>0</v>
      </c>
      <c r="T926">
        <f>AND(IF(Metadata!E926="",FALSE,TRUE),exact(Metadata!E926,"human skin metagenome"))</f>
        <v>0</v>
      </c>
      <c r="U926">
        <f>AND(IF(Metadata!F926="",FALSE,TRUE),exact(Metadata!F926,"539655"))</f>
        <v>0</v>
      </c>
    </row>
    <row r="927" spans="1:21">
      <c r="A927" s="4">
        <f>IF(B927=" "," ",HYPERLINK(CONCATENATE("#metadata!",ADDRESS(INDEX($L$2:$L$1001,MATCH(ROWS($J$2:J927),$J$2:$J$1001,0),0),1)),INDEX($O$2:$O$1001,MATCH(ROWS($J$2:J927),$J$2:$J$1001,0),0)))</f>
        <v>0</v>
      </c>
      <c r="B927" s="3">
        <f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>0</v>
      </c>
      <c r="C927" s="3">
        <f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>0</v>
      </c>
      <c r="D927" s="3">
        <f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>0</v>
      </c>
      <c r="E927" s="3">
        <f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>0</v>
      </c>
      <c r="F927" s="3">
        <f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>0</v>
      </c>
      <c r="J927">
        <v>0</v>
      </c>
      <c r="K927">
        <v>0</v>
      </c>
      <c r="L927">
        <v>0</v>
      </c>
      <c r="M927">
        <f>IF(N927,TRUE,AND(Q927:U927))</f>
        <v>0</v>
      </c>
      <c r="N927">
        <f>COUNTBLANK(Metadata!B927:F927)=COLUMNS(Metadata!B927:F927)</f>
        <v>0</v>
      </c>
      <c r="O927">
        <v>0</v>
      </c>
      <c r="Q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>
        <f>AND(IF(Metadata!C927="",FALSE,TRUE),exact(Metadata!C927,"human-skin"))</f>
        <v>0</v>
      </c>
      <c r="S927">
        <f>OR(AND(IF(Metadata!D927="",FALSE,TRUE),OR(exact(Metadata!D927,"missing: not collected"),exact(Metadata!D927,"missing: not provided"))),AND(IF(Metadata!D927="",FALSE,TRUE),OR(exact(Metadata!D927,"UBERON:zone of skin"),exact(Metadata!D927,"UBERON:skin of hand"),exact(Metadata!D927,"UBERON:skin of forehead"))))</f>
        <v>0</v>
      </c>
      <c r="T927">
        <f>AND(IF(Metadata!E927="",FALSE,TRUE),exact(Metadata!E927,"human skin metagenome"))</f>
        <v>0</v>
      </c>
      <c r="U927">
        <f>AND(IF(Metadata!F927="",FALSE,TRUE),exact(Metadata!F927,"539655"))</f>
        <v>0</v>
      </c>
    </row>
    <row r="928" spans="1:21">
      <c r="A928" s="4">
        <f>IF(B928=" "," ",HYPERLINK(CONCATENATE("#metadata!",ADDRESS(INDEX($L$2:$L$1001,MATCH(ROWS($J$2:J928),$J$2:$J$1001,0),0),1)),INDEX($O$2:$O$1001,MATCH(ROWS($J$2:J928),$J$2:$J$1001,0),0)))</f>
        <v>0</v>
      </c>
      <c r="B928" s="3">
        <f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>0</v>
      </c>
      <c r="C928" s="3">
        <f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>0</v>
      </c>
      <c r="D928" s="3">
        <f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>0</v>
      </c>
      <c r="E928" s="3">
        <f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>0</v>
      </c>
      <c r="F928" s="3">
        <f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>0</v>
      </c>
      <c r="J928">
        <v>0</v>
      </c>
      <c r="K928">
        <v>0</v>
      </c>
      <c r="L928">
        <v>0</v>
      </c>
      <c r="M928">
        <f>IF(N928,TRUE,AND(Q928:U928))</f>
        <v>0</v>
      </c>
      <c r="N928">
        <f>COUNTBLANK(Metadata!B928:F928)=COLUMNS(Metadata!B928:F928)</f>
        <v>0</v>
      </c>
      <c r="O928">
        <v>0</v>
      </c>
      <c r="Q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>
        <f>AND(IF(Metadata!C928="",FALSE,TRUE),exact(Metadata!C928,"human-skin"))</f>
        <v>0</v>
      </c>
      <c r="S928">
        <f>OR(AND(IF(Metadata!D928="",FALSE,TRUE),OR(exact(Metadata!D928,"missing: not collected"),exact(Metadata!D928,"missing: not provided"))),AND(IF(Metadata!D928="",FALSE,TRUE),OR(exact(Metadata!D928,"UBERON:zone of skin"),exact(Metadata!D928,"UBERON:skin of hand"),exact(Metadata!D928,"UBERON:skin of forehead"))))</f>
        <v>0</v>
      </c>
      <c r="T928">
        <f>AND(IF(Metadata!E928="",FALSE,TRUE),exact(Metadata!E928,"human skin metagenome"))</f>
        <v>0</v>
      </c>
      <c r="U928">
        <f>AND(IF(Metadata!F928="",FALSE,TRUE),exact(Metadata!F928,"539655"))</f>
        <v>0</v>
      </c>
    </row>
    <row r="929" spans="1:21">
      <c r="A929" s="4">
        <f>IF(B929=" "," ",HYPERLINK(CONCATENATE("#metadata!",ADDRESS(INDEX($L$2:$L$1001,MATCH(ROWS($J$2:J929),$J$2:$J$1001,0),0),1)),INDEX($O$2:$O$1001,MATCH(ROWS($J$2:J929),$J$2:$J$1001,0),0)))</f>
        <v>0</v>
      </c>
      <c r="B929" s="3">
        <f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>0</v>
      </c>
      <c r="C929" s="3">
        <f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>0</v>
      </c>
      <c r="D929" s="3">
        <f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>0</v>
      </c>
      <c r="E929" s="3">
        <f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>0</v>
      </c>
      <c r="F929" s="3">
        <f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>0</v>
      </c>
      <c r="J929">
        <v>0</v>
      </c>
      <c r="K929">
        <v>0</v>
      </c>
      <c r="L929">
        <v>0</v>
      </c>
      <c r="M929">
        <f>IF(N929,TRUE,AND(Q929:U929))</f>
        <v>0</v>
      </c>
      <c r="N929">
        <f>COUNTBLANK(Metadata!B929:F929)=COLUMNS(Metadata!B929:F929)</f>
        <v>0</v>
      </c>
      <c r="O929">
        <v>0</v>
      </c>
      <c r="Q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>
        <f>AND(IF(Metadata!C929="",FALSE,TRUE),exact(Metadata!C929,"human-skin"))</f>
        <v>0</v>
      </c>
      <c r="S929">
        <f>OR(AND(IF(Metadata!D929="",FALSE,TRUE),OR(exact(Metadata!D929,"missing: not collected"),exact(Metadata!D929,"missing: not provided"))),AND(IF(Metadata!D929="",FALSE,TRUE),OR(exact(Metadata!D929,"UBERON:zone of skin"),exact(Metadata!D929,"UBERON:skin of hand"),exact(Metadata!D929,"UBERON:skin of forehead"))))</f>
        <v>0</v>
      </c>
      <c r="T929">
        <f>AND(IF(Metadata!E929="",FALSE,TRUE),exact(Metadata!E929,"human skin metagenome"))</f>
        <v>0</v>
      </c>
      <c r="U929">
        <f>AND(IF(Metadata!F929="",FALSE,TRUE),exact(Metadata!F929,"539655"))</f>
        <v>0</v>
      </c>
    </row>
    <row r="930" spans="1:21">
      <c r="A930" s="4">
        <f>IF(B930=" "," ",HYPERLINK(CONCATENATE("#metadata!",ADDRESS(INDEX($L$2:$L$1001,MATCH(ROWS($J$2:J930),$J$2:$J$1001,0),0),1)),INDEX($O$2:$O$1001,MATCH(ROWS($J$2:J930),$J$2:$J$1001,0),0)))</f>
        <v>0</v>
      </c>
      <c r="B930" s="3">
        <f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>0</v>
      </c>
      <c r="C930" s="3">
        <f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>0</v>
      </c>
      <c r="D930" s="3">
        <f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>0</v>
      </c>
      <c r="E930" s="3">
        <f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>0</v>
      </c>
      <c r="F930" s="3">
        <f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>0</v>
      </c>
      <c r="J930">
        <v>0</v>
      </c>
      <c r="K930">
        <v>0</v>
      </c>
      <c r="L930">
        <v>0</v>
      </c>
      <c r="M930">
        <f>IF(N930,TRUE,AND(Q930:U930))</f>
        <v>0</v>
      </c>
      <c r="N930">
        <f>COUNTBLANK(Metadata!B930:F930)=COLUMNS(Metadata!B930:F930)</f>
        <v>0</v>
      </c>
      <c r="O930">
        <v>0</v>
      </c>
      <c r="Q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>
        <f>AND(IF(Metadata!C930="",FALSE,TRUE),exact(Metadata!C930,"human-skin"))</f>
        <v>0</v>
      </c>
      <c r="S930">
        <f>OR(AND(IF(Metadata!D930="",FALSE,TRUE),OR(exact(Metadata!D930,"missing: not collected"),exact(Metadata!D930,"missing: not provided"))),AND(IF(Metadata!D930="",FALSE,TRUE),OR(exact(Metadata!D930,"UBERON:zone of skin"),exact(Metadata!D930,"UBERON:skin of hand"),exact(Metadata!D930,"UBERON:skin of forehead"))))</f>
        <v>0</v>
      </c>
      <c r="T930">
        <f>AND(IF(Metadata!E930="",FALSE,TRUE),exact(Metadata!E930,"human skin metagenome"))</f>
        <v>0</v>
      </c>
      <c r="U930">
        <f>AND(IF(Metadata!F930="",FALSE,TRUE),exact(Metadata!F930,"539655"))</f>
        <v>0</v>
      </c>
    </row>
    <row r="931" spans="1:21">
      <c r="A931" s="4">
        <f>IF(B931=" "," ",HYPERLINK(CONCATENATE("#metadata!",ADDRESS(INDEX($L$2:$L$1001,MATCH(ROWS($J$2:J931),$J$2:$J$1001,0),0),1)),INDEX($O$2:$O$1001,MATCH(ROWS($J$2:J931),$J$2:$J$1001,0),0)))</f>
        <v>0</v>
      </c>
      <c r="B931" s="3">
        <f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>0</v>
      </c>
      <c r="C931" s="3">
        <f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>0</v>
      </c>
      <c r="D931" s="3">
        <f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>0</v>
      </c>
      <c r="E931" s="3">
        <f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>0</v>
      </c>
      <c r="F931" s="3">
        <f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>0</v>
      </c>
      <c r="J931">
        <v>0</v>
      </c>
      <c r="K931">
        <v>0</v>
      </c>
      <c r="L931">
        <v>0</v>
      </c>
      <c r="M931">
        <f>IF(N931,TRUE,AND(Q931:U931))</f>
        <v>0</v>
      </c>
      <c r="N931">
        <f>COUNTBLANK(Metadata!B931:F931)=COLUMNS(Metadata!B931:F931)</f>
        <v>0</v>
      </c>
      <c r="O931">
        <v>0</v>
      </c>
      <c r="Q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>
        <f>AND(IF(Metadata!C931="",FALSE,TRUE),exact(Metadata!C931,"human-skin"))</f>
        <v>0</v>
      </c>
      <c r="S931">
        <f>OR(AND(IF(Metadata!D931="",FALSE,TRUE),OR(exact(Metadata!D931,"missing: not collected"),exact(Metadata!D931,"missing: not provided"))),AND(IF(Metadata!D931="",FALSE,TRUE),OR(exact(Metadata!D931,"UBERON:zone of skin"),exact(Metadata!D931,"UBERON:skin of hand"),exact(Metadata!D931,"UBERON:skin of forehead"))))</f>
        <v>0</v>
      </c>
      <c r="T931">
        <f>AND(IF(Metadata!E931="",FALSE,TRUE),exact(Metadata!E931,"human skin metagenome"))</f>
        <v>0</v>
      </c>
      <c r="U931">
        <f>AND(IF(Metadata!F931="",FALSE,TRUE),exact(Metadata!F931,"539655"))</f>
        <v>0</v>
      </c>
    </row>
    <row r="932" spans="1:21">
      <c r="A932" s="4">
        <f>IF(B932=" "," ",HYPERLINK(CONCATENATE("#metadata!",ADDRESS(INDEX($L$2:$L$1001,MATCH(ROWS($J$2:J932),$J$2:$J$1001,0),0),1)),INDEX($O$2:$O$1001,MATCH(ROWS($J$2:J932),$J$2:$J$1001,0),0)))</f>
        <v>0</v>
      </c>
      <c r="B932" s="3">
        <f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>0</v>
      </c>
      <c r="C932" s="3">
        <f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>0</v>
      </c>
      <c r="D932" s="3">
        <f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>0</v>
      </c>
      <c r="E932" s="3">
        <f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>0</v>
      </c>
      <c r="F932" s="3">
        <f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>0</v>
      </c>
      <c r="J932">
        <v>0</v>
      </c>
      <c r="K932">
        <v>0</v>
      </c>
      <c r="L932">
        <v>0</v>
      </c>
      <c r="M932">
        <f>IF(N932,TRUE,AND(Q932:U932))</f>
        <v>0</v>
      </c>
      <c r="N932">
        <f>COUNTBLANK(Metadata!B932:F932)=COLUMNS(Metadata!B932:F932)</f>
        <v>0</v>
      </c>
      <c r="O932">
        <v>0</v>
      </c>
      <c r="Q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>
        <f>AND(IF(Metadata!C932="",FALSE,TRUE),exact(Metadata!C932,"human-skin"))</f>
        <v>0</v>
      </c>
      <c r="S932">
        <f>OR(AND(IF(Metadata!D932="",FALSE,TRUE),OR(exact(Metadata!D932,"missing: not collected"),exact(Metadata!D932,"missing: not provided"))),AND(IF(Metadata!D932="",FALSE,TRUE),OR(exact(Metadata!D932,"UBERON:zone of skin"),exact(Metadata!D932,"UBERON:skin of hand"),exact(Metadata!D932,"UBERON:skin of forehead"))))</f>
        <v>0</v>
      </c>
      <c r="T932">
        <f>AND(IF(Metadata!E932="",FALSE,TRUE),exact(Metadata!E932,"human skin metagenome"))</f>
        <v>0</v>
      </c>
      <c r="U932">
        <f>AND(IF(Metadata!F932="",FALSE,TRUE),exact(Metadata!F932,"539655"))</f>
        <v>0</v>
      </c>
    </row>
    <row r="933" spans="1:21">
      <c r="A933" s="4">
        <f>IF(B933=" "," ",HYPERLINK(CONCATENATE("#metadata!",ADDRESS(INDEX($L$2:$L$1001,MATCH(ROWS($J$2:J933),$J$2:$J$1001,0),0),1)),INDEX($O$2:$O$1001,MATCH(ROWS($J$2:J933),$J$2:$J$1001,0),0)))</f>
        <v>0</v>
      </c>
      <c r="B933" s="3">
        <f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>0</v>
      </c>
      <c r="C933" s="3">
        <f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>0</v>
      </c>
      <c r="D933" s="3">
        <f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>0</v>
      </c>
      <c r="E933" s="3">
        <f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>0</v>
      </c>
      <c r="F933" s="3">
        <f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>0</v>
      </c>
      <c r="J933">
        <v>0</v>
      </c>
      <c r="K933">
        <v>0</v>
      </c>
      <c r="L933">
        <v>0</v>
      </c>
      <c r="M933">
        <f>IF(N933,TRUE,AND(Q933:U933))</f>
        <v>0</v>
      </c>
      <c r="N933">
        <f>COUNTBLANK(Metadata!B933:F933)=COLUMNS(Metadata!B933:F933)</f>
        <v>0</v>
      </c>
      <c r="O933">
        <v>0</v>
      </c>
      <c r="Q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>
        <f>AND(IF(Metadata!C933="",FALSE,TRUE),exact(Metadata!C933,"human-skin"))</f>
        <v>0</v>
      </c>
      <c r="S933">
        <f>OR(AND(IF(Metadata!D933="",FALSE,TRUE),OR(exact(Metadata!D933,"missing: not collected"),exact(Metadata!D933,"missing: not provided"))),AND(IF(Metadata!D933="",FALSE,TRUE),OR(exact(Metadata!D933,"UBERON:zone of skin"),exact(Metadata!D933,"UBERON:skin of hand"),exact(Metadata!D933,"UBERON:skin of forehead"))))</f>
        <v>0</v>
      </c>
      <c r="T933">
        <f>AND(IF(Metadata!E933="",FALSE,TRUE),exact(Metadata!E933,"human skin metagenome"))</f>
        <v>0</v>
      </c>
      <c r="U933">
        <f>AND(IF(Metadata!F933="",FALSE,TRUE),exact(Metadata!F933,"539655"))</f>
        <v>0</v>
      </c>
    </row>
    <row r="934" spans="1:21">
      <c r="A934" s="4">
        <f>IF(B934=" "," ",HYPERLINK(CONCATENATE("#metadata!",ADDRESS(INDEX($L$2:$L$1001,MATCH(ROWS($J$2:J934),$J$2:$J$1001,0),0),1)),INDEX($O$2:$O$1001,MATCH(ROWS($J$2:J934),$J$2:$J$1001,0),0)))</f>
        <v>0</v>
      </c>
      <c r="B934" s="3">
        <f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>0</v>
      </c>
      <c r="C934" s="3">
        <f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>0</v>
      </c>
      <c r="D934" s="3">
        <f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>0</v>
      </c>
      <c r="E934" s="3">
        <f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>0</v>
      </c>
      <c r="F934" s="3">
        <f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>0</v>
      </c>
      <c r="J934">
        <v>0</v>
      </c>
      <c r="K934">
        <v>0</v>
      </c>
      <c r="L934">
        <v>0</v>
      </c>
      <c r="M934">
        <f>IF(N934,TRUE,AND(Q934:U934))</f>
        <v>0</v>
      </c>
      <c r="N934">
        <f>COUNTBLANK(Metadata!B934:F934)=COLUMNS(Metadata!B934:F934)</f>
        <v>0</v>
      </c>
      <c r="O934">
        <v>0</v>
      </c>
      <c r="Q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>
        <f>AND(IF(Metadata!C934="",FALSE,TRUE),exact(Metadata!C934,"human-skin"))</f>
        <v>0</v>
      </c>
      <c r="S934">
        <f>OR(AND(IF(Metadata!D934="",FALSE,TRUE),OR(exact(Metadata!D934,"missing: not collected"),exact(Metadata!D934,"missing: not provided"))),AND(IF(Metadata!D934="",FALSE,TRUE),OR(exact(Metadata!D934,"UBERON:zone of skin"),exact(Metadata!D934,"UBERON:skin of hand"),exact(Metadata!D934,"UBERON:skin of forehead"))))</f>
        <v>0</v>
      </c>
      <c r="T934">
        <f>AND(IF(Metadata!E934="",FALSE,TRUE),exact(Metadata!E934,"human skin metagenome"))</f>
        <v>0</v>
      </c>
      <c r="U934">
        <f>AND(IF(Metadata!F934="",FALSE,TRUE),exact(Metadata!F934,"539655"))</f>
        <v>0</v>
      </c>
    </row>
    <row r="935" spans="1:21">
      <c r="A935" s="4">
        <f>IF(B935=" "," ",HYPERLINK(CONCATENATE("#metadata!",ADDRESS(INDEX($L$2:$L$1001,MATCH(ROWS($J$2:J935),$J$2:$J$1001,0),0),1)),INDEX($O$2:$O$1001,MATCH(ROWS($J$2:J935),$J$2:$J$1001,0),0)))</f>
        <v>0</v>
      </c>
      <c r="B935" s="3">
        <f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>0</v>
      </c>
      <c r="C935" s="3">
        <f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>0</v>
      </c>
      <c r="D935" s="3">
        <f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>0</v>
      </c>
      <c r="E935" s="3">
        <f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>0</v>
      </c>
      <c r="F935" s="3">
        <f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>0</v>
      </c>
      <c r="J935">
        <v>0</v>
      </c>
      <c r="K935">
        <v>0</v>
      </c>
      <c r="L935">
        <v>0</v>
      </c>
      <c r="M935">
        <f>IF(N935,TRUE,AND(Q935:U935))</f>
        <v>0</v>
      </c>
      <c r="N935">
        <f>COUNTBLANK(Metadata!B935:F935)=COLUMNS(Metadata!B935:F935)</f>
        <v>0</v>
      </c>
      <c r="O935">
        <v>0</v>
      </c>
      <c r="Q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>
        <f>AND(IF(Metadata!C935="",FALSE,TRUE),exact(Metadata!C935,"human-skin"))</f>
        <v>0</v>
      </c>
      <c r="S935">
        <f>OR(AND(IF(Metadata!D935="",FALSE,TRUE),OR(exact(Metadata!D935,"missing: not collected"),exact(Metadata!D935,"missing: not provided"))),AND(IF(Metadata!D935="",FALSE,TRUE),OR(exact(Metadata!D935,"UBERON:zone of skin"),exact(Metadata!D935,"UBERON:skin of hand"),exact(Metadata!D935,"UBERON:skin of forehead"))))</f>
        <v>0</v>
      </c>
      <c r="T935">
        <f>AND(IF(Metadata!E935="",FALSE,TRUE),exact(Metadata!E935,"human skin metagenome"))</f>
        <v>0</v>
      </c>
      <c r="U935">
        <f>AND(IF(Metadata!F935="",FALSE,TRUE),exact(Metadata!F935,"539655"))</f>
        <v>0</v>
      </c>
    </row>
    <row r="936" spans="1:21">
      <c r="A936" s="4">
        <f>IF(B936=" "," ",HYPERLINK(CONCATENATE("#metadata!",ADDRESS(INDEX($L$2:$L$1001,MATCH(ROWS($J$2:J936),$J$2:$J$1001,0),0),1)),INDEX($O$2:$O$1001,MATCH(ROWS($J$2:J936),$J$2:$J$1001,0),0)))</f>
        <v>0</v>
      </c>
      <c r="B936" s="3">
        <f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>0</v>
      </c>
      <c r="C936" s="3">
        <f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>0</v>
      </c>
      <c r="D936" s="3">
        <f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>0</v>
      </c>
      <c r="E936" s="3">
        <f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>0</v>
      </c>
      <c r="F936" s="3">
        <f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>0</v>
      </c>
      <c r="J936">
        <v>0</v>
      </c>
      <c r="K936">
        <v>0</v>
      </c>
      <c r="L936">
        <v>0</v>
      </c>
      <c r="M936">
        <f>IF(N936,TRUE,AND(Q936:U936))</f>
        <v>0</v>
      </c>
      <c r="N936">
        <f>COUNTBLANK(Metadata!B936:F936)=COLUMNS(Metadata!B936:F936)</f>
        <v>0</v>
      </c>
      <c r="O936">
        <v>0</v>
      </c>
      <c r="Q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>
        <f>AND(IF(Metadata!C936="",FALSE,TRUE),exact(Metadata!C936,"human-skin"))</f>
        <v>0</v>
      </c>
      <c r="S936">
        <f>OR(AND(IF(Metadata!D936="",FALSE,TRUE),OR(exact(Metadata!D936,"missing: not collected"),exact(Metadata!D936,"missing: not provided"))),AND(IF(Metadata!D936="",FALSE,TRUE),OR(exact(Metadata!D936,"UBERON:zone of skin"),exact(Metadata!D936,"UBERON:skin of hand"),exact(Metadata!D936,"UBERON:skin of forehead"))))</f>
        <v>0</v>
      </c>
      <c r="T936">
        <f>AND(IF(Metadata!E936="",FALSE,TRUE),exact(Metadata!E936,"human skin metagenome"))</f>
        <v>0</v>
      </c>
      <c r="U936">
        <f>AND(IF(Metadata!F936="",FALSE,TRUE),exact(Metadata!F936,"539655"))</f>
        <v>0</v>
      </c>
    </row>
    <row r="937" spans="1:21">
      <c r="A937" s="4">
        <f>IF(B937=" "," ",HYPERLINK(CONCATENATE("#metadata!",ADDRESS(INDEX($L$2:$L$1001,MATCH(ROWS($J$2:J937),$J$2:$J$1001,0),0),1)),INDEX($O$2:$O$1001,MATCH(ROWS($J$2:J937),$J$2:$J$1001,0),0)))</f>
        <v>0</v>
      </c>
      <c r="B937" s="3">
        <f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>0</v>
      </c>
      <c r="C937" s="3">
        <f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>0</v>
      </c>
      <c r="D937" s="3">
        <f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>0</v>
      </c>
      <c r="E937" s="3">
        <f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>0</v>
      </c>
      <c r="F937" s="3">
        <f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>0</v>
      </c>
      <c r="J937">
        <v>0</v>
      </c>
      <c r="K937">
        <v>0</v>
      </c>
      <c r="L937">
        <v>0</v>
      </c>
      <c r="M937">
        <f>IF(N937,TRUE,AND(Q937:U937))</f>
        <v>0</v>
      </c>
      <c r="N937">
        <f>COUNTBLANK(Metadata!B937:F937)=COLUMNS(Metadata!B937:F937)</f>
        <v>0</v>
      </c>
      <c r="O937">
        <v>0</v>
      </c>
      <c r="Q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>
        <f>AND(IF(Metadata!C937="",FALSE,TRUE),exact(Metadata!C937,"human-skin"))</f>
        <v>0</v>
      </c>
      <c r="S937">
        <f>OR(AND(IF(Metadata!D937="",FALSE,TRUE),OR(exact(Metadata!D937,"missing: not collected"),exact(Metadata!D937,"missing: not provided"))),AND(IF(Metadata!D937="",FALSE,TRUE),OR(exact(Metadata!D937,"UBERON:zone of skin"),exact(Metadata!D937,"UBERON:skin of hand"),exact(Metadata!D937,"UBERON:skin of forehead"))))</f>
        <v>0</v>
      </c>
      <c r="T937">
        <f>AND(IF(Metadata!E937="",FALSE,TRUE),exact(Metadata!E937,"human skin metagenome"))</f>
        <v>0</v>
      </c>
      <c r="U937">
        <f>AND(IF(Metadata!F937="",FALSE,TRUE),exact(Metadata!F937,"539655"))</f>
        <v>0</v>
      </c>
    </row>
    <row r="938" spans="1:21">
      <c r="A938" s="4">
        <f>IF(B938=" "," ",HYPERLINK(CONCATENATE("#metadata!",ADDRESS(INDEX($L$2:$L$1001,MATCH(ROWS($J$2:J938),$J$2:$J$1001,0),0),1)),INDEX($O$2:$O$1001,MATCH(ROWS($J$2:J938),$J$2:$J$1001,0),0)))</f>
        <v>0</v>
      </c>
      <c r="B938" s="3">
        <f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>0</v>
      </c>
      <c r="C938" s="3">
        <f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>0</v>
      </c>
      <c r="D938" s="3">
        <f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>0</v>
      </c>
      <c r="E938" s="3">
        <f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>0</v>
      </c>
      <c r="F938" s="3">
        <f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>0</v>
      </c>
      <c r="J938">
        <v>0</v>
      </c>
      <c r="K938">
        <v>0</v>
      </c>
      <c r="L938">
        <v>0</v>
      </c>
      <c r="M938">
        <f>IF(N938,TRUE,AND(Q938:U938))</f>
        <v>0</v>
      </c>
      <c r="N938">
        <f>COUNTBLANK(Metadata!B938:F938)=COLUMNS(Metadata!B938:F938)</f>
        <v>0</v>
      </c>
      <c r="O938">
        <v>0</v>
      </c>
      <c r="Q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>
        <f>AND(IF(Metadata!C938="",FALSE,TRUE),exact(Metadata!C938,"human-skin"))</f>
        <v>0</v>
      </c>
      <c r="S938">
        <f>OR(AND(IF(Metadata!D938="",FALSE,TRUE),OR(exact(Metadata!D938,"missing: not collected"),exact(Metadata!D938,"missing: not provided"))),AND(IF(Metadata!D938="",FALSE,TRUE),OR(exact(Metadata!D938,"UBERON:zone of skin"),exact(Metadata!D938,"UBERON:skin of hand"),exact(Metadata!D938,"UBERON:skin of forehead"))))</f>
        <v>0</v>
      </c>
      <c r="T938">
        <f>AND(IF(Metadata!E938="",FALSE,TRUE),exact(Metadata!E938,"human skin metagenome"))</f>
        <v>0</v>
      </c>
      <c r="U938">
        <f>AND(IF(Metadata!F938="",FALSE,TRUE),exact(Metadata!F938,"539655"))</f>
        <v>0</v>
      </c>
    </row>
    <row r="939" spans="1:21">
      <c r="A939" s="4">
        <f>IF(B939=" "," ",HYPERLINK(CONCATENATE("#metadata!",ADDRESS(INDEX($L$2:$L$1001,MATCH(ROWS($J$2:J939),$J$2:$J$1001,0),0),1)),INDEX($O$2:$O$1001,MATCH(ROWS($J$2:J939),$J$2:$J$1001,0),0)))</f>
        <v>0</v>
      </c>
      <c r="B939" s="3">
        <f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>0</v>
      </c>
      <c r="C939" s="3">
        <f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>0</v>
      </c>
      <c r="D939" s="3">
        <f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>0</v>
      </c>
      <c r="E939" s="3">
        <f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>0</v>
      </c>
      <c r="F939" s="3">
        <f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>0</v>
      </c>
      <c r="J939">
        <v>0</v>
      </c>
      <c r="K939">
        <v>0</v>
      </c>
      <c r="L939">
        <v>0</v>
      </c>
      <c r="M939">
        <f>IF(N939,TRUE,AND(Q939:U939))</f>
        <v>0</v>
      </c>
      <c r="N939">
        <f>COUNTBLANK(Metadata!B939:F939)=COLUMNS(Metadata!B939:F939)</f>
        <v>0</v>
      </c>
      <c r="O939">
        <v>0</v>
      </c>
      <c r="Q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>
        <f>AND(IF(Metadata!C939="",FALSE,TRUE),exact(Metadata!C939,"human-skin"))</f>
        <v>0</v>
      </c>
      <c r="S939">
        <f>OR(AND(IF(Metadata!D939="",FALSE,TRUE),OR(exact(Metadata!D939,"missing: not collected"),exact(Metadata!D939,"missing: not provided"))),AND(IF(Metadata!D939="",FALSE,TRUE),OR(exact(Metadata!D939,"UBERON:zone of skin"),exact(Metadata!D939,"UBERON:skin of hand"),exact(Metadata!D939,"UBERON:skin of forehead"))))</f>
        <v>0</v>
      </c>
      <c r="T939">
        <f>AND(IF(Metadata!E939="",FALSE,TRUE),exact(Metadata!E939,"human skin metagenome"))</f>
        <v>0</v>
      </c>
      <c r="U939">
        <f>AND(IF(Metadata!F939="",FALSE,TRUE),exact(Metadata!F939,"539655"))</f>
        <v>0</v>
      </c>
    </row>
    <row r="940" spans="1:21">
      <c r="A940" s="4">
        <f>IF(B940=" "," ",HYPERLINK(CONCATENATE("#metadata!",ADDRESS(INDEX($L$2:$L$1001,MATCH(ROWS($J$2:J940),$J$2:$J$1001,0),0),1)),INDEX($O$2:$O$1001,MATCH(ROWS($J$2:J940),$J$2:$J$1001,0),0)))</f>
        <v>0</v>
      </c>
      <c r="B940" s="3">
        <f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>0</v>
      </c>
      <c r="C940" s="3">
        <f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>0</v>
      </c>
      <c r="D940" s="3">
        <f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>0</v>
      </c>
      <c r="E940" s="3">
        <f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>0</v>
      </c>
      <c r="F940" s="3">
        <f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>0</v>
      </c>
      <c r="J940">
        <v>0</v>
      </c>
      <c r="K940">
        <v>0</v>
      </c>
      <c r="L940">
        <v>0</v>
      </c>
      <c r="M940">
        <f>IF(N940,TRUE,AND(Q940:U940))</f>
        <v>0</v>
      </c>
      <c r="N940">
        <f>COUNTBLANK(Metadata!B940:F940)=COLUMNS(Metadata!B940:F940)</f>
        <v>0</v>
      </c>
      <c r="O940">
        <v>0</v>
      </c>
      <c r="Q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>
        <f>AND(IF(Metadata!C940="",FALSE,TRUE),exact(Metadata!C940,"human-skin"))</f>
        <v>0</v>
      </c>
      <c r="S940">
        <f>OR(AND(IF(Metadata!D940="",FALSE,TRUE),OR(exact(Metadata!D940,"missing: not collected"),exact(Metadata!D940,"missing: not provided"))),AND(IF(Metadata!D940="",FALSE,TRUE),OR(exact(Metadata!D940,"UBERON:zone of skin"),exact(Metadata!D940,"UBERON:skin of hand"),exact(Metadata!D940,"UBERON:skin of forehead"))))</f>
        <v>0</v>
      </c>
      <c r="T940">
        <f>AND(IF(Metadata!E940="",FALSE,TRUE),exact(Metadata!E940,"human skin metagenome"))</f>
        <v>0</v>
      </c>
      <c r="U940">
        <f>AND(IF(Metadata!F940="",FALSE,TRUE),exact(Metadata!F940,"539655"))</f>
        <v>0</v>
      </c>
    </row>
    <row r="941" spans="1:21">
      <c r="A941" s="4">
        <f>IF(B941=" "," ",HYPERLINK(CONCATENATE("#metadata!",ADDRESS(INDEX($L$2:$L$1001,MATCH(ROWS($J$2:J941),$J$2:$J$1001,0),0),1)),INDEX($O$2:$O$1001,MATCH(ROWS($J$2:J941),$J$2:$J$1001,0),0)))</f>
        <v>0</v>
      </c>
      <c r="B941" s="3">
        <f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>0</v>
      </c>
      <c r="C941" s="3">
        <f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>0</v>
      </c>
      <c r="D941" s="3">
        <f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>0</v>
      </c>
      <c r="E941" s="3">
        <f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>0</v>
      </c>
      <c r="F941" s="3">
        <f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>0</v>
      </c>
      <c r="J941">
        <v>0</v>
      </c>
      <c r="K941">
        <v>0</v>
      </c>
      <c r="L941">
        <v>0</v>
      </c>
      <c r="M941">
        <f>IF(N941,TRUE,AND(Q941:U941))</f>
        <v>0</v>
      </c>
      <c r="N941">
        <f>COUNTBLANK(Metadata!B941:F941)=COLUMNS(Metadata!B941:F941)</f>
        <v>0</v>
      </c>
      <c r="O941">
        <v>0</v>
      </c>
      <c r="Q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>
        <f>AND(IF(Metadata!C941="",FALSE,TRUE),exact(Metadata!C941,"human-skin"))</f>
        <v>0</v>
      </c>
      <c r="S941">
        <f>OR(AND(IF(Metadata!D941="",FALSE,TRUE),OR(exact(Metadata!D941,"missing: not collected"),exact(Metadata!D941,"missing: not provided"))),AND(IF(Metadata!D941="",FALSE,TRUE),OR(exact(Metadata!D941,"UBERON:zone of skin"),exact(Metadata!D941,"UBERON:skin of hand"),exact(Metadata!D941,"UBERON:skin of forehead"))))</f>
        <v>0</v>
      </c>
      <c r="T941">
        <f>AND(IF(Metadata!E941="",FALSE,TRUE),exact(Metadata!E941,"human skin metagenome"))</f>
        <v>0</v>
      </c>
      <c r="U941">
        <f>AND(IF(Metadata!F941="",FALSE,TRUE),exact(Metadata!F941,"539655"))</f>
        <v>0</v>
      </c>
    </row>
    <row r="942" spans="1:21">
      <c r="A942" s="4">
        <f>IF(B942=" "," ",HYPERLINK(CONCATENATE("#metadata!",ADDRESS(INDEX($L$2:$L$1001,MATCH(ROWS($J$2:J942),$J$2:$J$1001,0),0),1)),INDEX($O$2:$O$1001,MATCH(ROWS($J$2:J942),$J$2:$J$1001,0),0)))</f>
        <v>0</v>
      </c>
      <c r="B942" s="3">
        <f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>0</v>
      </c>
      <c r="C942" s="3">
        <f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>0</v>
      </c>
      <c r="D942" s="3">
        <f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>0</v>
      </c>
      <c r="E942" s="3">
        <f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>0</v>
      </c>
      <c r="F942" s="3">
        <f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>0</v>
      </c>
      <c r="J942">
        <v>0</v>
      </c>
      <c r="K942">
        <v>0</v>
      </c>
      <c r="L942">
        <v>0</v>
      </c>
      <c r="M942">
        <f>IF(N942,TRUE,AND(Q942:U942))</f>
        <v>0</v>
      </c>
      <c r="N942">
        <f>COUNTBLANK(Metadata!B942:F942)=COLUMNS(Metadata!B942:F942)</f>
        <v>0</v>
      </c>
      <c r="O942">
        <v>0</v>
      </c>
      <c r="Q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>
        <f>AND(IF(Metadata!C942="",FALSE,TRUE),exact(Metadata!C942,"human-skin"))</f>
        <v>0</v>
      </c>
      <c r="S942">
        <f>OR(AND(IF(Metadata!D942="",FALSE,TRUE),OR(exact(Metadata!D942,"missing: not collected"),exact(Metadata!D942,"missing: not provided"))),AND(IF(Metadata!D942="",FALSE,TRUE),OR(exact(Metadata!D942,"UBERON:zone of skin"),exact(Metadata!D942,"UBERON:skin of hand"),exact(Metadata!D942,"UBERON:skin of forehead"))))</f>
        <v>0</v>
      </c>
      <c r="T942">
        <f>AND(IF(Metadata!E942="",FALSE,TRUE),exact(Metadata!E942,"human skin metagenome"))</f>
        <v>0</v>
      </c>
      <c r="U942">
        <f>AND(IF(Metadata!F942="",FALSE,TRUE),exact(Metadata!F942,"539655"))</f>
        <v>0</v>
      </c>
    </row>
    <row r="943" spans="1:21">
      <c r="A943" s="4">
        <f>IF(B943=" "," ",HYPERLINK(CONCATENATE("#metadata!",ADDRESS(INDEX($L$2:$L$1001,MATCH(ROWS($J$2:J943),$J$2:$J$1001,0),0),1)),INDEX($O$2:$O$1001,MATCH(ROWS($J$2:J943),$J$2:$J$1001,0),0)))</f>
        <v>0</v>
      </c>
      <c r="B943" s="3">
        <f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>0</v>
      </c>
      <c r="C943" s="3">
        <f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>0</v>
      </c>
      <c r="D943" s="3">
        <f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>0</v>
      </c>
      <c r="E943" s="3">
        <f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>0</v>
      </c>
      <c r="F943" s="3">
        <f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>0</v>
      </c>
      <c r="J943">
        <v>0</v>
      </c>
      <c r="K943">
        <v>0</v>
      </c>
      <c r="L943">
        <v>0</v>
      </c>
      <c r="M943">
        <f>IF(N943,TRUE,AND(Q943:U943))</f>
        <v>0</v>
      </c>
      <c r="N943">
        <f>COUNTBLANK(Metadata!B943:F943)=COLUMNS(Metadata!B943:F943)</f>
        <v>0</v>
      </c>
      <c r="O943">
        <v>0</v>
      </c>
      <c r="Q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>
        <f>AND(IF(Metadata!C943="",FALSE,TRUE),exact(Metadata!C943,"human-skin"))</f>
        <v>0</v>
      </c>
      <c r="S943">
        <f>OR(AND(IF(Metadata!D943="",FALSE,TRUE),OR(exact(Metadata!D943,"missing: not collected"),exact(Metadata!D943,"missing: not provided"))),AND(IF(Metadata!D943="",FALSE,TRUE),OR(exact(Metadata!D943,"UBERON:zone of skin"),exact(Metadata!D943,"UBERON:skin of hand"),exact(Metadata!D943,"UBERON:skin of forehead"))))</f>
        <v>0</v>
      </c>
      <c r="T943">
        <f>AND(IF(Metadata!E943="",FALSE,TRUE),exact(Metadata!E943,"human skin metagenome"))</f>
        <v>0</v>
      </c>
      <c r="U943">
        <f>AND(IF(Metadata!F943="",FALSE,TRUE),exact(Metadata!F943,"539655"))</f>
        <v>0</v>
      </c>
    </row>
    <row r="944" spans="1:21">
      <c r="A944" s="4">
        <f>IF(B944=" "," ",HYPERLINK(CONCATENATE("#metadata!",ADDRESS(INDEX($L$2:$L$1001,MATCH(ROWS($J$2:J944),$J$2:$J$1001,0),0),1)),INDEX($O$2:$O$1001,MATCH(ROWS($J$2:J944),$J$2:$J$1001,0),0)))</f>
        <v>0</v>
      </c>
      <c r="B944" s="3">
        <f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>0</v>
      </c>
      <c r="C944" s="3">
        <f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>0</v>
      </c>
      <c r="D944" s="3">
        <f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>0</v>
      </c>
      <c r="E944" s="3">
        <f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>0</v>
      </c>
      <c r="F944" s="3">
        <f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>0</v>
      </c>
      <c r="J944">
        <v>0</v>
      </c>
      <c r="K944">
        <v>0</v>
      </c>
      <c r="L944">
        <v>0</v>
      </c>
      <c r="M944">
        <f>IF(N944,TRUE,AND(Q944:U944))</f>
        <v>0</v>
      </c>
      <c r="N944">
        <f>COUNTBLANK(Metadata!B944:F944)=COLUMNS(Metadata!B944:F944)</f>
        <v>0</v>
      </c>
      <c r="O944">
        <v>0</v>
      </c>
      <c r="Q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>
        <f>AND(IF(Metadata!C944="",FALSE,TRUE),exact(Metadata!C944,"human-skin"))</f>
        <v>0</v>
      </c>
      <c r="S944">
        <f>OR(AND(IF(Metadata!D944="",FALSE,TRUE),OR(exact(Metadata!D944,"missing: not collected"),exact(Metadata!D944,"missing: not provided"))),AND(IF(Metadata!D944="",FALSE,TRUE),OR(exact(Metadata!D944,"UBERON:zone of skin"),exact(Metadata!D944,"UBERON:skin of hand"),exact(Metadata!D944,"UBERON:skin of forehead"))))</f>
        <v>0</v>
      </c>
      <c r="T944">
        <f>AND(IF(Metadata!E944="",FALSE,TRUE),exact(Metadata!E944,"human skin metagenome"))</f>
        <v>0</v>
      </c>
      <c r="U944">
        <f>AND(IF(Metadata!F944="",FALSE,TRUE),exact(Metadata!F944,"539655"))</f>
        <v>0</v>
      </c>
    </row>
    <row r="945" spans="1:21">
      <c r="A945" s="4">
        <f>IF(B945=" "," ",HYPERLINK(CONCATENATE("#metadata!",ADDRESS(INDEX($L$2:$L$1001,MATCH(ROWS($J$2:J945),$J$2:$J$1001,0),0),1)),INDEX($O$2:$O$1001,MATCH(ROWS($J$2:J945),$J$2:$J$1001,0),0)))</f>
        <v>0</v>
      </c>
      <c r="B945" s="3">
        <f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>0</v>
      </c>
      <c r="C945" s="3">
        <f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>0</v>
      </c>
      <c r="D945" s="3">
        <f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>0</v>
      </c>
      <c r="E945" s="3">
        <f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>0</v>
      </c>
      <c r="F945" s="3">
        <f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>0</v>
      </c>
      <c r="J945">
        <v>0</v>
      </c>
      <c r="K945">
        <v>0</v>
      </c>
      <c r="L945">
        <v>0</v>
      </c>
      <c r="M945">
        <f>IF(N945,TRUE,AND(Q945:U945))</f>
        <v>0</v>
      </c>
      <c r="N945">
        <f>COUNTBLANK(Metadata!B945:F945)=COLUMNS(Metadata!B945:F945)</f>
        <v>0</v>
      </c>
      <c r="O945">
        <v>0</v>
      </c>
      <c r="Q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>
        <f>AND(IF(Metadata!C945="",FALSE,TRUE),exact(Metadata!C945,"human-skin"))</f>
        <v>0</v>
      </c>
      <c r="S945">
        <f>OR(AND(IF(Metadata!D945="",FALSE,TRUE),OR(exact(Metadata!D945,"missing: not collected"),exact(Metadata!D945,"missing: not provided"))),AND(IF(Metadata!D945="",FALSE,TRUE),OR(exact(Metadata!D945,"UBERON:zone of skin"),exact(Metadata!D945,"UBERON:skin of hand"),exact(Metadata!D945,"UBERON:skin of forehead"))))</f>
        <v>0</v>
      </c>
      <c r="T945">
        <f>AND(IF(Metadata!E945="",FALSE,TRUE),exact(Metadata!E945,"human skin metagenome"))</f>
        <v>0</v>
      </c>
      <c r="U945">
        <f>AND(IF(Metadata!F945="",FALSE,TRUE),exact(Metadata!F945,"539655"))</f>
        <v>0</v>
      </c>
    </row>
    <row r="946" spans="1:21">
      <c r="A946" s="4">
        <f>IF(B946=" "," ",HYPERLINK(CONCATENATE("#metadata!",ADDRESS(INDEX($L$2:$L$1001,MATCH(ROWS($J$2:J946),$J$2:$J$1001,0),0),1)),INDEX($O$2:$O$1001,MATCH(ROWS($J$2:J946),$J$2:$J$1001,0),0)))</f>
        <v>0</v>
      </c>
      <c r="B946" s="3">
        <f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>0</v>
      </c>
      <c r="C946" s="3">
        <f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>0</v>
      </c>
      <c r="D946" s="3">
        <f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>0</v>
      </c>
      <c r="E946" s="3">
        <f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>0</v>
      </c>
      <c r="F946" s="3">
        <f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>0</v>
      </c>
      <c r="J946">
        <v>0</v>
      </c>
      <c r="K946">
        <v>0</v>
      </c>
      <c r="L946">
        <v>0</v>
      </c>
      <c r="M946">
        <f>IF(N946,TRUE,AND(Q946:U946))</f>
        <v>0</v>
      </c>
      <c r="N946">
        <f>COUNTBLANK(Metadata!B946:F946)=COLUMNS(Metadata!B946:F946)</f>
        <v>0</v>
      </c>
      <c r="O946">
        <v>0</v>
      </c>
      <c r="Q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>
        <f>AND(IF(Metadata!C946="",FALSE,TRUE),exact(Metadata!C946,"human-skin"))</f>
        <v>0</v>
      </c>
      <c r="S946">
        <f>OR(AND(IF(Metadata!D946="",FALSE,TRUE),OR(exact(Metadata!D946,"missing: not collected"),exact(Metadata!D946,"missing: not provided"))),AND(IF(Metadata!D946="",FALSE,TRUE),OR(exact(Metadata!D946,"UBERON:zone of skin"),exact(Metadata!D946,"UBERON:skin of hand"),exact(Metadata!D946,"UBERON:skin of forehead"))))</f>
        <v>0</v>
      </c>
      <c r="T946">
        <f>AND(IF(Metadata!E946="",FALSE,TRUE),exact(Metadata!E946,"human skin metagenome"))</f>
        <v>0</v>
      </c>
      <c r="U946">
        <f>AND(IF(Metadata!F946="",FALSE,TRUE),exact(Metadata!F946,"539655"))</f>
        <v>0</v>
      </c>
    </row>
    <row r="947" spans="1:21">
      <c r="A947" s="4">
        <f>IF(B947=" "," ",HYPERLINK(CONCATENATE("#metadata!",ADDRESS(INDEX($L$2:$L$1001,MATCH(ROWS($J$2:J947),$J$2:$J$1001,0),0),1)),INDEX($O$2:$O$1001,MATCH(ROWS($J$2:J947),$J$2:$J$1001,0),0)))</f>
        <v>0</v>
      </c>
      <c r="B947" s="3">
        <f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>0</v>
      </c>
      <c r="C947" s="3">
        <f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>0</v>
      </c>
      <c r="D947" s="3">
        <f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>0</v>
      </c>
      <c r="E947" s="3">
        <f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>0</v>
      </c>
      <c r="F947" s="3">
        <f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>0</v>
      </c>
      <c r="J947">
        <v>0</v>
      </c>
      <c r="K947">
        <v>0</v>
      </c>
      <c r="L947">
        <v>0</v>
      </c>
      <c r="M947">
        <f>IF(N947,TRUE,AND(Q947:U947))</f>
        <v>0</v>
      </c>
      <c r="N947">
        <f>COUNTBLANK(Metadata!B947:F947)=COLUMNS(Metadata!B947:F947)</f>
        <v>0</v>
      </c>
      <c r="O947">
        <v>0</v>
      </c>
      <c r="Q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>
        <f>AND(IF(Metadata!C947="",FALSE,TRUE),exact(Metadata!C947,"human-skin"))</f>
        <v>0</v>
      </c>
      <c r="S947">
        <f>OR(AND(IF(Metadata!D947="",FALSE,TRUE),OR(exact(Metadata!D947,"missing: not collected"),exact(Metadata!D947,"missing: not provided"))),AND(IF(Metadata!D947="",FALSE,TRUE),OR(exact(Metadata!D947,"UBERON:zone of skin"),exact(Metadata!D947,"UBERON:skin of hand"),exact(Metadata!D947,"UBERON:skin of forehead"))))</f>
        <v>0</v>
      </c>
      <c r="T947">
        <f>AND(IF(Metadata!E947="",FALSE,TRUE),exact(Metadata!E947,"human skin metagenome"))</f>
        <v>0</v>
      </c>
      <c r="U947">
        <f>AND(IF(Metadata!F947="",FALSE,TRUE),exact(Metadata!F947,"539655"))</f>
        <v>0</v>
      </c>
    </row>
    <row r="948" spans="1:21">
      <c r="A948" s="4">
        <f>IF(B948=" "," ",HYPERLINK(CONCATENATE("#metadata!",ADDRESS(INDEX($L$2:$L$1001,MATCH(ROWS($J$2:J948),$J$2:$J$1001,0),0),1)),INDEX($O$2:$O$1001,MATCH(ROWS($J$2:J948),$J$2:$J$1001,0),0)))</f>
        <v>0</v>
      </c>
      <c r="B948" s="3">
        <f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>0</v>
      </c>
      <c r="C948" s="3">
        <f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>0</v>
      </c>
      <c r="D948" s="3">
        <f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>0</v>
      </c>
      <c r="E948" s="3">
        <f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>0</v>
      </c>
      <c r="F948" s="3">
        <f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>0</v>
      </c>
      <c r="J948">
        <v>0</v>
      </c>
      <c r="K948">
        <v>0</v>
      </c>
      <c r="L948">
        <v>0</v>
      </c>
      <c r="M948">
        <f>IF(N948,TRUE,AND(Q948:U948))</f>
        <v>0</v>
      </c>
      <c r="N948">
        <f>COUNTBLANK(Metadata!B948:F948)=COLUMNS(Metadata!B948:F948)</f>
        <v>0</v>
      </c>
      <c r="O948">
        <v>0</v>
      </c>
      <c r="Q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>
        <f>AND(IF(Metadata!C948="",FALSE,TRUE),exact(Metadata!C948,"human-skin"))</f>
        <v>0</v>
      </c>
      <c r="S948">
        <f>OR(AND(IF(Metadata!D948="",FALSE,TRUE),OR(exact(Metadata!D948,"missing: not collected"),exact(Metadata!D948,"missing: not provided"))),AND(IF(Metadata!D948="",FALSE,TRUE),OR(exact(Metadata!D948,"UBERON:zone of skin"),exact(Metadata!D948,"UBERON:skin of hand"),exact(Metadata!D948,"UBERON:skin of forehead"))))</f>
        <v>0</v>
      </c>
      <c r="T948">
        <f>AND(IF(Metadata!E948="",FALSE,TRUE),exact(Metadata!E948,"human skin metagenome"))</f>
        <v>0</v>
      </c>
      <c r="U948">
        <f>AND(IF(Metadata!F948="",FALSE,TRUE),exact(Metadata!F948,"539655"))</f>
        <v>0</v>
      </c>
    </row>
    <row r="949" spans="1:21">
      <c r="A949" s="4">
        <f>IF(B949=" "," ",HYPERLINK(CONCATENATE("#metadata!",ADDRESS(INDEX($L$2:$L$1001,MATCH(ROWS($J$2:J949),$J$2:$J$1001,0),0),1)),INDEX($O$2:$O$1001,MATCH(ROWS($J$2:J949),$J$2:$J$1001,0),0)))</f>
        <v>0</v>
      </c>
      <c r="B949" s="3">
        <f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>0</v>
      </c>
      <c r="C949" s="3">
        <f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>0</v>
      </c>
      <c r="D949" s="3">
        <f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>0</v>
      </c>
      <c r="E949" s="3">
        <f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>0</v>
      </c>
      <c r="F949" s="3">
        <f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>0</v>
      </c>
      <c r="J949">
        <v>0</v>
      </c>
      <c r="K949">
        <v>0</v>
      </c>
      <c r="L949">
        <v>0</v>
      </c>
      <c r="M949">
        <f>IF(N949,TRUE,AND(Q949:U949))</f>
        <v>0</v>
      </c>
      <c r="N949">
        <f>COUNTBLANK(Metadata!B949:F949)=COLUMNS(Metadata!B949:F949)</f>
        <v>0</v>
      </c>
      <c r="O949">
        <v>0</v>
      </c>
      <c r="Q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>
        <f>AND(IF(Metadata!C949="",FALSE,TRUE),exact(Metadata!C949,"human-skin"))</f>
        <v>0</v>
      </c>
      <c r="S949">
        <f>OR(AND(IF(Metadata!D949="",FALSE,TRUE),OR(exact(Metadata!D949,"missing: not collected"),exact(Metadata!D949,"missing: not provided"))),AND(IF(Metadata!D949="",FALSE,TRUE),OR(exact(Metadata!D949,"UBERON:zone of skin"),exact(Metadata!D949,"UBERON:skin of hand"),exact(Metadata!D949,"UBERON:skin of forehead"))))</f>
        <v>0</v>
      </c>
      <c r="T949">
        <f>AND(IF(Metadata!E949="",FALSE,TRUE),exact(Metadata!E949,"human skin metagenome"))</f>
        <v>0</v>
      </c>
      <c r="U949">
        <f>AND(IF(Metadata!F949="",FALSE,TRUE),exact(Metadata!F949,"539655"))</f>
        <v>0</v>
      </c>
    </row>
    <row r="950" spans="1:21">
      <c r="A950" s="4">
        <f>IF(B950=" "," ",HYPERLINK(CONCATENATE("#metadata!",ADDRESS(INDEX($L$2:$L$1001,MATCH(ROWS($J$2:J950),$J$2:$J$1001,0),0),1)),INDEX($O$2:$O$1001,MATCH(ROWS($J$2:J950),$J$2:$J$1001,0),0)))</f>
        <v>0</v>
      </c>
      <c r="B950" s="3">
        <f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>0</v>
      </c>
      <c r="C950" s="3">
        <f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>0</v>
      </c>
      <c r="D950" s="3">
        <f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>0</v>
      </c>
      <c r="E950" s="3">
        <f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>0</v>
      </c>
      <c r="F950" s="3">
        <f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>0</v>
      </c>
      <c r="J950">
        <v>0</v>
      </c>
      <c r="K950">
        <v>0</v>
      </c>
      <c r="L950">
        <v>0</v>
      </c>
      <c r="M950">
        <f>IF(N950,TRUE,AND(Q950:U950))</f>
        <v>0</v>
      </c>
      <c r="N950">
        <f>COUNTBLANK(Metadata!B950:F950)=COLUMNS(Metadata!B950:F950)</f>
        <v>0</v>
      </c>
      <c r="O950">
        <v>0</v>
      </c>
      <c r="Q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>
        <f>AND(IF(Metadata!C950="",FALSE,TRUE),exact(Metadata!C950,"human-skin"))</f>
        <v>0</v>
      </c>
      <c r="S950">
        <f>OR(AND(IF(Metadata!D950="",FALSE,TRUE),OR(exact(Metadata!D950,"missing: not collected"),exact(Metadata!D950,"missing: not provided"))),AND(IF(Metadata!D950="",FALSE,TRUE),OR(exact(Metadata!D950,"UBERON:zone of skin"),exact(Metadata!D950,"UBERON:skin of hand"),exact(Metadata!D950,"UBERON:skin of forehead"))))</f>
        <v>0</v>
      </c>
      <c r="T950">
        <f>AND(IF(Metadata!E950="",FALSE,TRUE),exact(Metadata!E950,"human skin metagenome"))</f>
        <v>0</v>
      </c>
      <c r="U950">
        <f>AND(IF(Metadata!F950="",FALSE,TRUE),exact(Metadata!F950,"539655"))</f>
        <v>0</v>
      </c>
    </row>
    <row r="951" spans="1:21">
      <c r="A951" s="4">
        <f>IF(B951=" "," ",HYPERLINK(CONCATENATE("#metadata!",ADDRESS(INDEX($L$2:$L$1001,MATCH(ROWS($J$2:J951),$J$2:$J$1001,0),0),1)),INDEX($O$2:$O$1001,MATCH(ROWS($J$2:J951),$J$2:$J$1001,0),0)))</f>
        <v>0</v>
      </c>
      <c r="B951" s="3">
        <f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>0</v>
      </c>
      <c r="C951" s="3">
        <f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>0</v>
      </c>
      <c r="D951" s="3">
        <f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>0</v>
      </c>
      <c r="E951" s="3">
        <f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>0</v>
      </c>
      <c r="F951" s="3">
        <f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>0</v>
      </c>
      <c r="J951">
        <v>0</v>
      </c>
      <c r="K951">
        <v>0</v>
      </c>
      <c r="L951">
        <v>0</v>
      </c>
      <c r="M951">
        <f>IF(N951,TRUE,AND(Q951:U951))</f>
        <v>0</v>
      </c>
      <c r="N951">
        <f>COUNTBLANK(Metadata!B951:F951)=COLUMNS(Metadata!B951:F951)</f>
        <v>0</v>
      </c>
      <c r="O951">
        <v>0</v>
      </c>
      <c r="Q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>
        <f>AND(IF(Metadata!C951="",FALSE,TRUE),exact(Metadata!C951,"human-skin"))</f>
        <v>0</v>
      </c>
      <c r="S951">
        <f>OR(AND(IF(Metadata!D951="",FALSE,TRUE),OR(exact(Metadata!D951,"missing: not collected"),exact(Metadata!D951,"missing: not provided"))),AND(IF(Metadata!D951="",FALSE,TRUE),OR(exact(Metadata!D951,"UBERON:zone of skin"),exact(Metadata!D951,"UBERON:skin of hand"),exact(Metadata!D951,"UBERON:skin of forehead"))))</f>
        <v>0</v>
      </c>
      <c r="T951">
        <f>AND(IF(Metadata!E951="",FALSE,TRUE),exact(Metadata!E951,"human skin metagenome"))</f>
        <v>0</v>
      </c>
      <c r="U951">
        <f>AND(IF(Metadata!F951="",FALSE,TRUE),exact(Metadata!F951,"539655"))</f>
        <v>0</v>
      </c>
    </row>
    <row r="952" spans="1:21">
      <c r="A952" s="4">
        <f>IF(B952=" "," ",HYPERLINK(CONCATENATE("#metadata!",ADDRESS(INDEX($L$2:$L$1001,MATCH(ROWS($J$2:J952),$J$2:$J$1001,0),0),1)),INDEX($O$2:$O$1001,MATCH(ROWS($J$2:J952),$J$2:$J$1001,0),0)))</f>
        <v>0</v>
      </c>
      <c r="B952" s="3">
        <f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>0</v>
      </c>
      <c r="C952" s="3">
        <f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>0</v>
      </c>
      <c r="D952" s="3">
        <f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>0</v>
      </c>
      <c r="E952" s="3">
        <f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>0</v>
      </c>
      <c r="F952" s="3">
        <f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>0</v>
      </c>
      <c r="J952">
        <v>0</v>
      </c>
      <c r="K952">
        <v>0</v>
      </c>
      <c r="L952">
        <v>0</v>
      </c>
      <c r="M952">
        <f>IF(N952,TRUE,AND(Q952:U952))</f>
        <v>0</v>
      </c>
      <c r="N952">
        <f>COUNTBLANK(Metadata!B952:F952)=COLUMNS(Metadata!B952:F952)</f>
        <v>0</v>
      </c>
      <c r="O952">
        <v>0</v>
      </c>
      <c r="Q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>
        <f>AND(IF(Metadata!C952="",FALSE,TRUE),exact(Metadata!C952,"human-skin"))</f>
        <v>0</v>
      </c>
      <c r="S952">
        <f>OR(AND(IF(Metadata!D952="",FALSE,TRUE),OR(exact(Metadata!D952,"missing: not collected"),exact(Metadata!D952,"missing: not provided"))),AND(IF(Metadata!D952="",FALSE,TRUE),OR(exact(Metadata!D952,"UBERON:zone of skin"),exact(Metadata!D952,"UBERON:skin of hand"),exact(Metadata!D952,"UBERON:skin of forehead"))))</f>
        <v>0</v>
      </c>
      <c r="T952">
        <f>AND(IF(Metadata!E952="",FALSE,TRUE),exact(Metadata!E952,"human skin metagenome"))</f>
        <v>0</v>
      </c>
      <c r="U952">
        <f>AND(IF(Metadata!F952="",FALSE,TRUE),exact(Metadata!F952,"539655"))</f>
        <v>0</v>
      </c>
    </row>
    <row r="953" spans="1:21">
      <c r="A953" s="4">
        <f>IF(B953=" "," ",HYPERLINK(CONCATENATE("#metadata!",ADDRESS(INDEX($L$2:$L$1001,MATCH(ROWS($J$2:J953),$J$2:$J$1001,0),0),1)),INDEX($O$2:$O$1001,MATCH(ROWS($J$2:J953),$J$2:$J$1001,0),0)))</f>
        <v>0</v>
      </c>
      <c r="B953" s="3">
        <f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>0</v>
      </c>
      <c r="C953" s="3">
        <f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>0</v>
      </c>
      <c r="D953" s="3">
        <f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>0</v>
      </c>
      <c r="E953" s="3">
        <f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>0</v>
      </c>
      <c r="F953" s="3">
        <f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>0</v>
      </c>
      <c r="J953">
        <v>0</v>
      </c>
      <c r="K953">
        <v>0</v>
      </c>
      <c r="L953">
        <v>0</v>
      </c>
      <c r="M953">
        <f>IF(N953,TRUE,AND(Q953:U953))</f>
        <v>0</v>
      </c>
      <c r="N953">
        <f>COUNTBLANK(Metadata!B953:F953)=COLUMNS(Metadata!B953:F953)</f>
        <v>0</v>
      </c>
      <c r="O953">
        <v>0</v>
      </c>
      <c r="Q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>
        <f>AND(IF(Metadata!C953="",FALSE,TRUE),exact(Metadata!C953,"human-skin"))</f>
        <v>0</v>
      </c>
      <c r="S953">
        <f>OR(AND(IF(Metadata!D953="",FALSE,TRUE),OR(exact(Metadata!D953,"missing: not collected"),exact(Metadata!D953,"missing: not provided"))),AND(IF(Metadata!D953="",FALSE,TRUE),OR(exact(Metadata!D953,"UBERON:zone of skin"),exact(Metadata!D953,"UBERON:skin of hand"),exact(Metadata!D953,"UBERON:skin of forehead"))))</f>
        <v>0</v>
      </c>
      <c r="T953">
        <f>AND(IF(Metadata!E953="",FALSE,TRUE),exact(Metadata!E953,"human skin metagenome"))</f>
        <v>0</v>
      </c>
      <c r="U953">
        <f>AND(IF(Metadata!F953="",FALSE,TRUE),exact(Metadata!F953,"539655"))</f>
        <v>0</v>
      </c>
    </row>
    <row r="954" spans="1:21">
      <c r="A954" s="4">
        <f>IF(B954=" "," ",HYPERLINK(CONCATENATE("#metadata!",ADDRESS(INDEX($L$2:$L$1001,MATCH(ROWS($J$2:J954),$J$2:$J$1001,0),0),1)),INDEX($O$2:$O$1001,MATCH(ROWS($J$2:J954),$J$2:$J$1001,0),0)))</f>
        <v>0</v>
      </c>
      <c r="B954" s="3">
        <f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>0</v>
      </c>
      <c r="C954" s="3">
        <f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>0</v>
      </c>
      <c r="D954" s="3">
        <f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>0</v>
      </c>
      <c r="E954" s="3">
        <f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>0</v>
      </c>
      <c r="F954" s="3">
        <f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>0</v>
      </c>
      <c r="J954">
        <v>0</v>
      </c>
      <c r="K954">
        <v>0</v>
      </c>
      <c r="L954">
        <v>0</v>
      </c>
      <c r="M954">
        <f>IF(N954,TRUE,AND(Q954:U954))</f>
        <v>0</v>
      </c>
      <c r="N954">
        <f>COUNTBLANK(Metadata!B954:F954)=COLUMNS(Metadata!B954:F954)</f>
        <v>0</v>
      </c>
      <c r="O954">
        <v>0</v>
      </c>
      <c r="Q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>
        <f>AND(IF(Metadata!C954="",FALSE,TRUE),exact(Metadata!C954,"human-skin"))</f>
        <v>0</v>
      </c>
      <c r="S954">
        <f>OR(AND(IF(Metadata!D954="",FALSE,TRUE),OR(exact(Metadata!D954,"missing: not collected"),exact(Metadata!D954,"missing: not provided"))),AND(IF(Metadata!D954="",FALSE,TRUE),OR(exact(Metadata!D954,"UBERON:zone of skin"),exact(Metadata!D954,"UBERON:skin of hand"),exact(Metadata!D954,"UBERON:skin of forehead"))))</f>
        <v>0</v>
      </c>
      <c r="T954">
        <f>AND(IF(Metadata!E954="",FALSE,TRUE),exact(Metadata!E954,"human skin metagenome"))</f>
        <v>0</v>
      </c>
      <c r="U954">
        <f>AND(IF(Metadata!F954="",FALSE,TRUE),exact(Metadata!F954,"539655"))</f>
        <v>0</v>
      </c>
    </row>
    <row r="955" spans="1:21">
      <c r="A955" s="4">
        <f>IF(B955=" "," ",HYPERLINK(CONCATENATE("#metadata!",ADDRESS(INDEX($L$2:$L$1001,MATCH(ROWS($J$2:J955),$J$2:$J$1001,0),0),1)),INDEX($O$2:$O$1001,MATCH(ROWS($J$2:J955),$J$2:$J$1001,0),0)))</f>
        <v>0</v>
      </c>
      <c r="B955" s="3">
        <f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>0</v>
      </c>
      <c r="C955" s="3">
        <f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>0</v>
      </c>
      <c r="D955" s="3">
        <f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>0</v>
      </c>
      <c r="E955" s="3">
        <f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>0</v>
      </c>
      <c r="F955" s="3">
        <f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>0</v>
      </c>
      <c r="J955">
        <v>0</v>
      </c>
      <c r="K955">
        <v>0</v>
      </c>
      <c r="L955">
        <v>0</v>
      </c>
      <c r="M955">
        <f>IF(N955,TRUE,AND(Q955:U955))</f>
        <v>0</v>
      </c>
      <c r="N955">
        <f>COUNTBLANK(Metadata!B955:F955)=COLUMNS(Metadata!B955:F955)</f>
        <v>0</v>
      </c>
      <c r="O955">
        <v>0</v>
      </c>
      <c r="Q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>
        <f>AND(IF(Metadata!C955="",FALSE,TRUE),exact(Metadata!C955,"human-skin"))</f>
        <v>0</v>
      </c>
      <c r="S955">
        <f>OR(AND(IF(Metadata!D955="",FALSE,TRUE),OR(exact(Metadata!D955,"missing: not collected"),exact(Metadata!D955,"missing: not provided"))),AND(IF(Metadata!D955="",FALSE,TRUE),OR(exact(Metadata!D955,"UBERON:zone of skin"),exact(Metadata!D955,"UBERON:skin of hand"),exact(Metadata!D955,"UBERON:skin of forehead"))))</f>
        <v>0</v>
      </c>
      <c r="T955">
        <f>AND(IF(Metadata!E955="",FALSE,TRUE),exact(Metadata!E955,"human skin metagenome"))</f>
        <v>0</v>
      </c>
      <c r="U955">
        <f>AND(IF(Metadata!F955="",FALSE,TRUE),exact(Metadata!F955,"539655"))</f>
        <v>0</v>
      </c>
    </row>
    <row r="956" spans="1:21">
      <c r="A956" s="4">
        <f>IF(B956=" "," ",HYPERLINK(CONCATENATE("#metadata!",ADDRESS(INDEX($L$2:$L$1001,MATCH(ROWS($J$2:J956),$J$2:$J$1001,0),0),1)),INDEX($O$2:$O$1001,MATCH(ROWS($J$2:J956),$J$2:$J$1001,0),0)))</f>
        <v>0</v>
      </c>
      <c r="B956" s="3">
        <f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>0</v>
      </c>
      <c r="C956" s="3">
        <f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>0</v>
      </c>
      <c r="D956" s="3">
        <f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>0</v>
      </c>
      <c r="E956" s="3">
        <f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>0</v>
      </c>
      <c r="F956" s="3">
        <f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>0</v>
      </c>
      <c r="J956">
        <v>0</v>
      </c>
      <c r="K956">
        <v>0</v>
      </c>
      <c r="L956">
        <v>0</v>
      </c>
      <c r="M956">
        <f>IF(N956,TRUE,AND(Q956:U956))</f>
        <v>0</v>
      </c>
      <c r="N956">
        <f>COUNTBLANK(Metadata!B956:F956)=COLUMNS(Metadata!B956:F956)</f>
        <v>0</v>
      </c>
      <c r="O956">
        <v>0</v>
      </c>
      <c r="Q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>
        <f>AND(IF(Metadata!C956="",FALSE,TRUE),exact(Metadata!C956,"human-skin"))</f>
        <v>0</v>
      </c>
      <c r="S956">
        <f>OR(AND(IF(Metadata!D956="",FALSE,TRUE),OR(exact(Metadata!D956,"missing: not collected"),exact(Metadata!D956,"missing: not provided"))),AND(IF(Metadata!D956="",FALSE,TRUE),OR(exact(Metadata!D956,"UBERON:zone of skin"),exact(Metadata!D956,"UBERON:skin of hand"),exact(Metadata!D956,"UBERON:skin of forehead"))))</f>
        <v>0</v>
      </c>
      <c r="T956">
        <f>AND(IF(Metadata!E956="",FALSE,TRUE),exact(Metadata!E956,"human skin metagenome"))</f>
        <v>0</v>
      </c>
      <c r="U956">
        <f>AND(IF(Metadata!F956="",FALSE,TRUE),exact(Metadata!F956,"539655"))</f>
        <v>0</v>
      </c>
    </row>
    <row r="957" spans="1:21">
      <c r="A957" s="4">
        <f>IF(B957=" "," ",HYPERLINK(CONCATENATE("#metadata!",ADDRESS(INDEX($L$2:$L$1001,MATCH(ROWS($J$2:J957),$J$2:$J$1001,0),0),1)),INDEX($O$2:$O$1001,MATCH(ROWS($J$2:J957),$J$2:$J$1001,0),0)))</f>
        <v>0</v>
      </c>
      <c r="B957" s="3">
        <f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>0</v>
      </c>
      <c r="C957" s="3">
        <f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>0</v>
      </c>
      <c r="D957" s="3">
        <f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>0</v>
      </c>
      <c r="E957" s="3">
        <f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>0</v>
      </c>
      <c r="F957" s="3">
        <f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>0</v>
      </c>
      <c r="J957">
        <v>0</v>
      </c>
      <c r="K957">
        <v>0</v>
      </c>
      <c r="L957">
        <v>0</v>
      </c>
      <c r="M957">
        <f>IF(N957,TRUE,AND(Q957:U957))</f>
        <v>0</v>
      </c>
      <c r="N957">
        <f>COUNTBLANK(Metadata!B957:F957)=COLUMNS(Metadata!B957:F957)</f>
        <v>0</v>
      </c>
      <c r="O957">
        <v>0</v>
      </c>
      <c r="Q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>
        <f>AND(IF(Metadata!C957="",FALSE,TRUE),exact(Metadata!C957,"human-skin"))</f>
        <v>0</v>
      </c>
      <c r="S957">
        <f>OR(AND(IF(Metadata!D957="",FALSE,TRUE),OR(exact(Metadata!D957,"missing: not collected"),exact(Metadata!D957,"missing: not provided"))),AND(IF(Metadata!D957="",FALSE,TRUE),OR(exact(Metadata!D957,"UBERON:zone of skin"),exact(Metadata!D957,"UBERON:skin of hand"),exact(Metadata!D957,"UBERON:skin of forehead"))))</f>
        <v>0</v>
      </c>
      <c r="T957">
        <f>AND(IF(Metadata!E957="",FALSE,TRUE),exact(Metadata!E957,"human skin metagenome"))</f>
        <v>0</v>
      </c>
      <c r="U957">
        <f>AND(IF(Metadata!F957="",FALSE,TRUE),exact(Metadata!F957,"539655"))</f>
        <v>0</v>
      </c>
    </row>
    <row r="958" spans="1:21">
      <c r="A958" s="4">
        <f>IF(B958=" "," ",HYPERLINK(CONCATENATE("#metadata!",ADDRESS(INDEX($L$2:$L$1001,MATCH(ROWS($J$2:J958),$J$2:$J$1001,0),0),1)),INDEX($O$2:$O$1001,MATCH(ROWS($J$2:J958),$J$2:$J$1001,0),0)))</f>
        <v>0</v>
      </c>
      <c r="B958" s="3">
        <f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>0</v>
      </c>
      <c r="C958" s="3">
        <f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>0</v>
      </c>
      <c r="D958" s="3">
        <f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>0</v>
      </c>
      <c r="E958" s="3">
        <f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>0</v>
      </c>
      <c r="F958" s="3">
        <f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>0</v>
      </c>
      <c r="J958">
        <v>0</v>
      </c>
      <c r="K958">
        <v>0</v>
      </c>
      <c r="L958">
        <v>0</v>
      </c>
      <c r="M958">
        <f>IF(N958,TRUE,AND(Q958:U958))</f>
        <v>0</v>
      </c>
      <c r="N958">
        <f>COUNTBLANK(Metadata!B958:F958)=COLUMNS(Metadata!B958:F958)</f>
        <v>0</v>
      </c>
      <c r="O958">
        <v>0</v>
      </c>
      <c r="Q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>
        <f>AND(IF(Metadata!C958="",FALSE,TRUE),exact(Metadata!C958,"human-skin"))</f>
        <v>0</v>
      </c>
      <c r="S958">
        <f>OR(AND(IF(Metadata!D958="",FALSE,TRUE),OR(exact(Metadata!D958,"missing: not collected"),exact(Metadata!D958,"missing: not provided"))),AND(IF(Metadata!D958="",FALSE,TRUE),OR(exact(Metadata!D958,"UBERON:zone of skin"),exact(Metadata!D958,"UBERON:skin of hand"),exact(Metadata!D958,"UBERON:skin of forehead"))))</f>
        <v>0</v>
      </c>
      <c r="T958">
        <f>AND(IF(Metadata!E958="",FALSE,TRUE),exact(Metadata!E958,"human skin metagenome"))</f>
        <v>0</v>
      </c>
      <c r="U958">
        <f>AND(IF(Metadata!F958="",FALSE,TRUE),exact(Metadata!F958,"539655"))</f>
        <v>0</v>
      </c>
    </row>
    <row r="959" spans="1:21">
      <c r="A959" s="4">
        <f>IF(B959=" "," ",HYPERLINK(CONCATENATE("#metadata!",ADDRESS(INDEX($L$2:$L$1001,MATCH(ROWS($J$2:J959),$J$2:$J$1001,0),0),1)),INDEX($O$2:$O$1001,MATCH(ROWS($J$2:J959),$J$2:$J$1001,0),0)))</f>
        <v>0</v>
      </c>
      <c r="B959" s="3">
        <f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>0</v>
      </c>
      <c r="C959" s="3">
        <f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>0</v>
      </c>
      <c r="D959" s="3">
        <f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>0</v>
      </c>
      <c r="E959" s="3">
        <f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>0</v>
      </c>
      <c r="F959" s="3">
        <f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>0</v>
      </c>
      <c r="J959">
        <v>0</v>
      </c>
      <c r="K959">
        <v>0</v>
      </c>
      <c r="L959">
        <v>0</v>
      </c>
      <c r="M959">
        <f>IF(N959,TRUE,AND(Q959:U959))</f>
        <v>0</v>
      </c>
      <c r="N959">
        <f>COUNTBLANK(Metadata!B959:F959)=COLUMNS(Metadata!B959:F959)</f>
        <v>0</v>
      </c>
      <c r="O959">
        <v>0</v>
      </c>
      <c r="Q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>
        <f>AND(IF(Metadata!C959="",FALSE,TRUE),exact(Metadata!C959,"human-skin"))</f>
        <v>0</v>
      </c>
      <c r="S959">
        <f>OR(AND(IF(Metadata!D959="",FALSE,TRUE),OR(exact(Metadata!D959,"missing: not collected"),exact(Metadata!D959,"missing: not provided"))),AND(IF(Metadata!D959="",FALSE,TRUE),OR(exact(Metadata!D959,"UBERON:zone of skin"),exact(Metadata!D959,"UBERON:skin of hand"),exact(Metadata!D959,"UBERON:skin of forehead"))))</f>
        <v>0</v>
      </c>
      <c r="T959">
        <f>AND(IF(Metadata!E959="",FALSE,TRUE),exact(Metadata!E959,"human skin metagenome"))</f>
        <v>0</v>
      </c>
      <c r="U959">
        <f>AND(IF(Metadata!F959="",FALSE,TRUE),exact(Metadata!F959,"539655"))</f>
        <v>0</v>
      </c>
    </row>
    <row r="960" spans="1:21">
      <c r="A960" s="4">
        <f>IF(B960=" "," ",HYPERLINK(CONCATENATE("#metadata!",ADDRESS(INDEX($L$2:$L$1001,MATCH(ROWS($J$2:J960),$J$2:$J$1001,0),0),1)),INDEX($O$2:$O$1001,MATCH(ROWS($J$2:J960),$J$2:$J$1001,0),0)))</f>
        <v>0</v>
      </c>
      <c r="B960" s="3">
        <f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>0</v>
      </c>
      <c r="C960" s="3">
        <f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>0</v>
      </c>
      <c r="D960" s="3">
        <f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>0</v>
      </c>
      <c r="E960" s="3">
        <f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>0</v>
      </c>
      <c r="F960" s="3">
        <f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>0</v>
      </c>
      <c r="J960">
        <v>0</v>
      </c>
      <c r="K960">
        <v>0</v>
      </c>
      <c r="L960">
        <v>0</v>
      </c>
      <c r="M960">
        <f>IF(N960,TRUE,AND(Q960:U960))</f>
        <v>0</v>
      </c>
      <c r="N960">
        <f>COUNTBLANK(Metadata!B960:F960)=COLUMNS(Metadata!B960:F960)</f>
        <v>0</v>
      </c>
      <c r="O960">
        <v>0</v>
      </c>
      <c r="Q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>
        <f>AND(IF(Metadata!C960="",FALSE,TRUE),exact(Metadata!C960,"human-skin"))</f>
        <v>0</v>
      </c>
      <c r="S960">
        <f>OR(AND(IF(Metadata!D960="",FALSE,TRUE),OR(exact(Metadata!D960,"missing: not collected"),exact(Metadata!D960,"missing: not provided"))),AND(IF(Metadata!D960="",FALSE,TRUE),OR(exact(Metadata!D960,"UBERON:zone of skin"),exact(Metadata!D960,"UBERON:skin of hand"),exact(Metadata!D960,"UBERON:skin of forehead"))))</f>
        <v>0</v>
      </c>
      <c r="T960">
        <f>AND(IF(Metadata!E960="",FALSE,TRUE),exact(Metadata!E960,"human skin metagenome"))</f>
        <v>0</v>
      </c>
      <c r="U960">
        <f>AND(IF(Metadata!F960="",FALSE,TRUE),exact(Metadata!F960,"539655"))</f>
        <v>0</v>
      </c>
    </row>
    <row r="961" spans="1:21">
      <c r="A961" s="4">
        <f>IF(B961=" "," ",HYPERLINK(CONCATENATE("#metadata!",ADDRESS(INDEX($L$2:$L$1001,MATCH(ROWS($J$2:J961),$J$2:$J$1001,0),0),1)),INDEX($O$2:$O$1001,MATCH(ROWS($J$2:J961),$J$2:$J$1001,0),0)))</f>
        <v>0</v>
      </c>
      <c r="B961" s="3">
        <f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>0</v>
      </c>
      <c r="C961" s="3">
        <f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>0</v>
      </c>
      <c r="D961" s="3">
        <f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>0</v>
      </c>
      <c r="E961" s="3">
        <f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>0</v>
      </c>
      <c r="F961" s="3">
        <f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>0</v>
      </c>
      <c r="J961">
        <v>0</v>
      </c>
      <c r="K961">
        <v>0</v>
      </c>
      <c r="L961">
        <v>0</v>
      </c>
      <c r="M961">
        <f>IF(N961,TRUE,AND(Q961:U961))</f>
        <v>0</v>
      </c>
      <c r="N961">
        <f>COUNTBLANK(Metadata!B961:F961)=COLUMNS(Metadata!B961:F961)</f>
        <v>0</v>
      </c>
      <c r="O961">
        <v>0</v>
      </c>
      <c r="Q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>
        <f>AND(IF(Metadata!C961="",FALSE,TRUE),exact(Metadata!C961,"human-skin"))</f>
        <v>0</v>
      </c>
      <c r="S961">
        <f>OR(AND(IF(Metadata!D961="",FALSE,TRUE),OR(exact(Metadata!D961,"missing: not collected"),exact(Metadata!D961,"missing: not provided"))),AND(IF(Metadata!D961="",FALSE,TRUE),OR(exact(Metadata!D961,"UBERON:zone of skin"),exact(Metadata!D961,"UBERON:skin of hand"),exact(Metadata!D961,"UBERON:skin of forehead"))))</f>
        <v>0</v>
      </c>
      <c r="T961">
        <f>AND(IF(Metadata!E961="",FALSE,TRUE),exact(Metadata!E961,"human skin metagenome"))</f>
        <v>0</v>
      </c>
      <c r="U961">
        <f>AND(IF(Metadata!F961="",FALSE,TRUE),exact(Metadata!F961,"539655"))</f>
        <v>0</v>
      </c>
    </row>
    <row r="962" spans="1:21">
      <c r="A962" s="4">
        <f>IF(B962=" "," ",HYPERLINK(CONCATENATE("#metadata!",ADDRESS(INDEX($L$2:$L$1001,MATCH(ROWS($J$2:J962),$J$2:$J$1001,0),0),1)),INDEX($O$2:$O$1001,MATCH(ROWS($J$2:J962),$J$2:$J$1001,0),0)))</f>
        <v>0</v>
      </c>
      <c r="B962" s="3">
        <f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>0</v>
      </c>
      <c r="C962" s="3">
        <f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>0</v>
      </c>
      <c r="D962" s="3">
        <f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>0</v>
      </c>
      <c r="E962" s="3">
        <f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>0</v>
      </c>
      <c r="F962" s="3">
        <f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>0</v>
      </c>
      <c r="J962">
        <v>0</v>
      </c>
      <c r="K962">
        <v>0</v>
      </c>
      <c r="L962">
        <v>0</v>
      </c>
      <c r="M962">
        <f>IF(N962,TRUE,AND(Q962:U962))</f>
        <v>0</v>
      </c>
      <c r="N962">
        <f>COUNTBLANK(Metadata!B962:F962)=COLUMNS(Metadata!B962:F962)</f>
        <v>0</v>
      </c>
      <c r="O962">
        <v>0</v>
      </c>
      <c r="Q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>
        <f>AND(IF(Metadata!C962="",FALSE,TRUE),exact(Metadata!C962,"human-skin"))</f>
        <v>0</v>
      </c>
      <c r="S962">
        <f>OR(AND(IF(Metadata!D962="",FALSE,TRUE),OR(exact(Metadata!D962,"missing: not collected"),exact(Metadata!D962,"missing: not provided"))),AND(IF(Metadata!D962="",FALSE,TRUE),OR(exact(Metadata!D962,"UBERON:zone of skin"),exact(Metadata!D962,"UBERON:skin of hand"),exact(Metadata!D962,"UBERON:skin of forehead"))))</f>
        <v>0</v>
      </c>
      <c r="T962">
        <f>AND(IF(Metadata!E962="",FALSE,TRUE),exact(Metadata!E962,"human skin metagenome"))</f>
        <v>0</v>
      </c>
      <c r="U962">
        <f>AND(IF(Metadata!F962="",FALSE,TRUE),exact(Metadata!F962,"539655"))</f>
        <v>0</v>
      </c>
    </row>
    <row r="963" spans="1:21">
      <c r="A963" s="4">
        <f>IF(B963=" "," ",HYPERLINK(CONCATENATE("#metadata!",ADDRESS(INDEX($L$2:$L$1001,MATCH(ROWS($J$2:J963),$J$2:$J$1001,0),0),1)),INDEX($O$2:$O$1001,MATCH(ROWS($J$2:J963),$J$2:$J$1001,0),0)))</f>
        <v>0</v>
      </c>
      <c r="B963" s="3">
        <f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>0</v>
      </c>
      <c r="C963" s="3">
        <f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>0</v>
      </c>
      <c r="D963" s="3">
        <f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>0</v>
      </c>
      <c r="E963" s="3">
        <f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>0</v>
      </c>
      <c r="F963" s="3">
        <f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>0</v>
      </c>
      <c r="J963">
        <v>0</v>
      </c>
      <c r="K963">
        <v>0</v>
      </c>
      <c r="L963">
        <v>0</v>
      </c>
      <c r="M963">
        <f>IF(N963,TRUE,AND(Q963:U963))</f>
        <v>0</v>
      </c>
      <c r="N963">
        <f>COUNTBLANK(Metadata!B963:F963)=COLUMNS(Metadata!B963:F963)</f>
        <v>0</v>
      </c>
      <c r="O963">
        <v>0</v>
      </c>
      <c r="Q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>
        <f>AND(IF(Metadata!C963="",FALSE,TRUE),exact(Metadata!C963,"human-skin"))</f>
        <v>0</v>
      </c>
      <c r="S963">
        <f>OR(AND(IF(Metadata!D963="",FALSE,TRUE),OR(exact(Metadata!D963,"missing: not collected"),exact(Metadata!D963,"missing: not provided"))),AND(IF(Metadata!D963="",FALSE,TRUE),OR(exact(Metadata!D963,"UBERON:zone of skin"),exact(Metadata!D963,"UBERON:skin of hand"),exact(Metadata!D963,"UBERON:skin of forehead"))))</f>
        <v>0</v>
      </c>
      <c r="T963">
        <f>AND(IF(Metadata!E963="",FALSE,TRUE),exact(Metadata!E963,"human skin metagenome"))</f>
        <v>0</v>
      </c>
      <c r="U963">
        <f>AND(IF(Metadata!F963="",FALSE,TRUE),exact(Metadata!F963,"539655"))</f>
        <v>0</v>
      </c>
    </row>
    <row r="964" spans="1:21">
      <c r="A964" s="4">
        <f>IF(B964=" "," ",HYPERLINK(CONCATENATE("#metadata!",ADDRESS(INDEX($L$2:$L$1001,MATCH(ROWS($J$2:J964),$J$2:$J$1001,0),0),1)),INDEX($O$2:$O$1001,MATCH(ROWS($J$2:J964),$J$2:$J$1001,0),0)))</f>
        <v>0</v>
      </c>
      <c r="B964" s="3">
        <f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>0</v>
      </c>
      <c r="C964" s="3">
        <f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>0</v>
      </c>
      <c r="D964" s="3">
        <f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>0</v>
      </c>
      <c r="E964" s="3">
        <f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>0</v>
      </c>
      <c r="F964" s="3">
        <f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>0</v>
      </c>
      <c r="J964">
        <v>0</v>
      </c>
      <c r="K964">
        <v>0</v>
      </c>
      <c r="L964">
        <v>0</v>
      </c>
      <c r="M964">
        <f>IF(N964,TRUE,AND(Q964:U964))</f>
        <v>0</v>
      </c>
      <c r="N964">
        <f>COUNTBLANK(Metadata!B964:F964)=COLUMNS(Metadata!B964:F964)</f>
        <v>0</v>
      </c>
      <c r="O964">
        <v>0</v>
      </c>
      <c r="Q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>
        <f>AND(IF(Metadata!C964="",FALSE,TRUE),exact(Metadata!C964,"human-skin"))</f>
        <v>0</v>
      </c>
      <c r="S964">
        <f>OR(AND(IF(Metadata!D964="",FALSE,TRUE),OR(exact(Metadata!D964,"missing: not collected"),exact(Metadata!D964,"missing: not provided"))),AND(IF(Metadata!D964="",FALSE,TRUE),OR(exact(Metadata!D964,"UBERON:zone of skin"),exact(Metadata!D964,"UBERON:skin of hand"),exact(Metadata!D964,"UBERON:skin of forehead"))))</f>
        <v>0</v>
      </c>
      <c r="T964">
        <f>AND(IF(Metadata!E964="",FALSE,TRUE),exact(Metadata!E964,"human skin metagenome"))</f>
        <v>0</v>
      </c>
      <c r="U964">
        <f>AND(IF(Metadata!F964="",FALSE,TRUE),exact(Metadata!F964,"539655"))</f>
        <v>0</v>
      </c>
    </row>
    <row r="965" spans="1:21">
      <c r="A965" s="4">
        <f>IF(B965=" "," ",HYPERLINK(CONCATENATE("#metadata!",ADDRESS(INDEX($L$2:$L$1001,MATCH(ROWS($J$2:J965),$J$2:$J$1001,0),0),1)),INDEX($O$2:$O$1001,MATCH(ROWS($J$2:J965),$J$2:$J$1001,0),0)))</f>
        <v>0</v>
      </c>
      <c r="B965" s="3">
        <f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>0</v>
      </c>
      <c r="C965" s="3">
        <f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>0</v>
      </c>
      <c r="D965" s="3">
        <f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>0</v>
      </c>
      <c r="E965" s="3">
        <f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>0</v>
      </c>
      <c r="F965" s="3">
        <f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>0</v>
      </c>
      <c r="J965">
        <v>0</v>
      </c>
      <c r="K965">
        <v>0</v>
      </c>
      <c r="L965">
        <v>0</v>
      </c>
      <c r="M965">
        <f>IF(N965,TRUE,AND(Q965:U965))</f>
        <v>0</v>
      </c>
      <c r="N965">
        <f>COUNTBLANK(Metadata!B965:F965)=COLUMNS(Metadata!B965:F965)</f>
        <v>0</v>
      </c>
      <c r="O965">
        <v>0</v>
      </c>
      <c r="Q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>
        <f>AND(IF(Metadata!C965="",FALSE,TRUE),exact(Metadata!C965,"human-skin"))</f>
        <v>0</v>
      </c>
      <c r="S965">
        <f>OR(AND(IF(Metadata!D965="",FALSE,TRUE),OR(exact(Metadata!D965,"missing: not collected"),exact(Metadata!D965,"missing: not provided"))),AND(IF(Metadata!D965="",FALSE,TRUE),OR(exact(Metadata!D965,"UBERON:zone of skin"),exact(Metadata!D965,"UBERON:skin of hand"),exact(Metadata!D965,"UBERON:skin of forehead"))))</f>
        <v>0</v>
      </c>
      <c r="T965">
        <f>AND(IF(Metadata!E965="",FALSE,TRUE),exact(Metadata!E965,"human skin metagenome"))</f>
        <v>0</v>
      </c>
      <c r="U965">
        <f>AND(IF(Metadata!F965="",FALSE,TRUE),exact(Metadata!F965,"539655"))</f>
        <v>0</v>
      </c>
    </row>
    <row r="966" spans="1:21">
      <c r="A966" s="4">
        <f>IF(B966=" "," ",HYPERLINK(CONCATENATE("#metadata!",ADDRESS(INDEX($L$2:$L$1001,MATCH(ROWS($J$2:J966),$J$2:$J$1001,0),0),1)),INDEX($O$2:$O$1001,MATCH(ROWS($J$2:J966),$J$2:$J$1001,0),0)))</f>
        <v>0</v>
      </c>
      <c r="B966" s="3">
        <f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>0</v>
      </c>
      <c r="C966" s="3">
        <f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>0</v>
      </c>
      <c r="D966" s="3">
        <f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>0</v>
      </c>
      <c r="E966" s="3">
        <f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>0</v>
      </c>
      <c r="F966" s="3">
        <f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>0</v>
      </c>
      <c r="J966">
        <v>0</v>
      </c>
      <c r="K966">
        <v>0</v>
      </c>
      <c r="L966">
        <v>0</v>
      </c>
      <c r="M966">
        <f>IF(N966,TRUE,AND(Q966:U966))</f>
        <v>0</v>
      </c>
      <c r="N966">
        <f>COUNTBLANK(Metadata!B966:F966)=COLUMNS(Metadata!B966:F966)</f>
        <v>0</v>
      </c>
      <c r="O966">
        <v>0</v>
      </c>
      <c r="Q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>
        <f>AND(IF(Metadata!C966="",FALSE,TRUE),exact(Metadata!C966,"human-skin"))</f>
        <v>0</v>
      </c>
      <c r="S966">
        <f>OR(AND(IF(Metadata!D966="",FALSE,TRUE),OR(exact(Metadata!D966,"missing: not collected"),exact(Metadata!D966,"missing: not provided"))),AND(IF(Metadata!D966="",FALSE,TRUE),OR(exact(Metadata!D966,"UBERON:zone of skin"),exact(Metadata!D966,"UBERON:skin of hand"),exact(Metadata!D966,"UBERON:skin of forehead"))))</f>
        <v>0</v>
      </c>
      <c r="T966">
        <f>AND(IF(Metadata!E966="",FALSE,TRUE),exact(Metadata!E966,"human skin metagenome"))</f>
        <v>0</v>
      </c>
      <c r="U966">
        <f>AND(IF(Metadata!F966="",FALSE,TRUE),exact(Metadata!F966,"539655"))</f>
        <v>0</v>
      </c>
    </row>
    <row r="967" spans="1:21">
      <c r="A967" s="4">
        <f>IF(B967=" "," ",HYPERLINK(CONCATENATE("#metadata!",ADDRESS(INDEX($L$2:$L$1001,MATCH(ROWS($J$2:J967),$J$2:$J$1001,0),0),1)),INDEX($O$2:$O$1001,MATCH(ROWS($J$2:J967),$J$2:$J$1001,0),0)))</f>
        <v>0</v>
      </c>
      <c r="B967" s="3">
        <f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>0</v>
      </c>
      <c r="C967" s="3">
        <f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>0</v>
      </c>
      <c r="D967" s="3">
        <f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>0</v>
      </c>
      <c r="E967" s="3">
        <f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>0</v>
      </c>
      <c r="F967" s="3">
        <f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>0</v>
      </c>
      <c r="J967">
        <v>0</v>
      </c>
      <c r="K967">
        <v>0</v>
      </c>
      <c r="L967">
        <v>0</v>
      </c>
      <c r="M967">
        <f>IF(N967,TRUE,AND(Q967:U967))</f>
        <v>0</v>
      </c>
      <c r="N967">
        <f>COUNTBLANK(Metadata!B967:F967)=COLUMNS(Metadata!B967:F967)</f>
        <v>0</v>
      </c>
      <c r="O967">
        <v>0</v>
      </c>
      <c r="Q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>
        <f>AND(IF(Metadata!C967="",FALSE,TRUE),exact(Metadata!C967,"human-skin"))</f>
        <v>0</v>
      </c>
      <c r="S967">
        <f>OR(AND(IF(Metadata!D967="",FALSE,TRUE),OR(exact(Metadata!D967,"missing: not collected"),exact(Metadata!D967,"missing: not provided"))),AND(IF(Metadata!D967="",FALSE,TRUE),OR(exact(Metadata!D967,"UBERON:zone of skin"),exact(Metadata!D967,"UBERON:skin of hand"),exact(Metadata!D967,"UBERON:skin of forehead"))))</f>
        <v>0</v>
      </c>
      <c r="T967">
        <f>AND(IF(Metadata!E967="",FALSE,TRUE),exact(Metadata!E967,"human skin metagenome"))</f>
        <v>0</v>
      </c>
      <c r="U967">
        <f>AND(IF(Metadata!F967="",FALSE,TRUE),exact(Metadata!F967,"539655"))</f>
        <v>0</v>
      </c>
    </row>
    <row r="968" spans="1:21">
      <c r="A968" s="4">
        <f>IF(B968=" "," ",HYPERLINK(CONCATENATE("#metadata!",ADDRESS(INDEX($L$2:$L$1001,MATCH(ROWS($J$2:J968),$J$2:$J$1001,0),0),1)),INDEX($O$2:$O$1001,MATCH(ROWS($J$2:J968),$J$2:$J$1001,0),0)))</f>
        <v>0</v>
      </c>
      <c r="B968" s="3">
        <f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>0</v>
      </c>
      <c r="C968" s="3">
        <f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>0</v>
      </c>
      <c r="D968" s="3">
        <f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>0</v>
      </c>
      <c r="E968" s="3">
        <f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>0</v>
      </c>
      <c r="F968" s="3">
        <f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>0</v>
      </c>
      <c r="J968">
        <v>0</v>
      </c>
      <c r="K968">
        <v>0</v>
      </c>
      <c r="L968">
        <v>0</v>
      </c>
      <c r="M968">
        <f>IF(N968,TRUE,AND(Q968:U968))</f>
        <v>0</v>
      </c>
      <c r="N968">
        <f>COUNTBLANK(Metadata!B968:F968)=COLUMNS(Metadata!B968:F968)</f>
        <v>0</v>
      </c>
      <c r="O968">
        <v>0</v>
      </c>
      <c r="Q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>
        <f>AND(IF(Metadata!C968="",FALSE,TRUE),exact(Metadata!C968,"human-skin"))</f>
        <v>0</v>
      </c>
      <c r="S968">
        <f>OR(AND(IF(Metadata!D968="",FALSE,TRUE),OR(exact(Metadata!D968,"missing: not collected"),exact(Metadata!D968,"missing: not provided"))),AND(IF(Metadata!D968="",FALSE,TRUE),OR(exact(Metadata!D968,"UBERON:zone of skin"),exact(Metadata!D968,"UBERON:skin of hand"),exact(Metadata!D968,"UBERON:skin of forehead"))))</f>
        <v>0</v>
      </c>
      <c r="T968">
        <f>AND(IF(Metadata!E968="",FALSE,TRUE),exact(Metadata!E968,"human skin metagenome"))</f>
        <v>0</v>
      </c>
      <c r="U968">
        <f>AND(IF(Metadata!F968="",FALSE,TRUE),exact(Metadata!F968,"539655"))</f>
        <v>0</v>
      </c>
    </row>
    <row r="969" spans="1:21">
      <c r="A969" s="4">
        <f>IF(B969=" "," ",HYPERLINK(CONCATENATE("#metadata!",ADDRESS(INDEX($L$2:$L$1001,MATCH(ROWS($J$2:J969),$J$2:$J$1001,0),0),1)),INDEX($O$2:$O$1001,MATCH(ROWS($J$2:J969),$J$2:$J$1001,0),0)))</f>
        <v>0</v>
      </c>
      <c r="B969" s="3">
        <f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>0</v>
      </c>
      <c r="C969" s="3">
        <f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>0</v>
      </c>
      <c r="D969" s="3">
        <f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>0</v>
      </c>
      <c r="E969" s="3">
        <f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>0</v>
      </c>
      <c r="F969" s="3">
        <f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>0</v>
      </c>
      <c r="J969">
        <v>0</v>
      </c>
      <c r="K969">
        <v>0</v>
      </c>
      <c r="L969">
        <v>0</v>
      </c>
      <c r="M969">
        <f>IF(N969,TRUE,AND(Q969:U969))</f>
        <v>0</v>
      </c>
      <c r="N969">
        <f>COUNTBLANK(Metadata!B969:F969)=COLUMNS(Metadata!B969:F969)</f>
        <v>0</v>
      </c>
      <c r="O969">
        <v>0</v>
      </c>
      <c r="Q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>
        <f>AND(IF(Metadata!C969="",FALSE,TRUE),exact(Metadata!C969,"human-skin"))</f>
        <v>0</v>
      </c>
      <c r="S969">
        <f>OR(AND(IF(Metadata!D969="",FALSE,TRUE),OR(exact(Metadata!D969,"missing: not collected"),exact(Metadata!D969,"missing: not provided"))),AND(IF(Metadata!D969="",FALSE,TRUE),OR(exact(Metadata!D969,"UBERON:zone of skin"),exact(Metadata!D969,"UBERON:skin of hand"),exact(Metadata!D969,"UBERON:skin of forehead"))))</f>
        <v>0</v>
      </c>
      <c r="T969">
        <f>AND(IF(Metadata!E969="",FALSE,TRUE),exact(Metadata!E969,"human skin metagenome"))</f>
        <v>0</v>
      </c>
      <c r="U969">
        <f>AND(IF(Metadata!F969="",FALSE,TRUE),exact(Metadata!F969,"539655"))</f>
        <v>0</v>
      </c>
    </row>
    <row r="970" spans="1:21">
      <c r="A970" s="4">
        <f>IF(B970=" "," ",HYPERLINK(CONCATENATE("#metadata!",ADDRESS(INDEX($L$2:$L$1001,MATCH(ROWS($J$2:J970),$J$2:$J$1001,0),0),1)),INDEX($O$2:$O$1001,MATCH(ROWS($J$2:J970),$J$2:$J$1001,0),0)))</f>
        <v>0</v>
      </c>
      <c r="B970" s="3">
        <f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>0</v>
      </c>
      <c r="C970" s="3">
        <f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>0</v>
      </c>
      <c r="D970" s="3">
        <f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>0</v>
      </c>
      <c r="E970" s="3">
        <f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>0</v>
      </c>
      <c r="F970" s="3">
        <f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>0</v>
      </c>
      <c r="J970">
        <v>0</v>
      </c>
      <c r="K970">
        <v>0</v>
      </c>
      <c r="L970">
        <v>0</v>
      </c>
      <c r="M970">
        <f>IF(N970,TRUE,AND(Q970:U970))</f>
        <v>0</v>
      </c>
      <c r="N970">
        <f>COUNTBLANK(Metadata!B970:F970)=COLUMNS(Metadata!B970:F970)</f>
        <v>0</v>
      </c>
      <c r="O970">
        <v>0</v>
      </c>
      <c r="Q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>
        <f>AND(IF(Metadata!C970="",FALSE,TRUE),exact(Metadata!C970,"human-skin"))</f>
        <v>0</v>
      </c>
      <c r="S970">
        <f>OR(AND(IF(Metadata!D970="",FALSE,TRUE),OR(exact(Metadata!D970,"missing: not collected"),exact(Metadata!D970,"missing: not provided"))),AND(IF(Metadata!D970="",FALSE,TRUE),OR(exact(Metadata!D970,"UBERON:zone of skin"),exact(Metadata!D970,"UBERON:skin of hand"),exact(Metadata!D970,"UBERON:skin of forehead"))))</f>
        <v>0</v>
      </c>
      <c r="T970">
        <f>AND(IF(Metadata!E970="",FALSE,TRUE),exact(Metadata!E970,"human skin metagenome"))</f>
        <v>0</v>
      </c>
      <c r="U970">
        <f>AND(IF(Metadata!F970="",FALSE,TRUE),exact(Metadata!F970,"539655"))</f>
        <v>0</v>
      </c>
    </row>
    <row r="971" spans="1:21">
      <c r="A971" s="4">
        <f>IF(B971=" "," ",HYPERLINK(CONCATENATE("#metadata!",ADDRESS(INDEX($L$2:$L$1001,MATCH(ROWS($J$2:J971),$J$2:$J$1001,0),0),1)),INDEX($O$2:$O$1001,MATCH(ROWS($J$2:J971),$J$2:$J$1001,0),0)))</f>
        <v>0</v>
      </c>
      <c r="B971" s="3">
        <f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>0</v>
      </c>
      <c r="C971" s="3">
        <f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>0</v>
      </c>
      <c r="D971" s="3">
        <f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>0</v>
      </c>
      <c r="E971" s="3">
        <f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>0</v>
      </c>
      <c r="F971" s="3">
        <f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>0</v>
      </c>
      <c r="J971">
        <v>0</v>
      </c>
      <c r="K971">
        <v>0</v>
      </c>
      <c r="L971">
        <v>0</v>
      </c>
      <c r="M971">
        <f>IF(N971,TRUE,AND(Q971:U971))</f>
        <v>0</v>
      </c>
      <c r="N971">
        <f>COUNTBLANK(Metadata!B971:F971)=COLUMNS(Metadata!B971:F971)</f>
        <v>0</v>
      </c>
      <c r="O971">
        <v>0</v>
      </c>
      <c r="Q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>
        <f>AND(IF(Metadata!C971="",FALSE,TRUE),exact(Metadata!C971,"human-skin"))</f>
        <v>0</v>
      </c>
      <c r="S971">
        <f>OR(AND(IF(Metadata!D971="",FALSE,TRUE),OR(exact(Metadata!D971,"missing: not collected"),exact(Metadata!D971,"missing: not provided"))),AND(IF(Metadata!D971="",FALSE,TRUE),OR(exact(Metadata!D971,"UBERON:zone of skin"),exact(Metadata!D971,"UBERON:skin of hand"),exact(Metadata!D971,"UBERON:skin of forehead"))))</f>
        <v>0</v>
      </c>
      <c r="T971">
        <f>AND(IF(Metadata!E971="",FALSE,TRUE),exact(Metadata!E971,"human skin metagenome"))</f>
        <v>0</v>
      </c>
      <c r="U971">
        <f>AND(IF(Metadata!F971="",FALSE,TRUE),exact(Metadata!F971,"539655"))</f>
        <v>0</v>
      </c>
    </row>
    <row r="972" spans="1:21">
      <c r="A972" s="4">
        <f>IF(B972=" "," ",HYPERLINK(CONCATENATE("#metadata!",ADDRESS(INDEX($L$2:$L$1001,MATCH(ROWS($J$2:J972),$J$2:$J$1001,0),0),1)),INDEX($O$2:$O$1001,MATCH(ROWS($J$2:J972),$J$2:$J$1001,0),0)))</f>
        <v>0</v>
      </c>
      <c r="B972" s="3">
        <f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>0</v>
      </c>
      <c r="C972" s="3">
        <f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>0</v>
      </c>
      <c r="D972" s="3">
        <f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>0</v>
      </c>
      <c r="E972" s="3">
        <f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>0</v>
      </c>
      <c r="F972" s="3">
        <f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>0</v>
      </c>
      <c r="J972">
        <v>0</v>
      </c>
      <c r="K972">
        <v>0</v>
      </c>
      <c r="L972">
        <v>0</v>
      </c>
      <c r="M972">
        <f>IF(N972,TRUE,AND(Q972:U972))</f>
        <v>0</v>
      </c>
      <c r="N972">
        <f>COUNTBLANK(Metadata!B972:F972)=COLUMNS(Metadata!B972:F972)</f>
        <v>0</v>
      </c>
      <c r="O972">
        <v>0</v>
      </c>
      <c r="Q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>
        <f>AND(IF(Metadata!C972="",FALSE,TRUE),exact(Metadata!C972,"human-skin"))</f>
        <v>0</v>
      </c>
      <c r="S972">
        <f>OR(AND(IF(Metadata!D972="",FALSE,TRUE),OR(exact(Metadata!D972,"missing: not collected"),exact(Metadata!D972,"missing: not provided"))),AND(IF(Metadata!D972="",FALSE,TRUE),OR(exact(Metadata!D972,"UBERON:zone of skin"),exact(Metadata!D972,"UBERON:skin of hand"),exact(Metadata!D972,"UBERON:skin of forehead"))))</f>
        <v>0</v>
      </c>
      <c r="T972">
        <f>AND(IF(Metadata!E972="",FALSE,TRUE),exact(Metadata!E972,"human skin metagenome"))</f>
        <v>0</v>
      </c>
      <c r="U972">
        <f>AND(IF(Metadata!F972="",FALSE,TRUE),exact(Metadata!F972,"539655"))</f>
        <v>0</v>
      </c>
    </row>
    <row r="973" spans="1:21">
      <c r="A973" s="4">
        <f>IF(B973=" "," ",HYPERLINK(CONCATENATE("#metadata!",ADDRESS(INDEX($L$2:$L$1001,MATCH(ROWS($J$2:J973),$J$2:$J$1001,0),0),1)),INDEX($O$2:$O$1001,MATCH(ROWS($J$2:J973),$J$2:$J$1001,0),0)))</f>
        <v>0</v>
      </c>
      <c r="B973" s="3">
        <f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>0</v>
      </c>
      <c r="C973" s="3">
        <f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>0</v>
      </c>
      <c r="D973" s="3">
        <f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>0</v>
      </c>
      <c r="E973" s="3">
        <f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>0</v>
      </c>
      <c r="F973" s="3">
        <f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>0</v>
      </c>
      <c r="J973">
        <v>0</v>
      </c>
      <c r="K973">
        <v>0</v>
      </c>
      <c r="L973">
        <v>0</v>
      </c>
      <c r="M973">
        <f>IF(N973,TRUE,AND(Q973:U973))</f>
        <v>0</v>
      </c>
      <c r="N973">
        <f>COUNTBLANK(Metadata!B973:F973)=COLUMNS(Metadata!B973:F973)</f>
        <v>0</v>
      </c>
      <c r="O973">
        <v>0</v>
      </c>
      <c r="Q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>
        <f>AND(IF(Metadata!C973="",FALSE,TRUE),exact(Metadata!C973,"human-skin"))</f>
        <v>0</v>
      </c>
      <c r="S973">
        <f>OR(AND(IF(Metadata!D973="",FALSE,TRUE),OR(exact(Metadata!D973,"missing: not collected"),exact(Metadata!D973,"missing: not provided"))),AND(IF(Metadata!D973="",FALSE,TRUE),OR(exact(Metadata!D973,"UBERON:zone of skin"),exact(Metadata!D973,"UBERON:skin of hand"),exact(Metadata!D973,"UBERON:skin of forehead"))))</f>
        <v>0</v>
      </c>
      <c r="T973">
        <f>AND(IF(Metadata!E973="",FALSE,TRUE),exact(Metadata!E973,"human skin metagenome"))</f>
        <v>0</v>
      </c>
      <c r="U973">
        <f>AND(IF(Metadata!F973="",FALSE,TRUE),exact(Metadata!F973,"539655"))</f>
        <v>0</v>
      </c>
    </row>
    <row r="974" spans="1:21">
      <c r="A974" s="4">
        <f>IF(B974=" "," ",HYPERLINK(CONCATENATE("#metadata!",ADDRESS(INDEX($L$2:$L$1001,MATCH(ROWS($J$2:J974),$J$2:$J$1001,0),0),1)),INDEX($O$2:$O$1001,MATCH(ROWS($J$2:J974),$J$2:$J$1001,0),0)))</f>
        <v>0</v>
      </c>
      <c r="B974" s="3">
        <f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>0</v>
      </c>
      <c r="C974" s="3">
        <f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>0</v>
      </c>
      <c r="D974" s="3">
        <f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>0</v>
      </c>
      <c r="E974" s="3">
        <f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>0</v>
      </c>
      <c r="F974" s="3">
        <f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>0</v>
      </c>
      <c r="J974">
        <v>0</v>
      </c>
      <c r="K974">
        <v>0</v>
      </c>
      <c r="L974">
        <v>0</v>
      </c>
      <c r="M974">
        <f>IF(N974,TRUE,AND(Q974:U974))</f>
        <v>0</v>
      </c>
      <c r="N974">
        <f>COUNTBLANK(Metadata!B974:F974)=COLUMNS(Metadata!B974:F974)</f>
        <v>0</v>
      </c>
      <c r="O974">
        <v>0</v>
      </c>
      <c r="Q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>
        <f>AND(IF(Metadata!C974="",FALSE,TRUE),exact(Metadata!C974,"human-skin"))</f>
        <v>0</v>
      </c>
      <c r="S974">
        <f>OR(AND(IF(Metadata!D974="",FALSE,TRUE),OR(exact(Metadata!D974,"missing: not collected"),exact(Metadata!D974,"missing: not provided"))),AND(IF(Metadata!D974="",FALSE,TRUE),OR(exact(Metadata!D974,"UBERON:zone of skin"),exact(Metadata!D974,"UBERON:skin of hand"),exact(Metadata!D974,"UBERON:skin of forehead"))))</f>
        <v>0</v>
      </c>
      <c r="T974">
        <f>AND(IF(Metadata!E974="",FALSE,TRUE),exact(Metadata!E974,"human skin metagenome"))</f>
        <v>0</v>
      </c>
      <c r="U974">
        <f>AND(IF(Metadata!F974="",FALSE,TRUE),exact(Metadata!F974,"539655"))</f>
        <v>0</v>
      </c>
    </row>
    <row r="975" spans="1:21">
      <c r="A975" s="4">
        <f>IF(B975=" "," ",HYPERLINK(CONCATENATE("#metadata!",ADDRESS(INDEX($L$2:$L$1001,MATCH(ROWS($J$2:J975),$J$2:$J$1001,0),0),1)),INDEX($O$2:$O$1001,MATCH(ROWS($J$2:J975),$J$2:$J$1001,0),0)))</f>
        <v>0</v>
      </c>
      <c r="B975" s="3">
        <f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>0</v>
      </c>
      <c r="C975" s="3">
        <f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>0</v>
      </c>
      <c r="D975" s="3">
        <f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>0</v>
      </c>
      <c r="E975" s="3">
        <f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>0</v>
      </c>
      <c r="F975" s="3">
        <f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>0</v>
      </c>
      <c r="J975">
        <v>0</v>
      </c>
      <c r="K975">
        <v>0</v>
      </c>
      <c r="L975">
        <v>0</v>
      </c>
      <c r="M975">
        <f>IF(N975,TRUE,AND(Q975:U975))</f>
        <v>0</v>
      </c>
      <c r="N975">
        <f>COUNTBLANK(Metadata!B975:F975)=COLUMNS(Metadata!B975:F975)</f>
        <v>0</v>
      </c>
      <c r="O975">
        <v>0</v>
      </c>
      <c r="Q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>
        <f>AND(IF(Metadata!C975="",FALSE,TRUE),exact(Metadata!C975,"human-skin"))</f>
        <v>0</v>
      </c>
      <c r="S975">
        <f>OR(AND(IF(Metadata!D975="",FALSE,TRUE),OR(exact(Metadata!D975,"missing: not collected"),exact(Metadata!D975,"missing: not provided"))),AND(IF(Metadata!D975="",FALSE,TRUE),OR(exact(Metadata!D975,"UBERON:zone of skin"),exact(Metadata!D975,"UBERON:skin of hand"),exact(Metadata!D975,"UBERON:skin of forehead"))))</f>
        <v>0</v>
      </c>
      <c r="T975">
        <f>AND(IF(Metadata!E975="",FALSE,TRUE),exact(Metadata!E975,"human skin metagenome"))</f>
        <v>0</v>
      </c>
      <c r="U975">
        <f>AND(IF(Metadata!F975="",FALSE,TRUE),exact(Metadata!F975,"539655"))</f>
        <v>0</v>
      </c>
    </row>
    <row r="976" spans="1:21">
      <c r="A976" s="4">
        <f>IF(B976=" "," ",HYPERLINK(CONCATENATE("#metadata!",ADDRESS(INDEX($L$2:$L$1001,MATCH(ROWS($J$2:J976),$J$2:$J$1001,0),0),1)),INDEX($O$2:$O$1001,MATCH(ROWS($J$2:J976),$J$2:$J$1001,0),0)))</f>
        <v>0</v>
      </c>
      <c r="B976" s="3">
        <f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>0</v>
      </c>
      <c r="C976" s="3">
        <f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>0</v>
      </c>
      <c r="D976" s="3">
        <f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>0</v>
      </c>
      <c r="E976" s="3">
        <f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>0</v>
      </c>
      <c r="F976" s="3">
        <f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>0</v>
      </c>
      <c r="J976">
        <v>0</v>
      </c>
      <c r="K976">
        <v>0</v>
      </c>
      <c r="L976">
        <v>0</v>
      </c>
      <c r="M976">
        <f>IF(N976,TRUE,AND(Q976:U976))</f>
        <v>0</v>
      </c>
      <c r="N976">
        <f>COUNTBLANK(Metadata!B976:F976)=COLUMNS(Metadata!B976:F976)</f>
        <v>0</v>
      </c>
      <c r="O976">
        <v>0</v>
      </c>
      <c r="Q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>
        <f>AND(IF(Metadata!C976="",FALSE,TRUE),exact(Metadata!C976,"human-skin"))</f>
        <v>0</v>
      </c>
      <c r="S976">
        <f>OR(AND(IF(Metadata!D976="",FALSE,TRUE),OR(exact(Metadata!D976,"missing: not collected"),exact(Metadata!D976,"missing: not provided"))),AND(IF(Metadata!D976="",FALSE,TRUE),OR(exact(Metadata!D976,"UBERON:zone of skin"),exact(Metadata!D976,"UBERON:skin of hand"),exact(Metadata!D976,"UBERON:skin of forehead"))))</f>
        <v>0</v>
      </c>
      <c r="T976">
        <f>AND(IF(Metadata!E976="",FALSE,TRUE),exact(Metadata!E976,"human skin metagenome"))</f>
        <v>0</v>
      </c>
      <c r="U976">
        <f>AND(IF(Metadata!F976="",FALSE,TRUE),exact(Metadata!F976,"539655"))</f>
        <v>0</v>
      </c>
    </row>
    <row r="977" spans="1:21">
      <c r="A977" s="4">
        <f>IF(B977=" "," ",HYPERLINK(CONCATENATE("#metadata!",ADDRESS(INDEX($L$2:$L$1001,MATCH(ROWS($J$2:J977),$J$2:$J$1001,0),0),1)),INDEX($O$2:$O$1001,MATCH(ROWS($J$2:J977),$J$2:$J$1001,0),0)))</f>
        <v>0</v>
      </c>
      <c r="B977" s="3">
        <f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>0</v>
      </c>
      <c r="C977" s="3">
        <f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>0</v>
      </c>
      <c r="D977" s="3">
        <f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>0</v>
      </c>
      <c r="E977" s="3">
        <f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>0</v>
      </c>
      <c r="F977" s="3">
        <f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>0</v>
      </c>
      <c r="J977">
        <v>0</v>
      </c>
      <c r="K977">
        <v>0</v>
      </c>
      <c r="L977">
        <v>0</v>
      </c>
      <c r="M977">
        <f>IF(N977,TRUE,AND(Q977:U977))</f>
        <v>0</v>
      </c>
      <c r="N977">
        <f>COUNTBLANK(Metadata!B977:F977)=COLUMNS(Metadata!B977:F977)</f>
        <v>0</v>
      </c>
      <c r="O977">
        <v>0</v>
      </c>
      <c r="Q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>
        <f>AND(IF(Metadata!C977="",FALSE,TRUE),exact(Metadata!C977,"human-skin"))</f>
        <v>0</v>
      </c>
      <c r="S977">
        <f>OR(AND(IF(Metadata!D977="",FALSE,TRUE),OR(exact(Metadata!D977,"missing: not collected"),exact(Metadata!D977,"missing: not provided"))),AND(IF(Metadata!D977="",FALSE,TRUE),OR(exact(Metadata!D977,"UBERON:zone of skin"),exact(Metadata!D977,"UBERON:skin of hand"),exact(Metadata!D977,"UBERON:skin of forehead"))))</f>
        <v>0</v>
      </c>
      <c r="T977">
        <f>AND(IF(Metadata!E977="",FALSE,TRUE),exact(Metadata!E977,"human skin metagenome"))</f>
        <v>0</v>
      </c>
      <c r="U977">
        <f>AND(IF(Metadata!F977="",FALSE,TRUE),exact(Metadata!F977,"539655"))</f>
        <v>0</v>
      </c>
    </row>
    <row r="978" spans="1:21">
      <c r="A978" s="4">
        <f>IF(B978=" "," ",HYPERLINK(CONCATENATE("#metadata!",ADDRESS(INDEX($L$2:$L$1001,MATCH(ROWS($J$2:J978),$J$2:$J$1001,0),0),1)),INDEX($O$2:$O$1001,MATCH(ROWS($J$2:J978),$J$2:$J$1001,0),0)))</f>
        <v>0</v>
      </c>
      <c r="B978" s="3">
        <f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>0</v>
      </c>
      <c r="C978" s="3">
        <f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>0</v>
      </c>
      <c r="D978" s="3">
        <f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>0</v>
      </c>
      <c r="E978" s="3">
        <f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>0</v>
      </c>
      <c r="F978" s="3">
        <f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>0</v>
      </c>
      <c r="J978">
        <v>0</v>
      </c>
      <c r="K978">
        <v>0</v>
      </c>
      <c r="L978">
        <v>0</v>
      </c>
      <c r="M978">
        <f>IF(N978,TRUE,AND(Q978:U978))</f>
        <v>0</v>
      </c>
      <c r="N978">
        <f>COUNTBLANK(Metadata!B978:F978)=COLUMNS(Metadata!B978:F978)</f>
        <v>0</v>
      </c>
      <c r="O978">
        <v>0</v>
      </c>
      <c r="Q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>
        <f>AND(IF(Metadata!C978="",FALSE,TRUE),exact(Metadata!C978,"human-skin"))</f>
        <v>0</v>
      </c>
      <c r="S978">
        <f>OR(AND(IF(Metadata!D978="",FALSE,TRUE),OR(exact(Metadata!D978,"missing: not collected"),exact(Metadata!D978,"missing: not provided"))),AND(IF(Metadata!D978="",FALSE,TRUE),OR(exact(Metadata!D978,"UBERON:zone of skin"),exact(Metadata!D978,"UBERON:skin of hand"),exact(Metadata!D978,"UBERON:skin of forehead"))))</f>
        <v>0</v>
      </c>
      <c r="T978">
        <f>AND(IF(Metadata!E978="",FALSE,TRUE),exact(Metadata!E978,"human skin metagenome"))</f>
        <v>0</v>
      </c>
      <c r="U978">
        <f>AND(IF(Metadata!F978="",FALSE,TRUE),exact(Metadata!F978,"539655"))</f>
        <v>0</v>
      </c>
    </row>
    <row r="979" spans="1:21">
      <c r="A979" s="4">
        <f>IF(B979=" "," ",HYPERLINK(CONCATENATE("#metadata!",ADDRESS(INDEX($L$2:$L$1001,MATCH(ROWS($J$2:J979),$J$2:$J$1001,0),0),1)),INDEX($O$2:$O$1001,MATCH(ROWS($J$2:J979),$J$2:$J$1001,0),0)))</f>
        <v>0</v>
      </c>
      <c r="B979" s="3">
        <f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>0</v>
      </c>
      <c r="C979" s="3">
        <f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>0</v>
      </c>
      <c r="D979" s="3">
        <f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>0</v>
      </c>
      <c r="E979" s="3">
        <f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>0</v>
      </c>
      <c r="F979" s="3">
        <f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>0</v>
      </c>
      <c r="J979">
        <v>0</v>
      </c>
      <c r="K979">
        <v>0</v>
      </c>
      <c r="L979">
        <v>0</v>
      </c>
      <c r="M979">
        <f>IF(N979,TRUE,AND(Q979:U979))</f>
        <v>0</v>
      </c>
      <c r="N979">
        <f>COUNTBLANK(Metadata!B979:F979)=COLUMNS(Metadata!B979:F979)</f>
        <v>0</v>
      </c>
      <c r="O979">
        <v>0</v>
      </c>
      <c r="Q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>
        <f>AND(IF(Metadata!C979="",FALSE,TRUE),exact(Metadata!C979,"human-skin"))</f>
        <v>0</v>
      </c>
      <c r="S979">
        <f>OR(AND(IF(Metadata!D979="",FALSE,TRUE),OR(exact(Metadata!D979,"missing: not collected"),exact(Metadata!D979,"missing: not provided"))),AND(IF(Metadata!D979="",FALSE,TRUE),OR(exact(Metadata!D979,"UBERON:zone of skin"),exact(Metadata!D979,"UBERON:skin of hand"),exact(Metadata!D979,"UBERON:skin of forehead"))))</f>
        <v>0</v>
      </c>
      <c r="T979">
        <f>AND(IF(Metadata!E979="",FALSE,TRUE),exact(Metadata!E979,"human skin metagenome"))</f>
        <v>0</v>
      </c>
      <c r="U979">
        <f>AND(IF(Metadata!F979="",FALSE,TRUE),exact(Metadata!F979,"539655"))</f>
        <v>0</v>
      </c>
    </row>
    <row r="980" spans="1:21">
      <c r="A980" s="4">
        <f>IF(B980=" "," ",HYPERLINK(CONCATENATE("#metadata!",ADDRESS(INDEX($L$2:$L$1001,MATCH(ROWS($J$2:J980),$J$2:$J$1001,0),0),1)),INDEX($O$2:$O$1001,MATCH(ROWS($J$2:J980),$J$2:$J$1001,0),0)))</f>
        <v>0</v>
      </c>
      <c r="B980" s="3">
        <f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>0</v>
      </c>
      <c r="C980" s="3">
        <f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>0</v>
      </c>
      <c r="D980" s="3">
        <f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>0</v>
      </c>
      <c r="E980" s="3">
        <f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>0</v>
      </c>
      <c r="F980" s="3">
        <f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>0</v>
      </c>
      <c r="J980">
        <v>0</v>
      </c>
      <c r="K980">
        <v>0</v>
      </c>
      <c r="L980">
        <v>0</v>
      </c>
      <c r="M980">
        <f>IF(N980,TRUE,AND(Q980:U980))</f>
        <v>0</v>
      </c>
      <c r="N980">
        <f>COUNTBLANK(Metadata!B980:F980)=COLUMNS(Metadata!B980:F980)</f>
        <v>0</v>
      </c>
      <c r="O980">
        <v>0</v>
      </c>
      <c r="Q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>
        <f>AND(IF(Metadata!C980="",FALSE,TRUE),exact(Metadata!C980,"human-skin"))</f>
        <v>0</v>
      </c>
      <c r="S980">
        <f>OR(AND(IF(Metadata!D980="",FALSE,TRUE),OR(exact(Metadata!D980,"missing: not collected"),exact(Metadata!D980,"missing: not provided"))),AND(IF(Metadata!D980="",FALSE,TRUE),OR(exact(Metadata!D980,"UBERON:zone of skin"),exact(Metadata!D980,"UBERON:skin of hand"),exact(Metadata!D980,"UBERON:skin of forehead"))))</f>
        <v>0</v>
      </c>
      <c r="T980">
        <f>AND(IF(Metadata!E980="",FALSE,TRUE),exact(Metadata!E980,"human skin metagenome"))</f>
        <v>0</v>
      </c>
      <c r="U980">
        <f>AND(IF(Metadata!F980="",FALSE,TRUE),exact(Metadata!F980,"539655"))</f>
        <v>0</v>
      </c>
    </row>
    <row r="981" spans="1:21">
      <c r="A981" s="4">
        <f>IF(B981=" "," ",HYPERLINK(CONCATENATE("#metadata!",ADDRESS(INDEX($L$2:$L$1001,MATCH(ROWS($J$2:J981),$J$2:$J$1001,0),0),1)),INDEX($O$2:$O$1001,MATCH(ROWS($J$2:J981),$J$2:$J$1001,0),0)))</f>
        <v>0</v>
      </c>
      <c r="B981" s="3">
        <f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>0</v>
      </c>
      <c r="C981" s="3">
        <f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>0</v>
      </c>
      <c r="D981" s="3">
        <f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>0</v>
      </c>
      <c r="E981" s="3">
        <f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>0</v>
      </c>
      <c r="F981" s="3">
        <f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>0</v>
      </c>
      <c r="J981">
        <v>0</v>
      </c>
      <c r="K981">
        <v>0</v>
      </c>
      <c r="L981">
        <v>0</v>
      </c>
      <c r="M981">
        <f>IF(N981,TRUE,AND(Q981:U981))</f>
        <v>0</v>
      </c>
      <c r="N981">
        <f>COUNTBLANK(Metadata!B981:F981)=COLUMNS(Metadata!B981:F981)</f>
        <v>0</v>
      </c>
      <c r="O981">
        <v>0</v>
      </c>
      <c r="Q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>
        <f>AND(IF(Metadata!C981="",FALSE,TRUE),exact(Metadata!C981,"human-skin"))</f>
        <v>0</v>
      </c>
      <c r="S981">
        <f>OR(AND(IF(Metadata!D981="",FALSE,TRUE),OR(exact(Metadata!D981,"missing: not collected"),exact(Metadata!D981,"missing: not provided"))),AND(IF(Metadata!D981="",FALSE,TRUE),OR(exact(Metadata!D981,"UBERON:zone of skin"),exact(Metadata!D981,"UBERON:skin of hand"),exact(Metadata!D981,"UBERON:skin of forehead"))))</f>
        <v>0</v>
      </c>
      <c r="T981">
        <f>AND(IF(Metadata!E981="",FALSE,TRUE),exact(Metadata!E981,"human skin metagenome"))</f>
        <v>0</v>
      </c>
      <c r="U981">
        <f>AND(IF(Metadata!F981="",FALSE,TRUE),exact(Metadata!F981,"539655"))</f>
        <v>0</v>
      </c>
    </row>
    <row r="982" spans="1:21">
      <c r="A982" s="4">
        <f>IF(B982=" "," ",HYPERLINK(CONCATENATE("#metadata!",ADDRESS(INDEX($L$2:$L$1001,MATCH(ROWS($J$2:J982),$J$2:$J$1001,0),0),1)),INDEX($O$2:$O$1001,MATCH(ROWS($J$2:J982),$J$2:$J$1001,0),0)))</f>
        <v>0</v>
      </c>
      <c r="B982" s="3">
        <f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>0</v>
      </c>
      <c r="C982" s="3">
        <f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>0</v>
      </c>
      <c r="D982" s="3">
        <f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>0</v>
      </c>
      <c r="E982" s="3">
        <f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>0</v>
      </c>
      <c r="F982" s="3">
        <f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>0</v>
      </c>
      <c r="J982">
        <v>0</v>
      </c>
      <c r="K982">
        <v>0</v>
      </c>
      <c r="L982">
        <v>0</v>
      </c>
      <c r="M982">
        <f>IF(N982,TRUE,AND(Q982:U982))</f>
        <v>0</v>
      </c>
      <c r="N982">
        <f>COUNTBLANK(Metadata!B982:F982)=COLUMNS(Metadata!B982:F982)</f>
        <v>0</v>
      </c>
      <c r="O982">
        <v>0</v>
      </c>
      <c r="Q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>
        <f>AND(IF(Metadata!C982="",FALSE,TRUE),exact(Metadata!C982,"human-skin"))</f>
        <v>0</v>
      </c>
      <c r="S982">
        <f>OR(AND(IF(Metadata!D982="",FALSE,TRUE),OR(exact(Metadata!D982,"missing: not collected"),exact(Metadata!D982,"missing: not provided"))),AND(IF(Metadata!D982="",FALSE,TRUE),OR(exact(Metadata!D982,"UBERON:zone of skin"),exact(Metadata!D982,"UBERON:skin of hand"),exact(Metadata!D982,"UBERON:skin of forehead"))))</f>
        <v>0</v>
      </c>
      <c r="T982">
        <f>AND(IF(Metadata!E982="",FALSE,TRUE),exact(Metadata!E982,"human skin metagenome"))</f>
        <v>0</v>
      </c>
      <c r="U982">
        <f>AND(IF(Metadata!F982="",FALSE,TRUE),exact(Metadata!F982,"539655"))</f>
        <v>0</v>
      </c>
    </row>
    <row r="983" spans="1:21">
      <c r="A983" s="4">
        <f>IF(B983=" "," ",HYPERLINK(CONCATENATE("#metadata!",ADDRESS(INDEX($L$2:$L$1001,MATCH(ROWS($J$2:J983),$J$2:$J$1001,0),0),1)),INDEX($O$2:$O$1001,MATCH(ROWS($J$2:J983),$J$2:$J$1001,0),0)))</f>
        <v>0</v>
      </c>
      <c r="B983" s="3">
        <f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>0</v>
      </c>
      <c r="C983" s="3">
        <f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>0</v>
      </c>
      <c r="D983" s="3">
        <f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>0</v>
      </c>
      <c r="E983" s="3">
        <f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>0</v>
      </c>
      <c r="F983" s="3">
        <f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>0</v>
      </c>
      <c r="J983">
        <v>0</v>
      </c>
      <c r="K983">
        <v>0</v>
      </c>
      <c r="L983">
        <v>0</v>
      </c>
      <c r="M983">
        <f>IF(N983,TRUE,AND(Q983:U983))</f>
        <v>0</v>
      </c>
      <c r="N983">
        <f>COUNTBLANK(Metadata!B983:F983)=COLUMNS(Metadata!B983:F983)</f>
        <v>0</v>
      </c>
      <c r="O983">
        <v>0</v>
      </c>
      <c r="Q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>
        <f>AND(IF(Metadata!C983="",FALSE,TRUE),exact(Metadata!C983,"human-skin"))</f>
        <v>0</v>
      </c>
      <c r="S983">
        <f>OR(AND(IF(Metadata!D983="",FALSE,TRUE),OR(exact(Metadata!D983,"missing: not collected"),exact(Metadata!D983,"missing: not provided"))),AND(IF(Metadata!D983="",FALSE,TRUE),OR(exact(Metadata!D983,"UBERON:zone of skin"),exact(Metadata!D983,"UBERON:skin of hand"),exact(Metadata!D983,"UBERON:skin of forehead"))))</f>
        <v>0</v>
      </c>
      <c r="T983">
        <f>AND(IF(Metadata!E983="",FALSE,TRUE),exact(Metadata!E983,"human skin metagenome"))</f>
        <v>0</v>
      </c>
      <c r="U983">
        <f>AND(IF(Metadata!F983="",FALSE,TRUE),exact(Metadata!F983,"539655"))</f>
        <v>0</v>
      </c>
    </row>
    <row r="984" spans="1:21">
      <c r="A984" s="4">
        <f>IF(B984=" "," ",HYPERLINK(CONCATENATE("#metadata!",ADDRESS(INDEX($L$2:$L$1001,MATCH(ROWS($J$2:J984),$J$2:$J$1001,0),0),1)),INDEX($O$2:$O$1001,MATCH(ROWS($J$2:J984),$J$2:$J$1001,0),0)))</f>
        <v>0</v>
      </c>
      <c r="B984" s="3">
        <f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>0</v>
      </c>
      <c r="C984" s="3">
        <f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>0</v>
      </c>
      <c r="D984" s="3">
        <f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>0</v>
      </c>
      <c r="E984" s="3">
        <f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>0</v>
      </c>
      <c r="F984" s="3">
        <f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>0</v>
      </c>
      <c r="J984">
        <v>0</v>
      </c>
      <c r="K984">
        <v>0</v>
      </c>
      <c r="L984">
        <v>0</v>
      </c>
      <c r="M984">
        <f>IF(N984,TRUE,AND(Q984:U984))</f>
        <v>0</v>
      </c>
      <c r="N984">
        <f>COUNTBLANK(Metadata!B984:F984)=COLUMNS(Metadata!B984:F984)</f>
        <v>0</v>
      </c>
      <c r="O984">
        <v>0</v>
      </c>
      <c r="Q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>
        <f>AND(IF(Metadata!C984="",FALSE,TRUE),exact(Metadata!C984,"human-skin"))</f>
        <v>0</v>
      </c>
      <c r="S984">
        <f>OR(AND(IF(Metadata!D984="",FALSE,TRUE),OR(exact(Metadata!D984,"missing: not collected"),exact(Metadata!D984,"missing: not provided"))),AND(IF(Metadata!D984="",FALSE,TRUE),OR(exact(Metadata!D984,"UBERON:zone of skin"),exact(Metadata!D984,"UBERON:skin of hand"),exact(Metadata!D984,"UBERON:skin of forehead"))))</f>
        <v>0</v>
      </c>
      <c r="T984">
        <f>AND(IF(Metadata!E984="",FALSE,TRUE),exact(Metadata!E984,"human skin metagenome"))</f>
        <v>0</v>
      </c>
      <c r="U984">
        <f>AND(IF(Metadata!F984="",FALSE,TRUE),exact(Metadata!F984,"539655"))</f>
        <v>0</v>
      </c>
    </row>
    <row r="985" spans="1:21">
      <c r="A985" s="4">
        <f>IF(B985=" "," ",HYPERLINK(CONCATENATE("#metadata!",ADDRESS(INDEX($L$2:$L$1001,MATCH(ROWS($J$2:J985),$J$2:$J$1001,0),0),1)),INDEX($O$2:$O$1001,MATCH(ROWS($J$2:J985),$J$2:$J$1001,0),0)))</f>
        <v>0</v>
      </c>
      <c r="B985" s="3">
        <f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>0</v>
      </c>
      <c r="C985" s="3">
        <f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>0</v>
      </c>
      <c r="D985" s="3">
        <f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>0</v>
      </c>
      <c r="E985" s="3">
        <f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>0</v>
      </c>
      <c r="F985" s="3">
        <f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>0</v>
      </c>
      <c r="J985">
        <v>0</v>
      </c>
      <c r="K985">
        <v>0</v>
      </c>
      <c r="L985">
        <v>0</v>
      </c>
      <c r="M985">
        <f>IF(N985,TRUE,AND(Q985:U985))</f>
        <v>0</v>
      </c>
      <c r="N985">
        <f>COUNTBLANK(Metadata!B985:F985)=COLUMNS(Metadata!B985:F985)</f>
        <v>0</v>
      </c>
      <c r="O985">
        <v>0</v>
      </c>
      <c r="Q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>
        <f>AND(IF(Metadata!C985="",FALSE,TRUE),exact(Metadata!C985,"human-skin"))</f>
        <v>0</v>
      </c>
      <c r="S985">
        <f>OR(AND(IF(Metadata!D985="",FALSE,TRUE),OR(exact(Metadata!D985,"missing: not collected"),exact(Metadata!D985,"missing: not provided"))),AND(IF(Metadata!D985="",FALSE,TRUE),OR(exact(Metadata!D985,"UBERON:zone of skin"),exact(Metadata!D985,"UBERON:skin of hand"),exact(Metadata!D985,"UBERON:skin of forehead"))))</f>
        <v>0</v>
      </c>
      <c r="T985">
        <f>AND(IF(Metadata!E985="",FALSE,TRUE),exact(Metadata!E985,"human skin metagenome"))</f>
        <v>0</v>
      </c>
      <c r="U985">
        <f>AND(IF(Metadata!F985="",FALSE,TRUE),exact(Metadata!F985,"539655"))</f>
        <v>0</v>
      </c>
    </row>
    <row r="986" spans="1:21">
      <c r="A986" s="4">
        <f>IF(B986=" "," ",HYPERLINK(CONCATENATE("#metadata!",ADDRESS(INDEX($L$2:$L$1001,MATCH(ROWS($J$2:J986),$J$2:$J$1001,0),0),1)),INDEX($O$2:$O$1001,MATCH(ROWS($J$2:J986),$J$2:$J$1001,0),0)))</f>
        <v>0</v>
      </c>
      <c r="B986" s="3">
        <f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>0</v>
      </c>
      <c r="C986" s="3">
        <f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>0</v>
      </c>
      <c r="D986" s="3">
        <f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>0</v>
      </c>
      <c r="E986" s="3">
        <f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>0</v>
      </c>
      <c r="F986" s="3">
        <f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>0</v>
      </c>
      <c r="J986">
        <v>0</v>
      </c>
      <c r="K986">
        <v>0</v>
      </c>
      <c r="L986">
        <v>0</v>
      </c>
      <c r="M986">
        <f>IF(N986,TRUE,AND(Q986:U986))</f>
        <v>0</v>
      </c>
      <c r="N986">
        <f>COUNTBLANK(Metadata!B986:F986)=COLUMNS(Metadata!B986:F986)</f>
        <v>0</v>
      </c>
      <c r="O986">
        <v>0</v>
      </c>
      <c r="Q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>
        <f>AND(IF(Metadata!C986="",FALSE,TRUE),exact(Metadata!C986,"human-skin"))</f>
        <v>0</v>
      </c>
      <c r="S986">
        <f>OR(AND(IF(Metadata!D986="",FALSE,TRUE),OR(exact(Metadata!D986,"missing: not collected"),exact(Metadata!D986,"missing: not provided"))),AND(IF(Metadata!D986="",FALSE,TRUE),OR(exact(Metadata!D986,"UBERON:zone of skin"),exact(Metadata!D986,"UBERON:skin of hand"),exact(Metadata!D986,"UBERON:skin of forehead"))))</f>
        <v>0</v>
      </c>
      <c r="T986">
        <f>AND(IF(Metadata!E986="",FALSE,TRUE),exact(Metadata!E986,"human skin metagenome"))</f>
        <v>0</v>
      </c>
      <c r="U986">
        <f>AND(IF(Metadata!F986="",FALSE,TRUE),exact(Metadata!F986,"539655"))</f>
        <v>0</v>
      </c>
    </row>
    <row r="987" spans="1:21">
      <c r="A987" s="4">
        <f>IF(B987=" "," ",HYPERLINK(CONCATENATE("#metadata!",ADDRESS(INDEX($L$2:$L$1001,MATCH(ROWS($J$2:J987),$J$2:$J$1001,0),0),1)),INDEX($O$2:$O$1001,MATCH(ROWS($J$2:J987),$J$2:$J$1001,0),0)))</f>
        <v>0</v>
      </c>
      <c r="B987" s="3">
        <f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>0</v>
      </c>
      <c r="C987" s="3">
        <f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>0</v>
      </c>
      <c r="D987" s="3">
        <f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>0</v>
      </c>
      <c r="E987" s="3">
        <f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>0</v>
      </c>
      <c r="F987" s="3">
        <f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>0</v>
      </c>
      <c r="J987">
        <v>0</v>
      </c>
      <c r="K987">
        <v>0</v>
      </c>
      <c r="L987">
        <v>0</v>
      </c>
      <c r="M987">
        <f>IF(N987,TRUE,AND(Q987:U987))</f>
        <v>0</v>
      </c>
      <c r="N987">
        <f>COUNTBLANK(Metadata!B987:F987)=COLUMNS(Metadata!B987:F987)</f>
        <v>0</v>
      </c>
      <c r="O987">
        <v>0</v>
      </c>
      <c r="Q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>
        <f>AND(IF(Metadata!C987="",FALSE,TRUE),exact(Metadata!C987,"human-skin"))</f>
        <v>0</v>
      </c>
      <c r="S987">
        <f>OR(AND(IF(Metadata!D987="",FALSE,TRUE),OR(exact(Metadata!D987,"missing: not collected"),exact(Metadata!D987,"missing: not provided"))),AND(IF(Metadata!D987="",FALSE,TRUE),OR(exact(Metadata!D987,"UBERON:zone of skin"),exact(Metadata!D987,"UBERON:skin of hand"),exact(Metadata!D987,"UBERON:skin of forehead"))))</f>
        <v>0</v>
      </c>
      <c r="T987">
        <f>AND(IF(Metadata!E987="",FALSE,TRUE),exact(Metadata!E987,"human skin metagenome"))</f>
        <v>0</v>
      </c>
      <c r="U987">
        <f>AND(IF(Metadata!F987="",FALSE,TRUE),exact(Metadata!F987,"539655"))</f>
        <v>0</v>
      </c>
    </row>
    <row r="988" spans="1:21">
      <c r="A988" s="4">
        <f>IF(B988=" "," ",HYPERLINK(CONCATENATE("#metadata!",ADDRESS(INDEX($L$2:$L$1001,MATCH(ROWS($J$2:J988),$J$2:$J$1001,0),0),1)),INDEX($O$2:$O$1001,MATCH(ROWS($J$2:J988),$J$2:$J$1001,0),0)))</f>
        <v>0</v>
      </c>
      <c r="B988" s="3">
        <f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>0</v>
      </c>
      <c r="C988" s="3">
        <f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>0</v>
      </c>
      <c r="D988" s="3">
        <f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>0</v>
      </c>
      <c r="E988" s="3">
        <f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>0</v>
      </c>
      <c r="F988" s="3">
        <f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>0</v>
      </c>
      <c r="J988">
        <v>0</v>
      </c>
      <c r="K988">
        <v>0</v>
      </c>
      <c r="L988">
        <v>0</v>
      </c>
      <c r="M988">
        <f>IF(N988,TRUE,AND(Q988:U988))</f>
        <v>0</v>
      </c>
      <c r="N988">
        <f>COUNTBLANK(Metadata!B988:F988)=COLUMNS(Metadata!B988:F988)</f>
        <v>0</v>
      </c>
      <c r="O988">
        <v>0</v>
      </c>
      <c r="Q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>
        <f>AND(IF(Metadata!C988="",FALSE,TRUE),exact(Metadata!C988,"human-skin"))</f>
        <v>0</v>
      </c>
      <c r="S988">
        <f>OR(AND(IF(Metadata!D988="",FALSE,TRUE),OR(exact(Metadata!D988,"missing: not collected"),exact(Metadata!D988,"missing: not provided"))),AND(IF(Metadata!D988="",FALSE,TRUE),OR(exact(Metadata!D988,"UBERON:zone of skin"),exact(Metadata!D988,"UBERON:skin of hand"),exact(Metadata!D988,"UBERON:skin of forehead"))))</f>
        <v>0</v>
      </c>
      <c r="T988">
        <f>AND(IF(Metadata!E988="",FALSE,TRUE),exact(Metadata!E988,"human skin metagenome"))</f>
        <v>0</v>
      </c>
      <c r="U988">
        <f>AND(IF(Metadata!F988="",FALSE,TRUE),exact(Metadata!F988,"539655"))</f>
        <v>0</v>
      </c>
    </row>
    <row r="989" spans="1:21">
      <c r="A989" s="4">
        <f>IF(B989=" "," ",HYPERLINK(CONCATENATE("#metadata!",ADDRESS(INDEX($L$2:$L$1001,MATCH(ROWS($J$2:J989),$J$2:$J$1001,0),0),1)),INDEX($O$2:$O$1001,MATCH(ROWS($J$2:J989),$J$2:$J$1001,0),0)))</f>
        <v>0</v>
      </c>
      <c r="B989" s="3">
        <f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>0</v>
      </c>
      <c r="C989" s="3">
        <f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>0</v>
      </c>
      <c r="D989" s="3">
        <f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>0</v>
      </c>
      <c r="E989" s="3">
        <f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>0</v>
      </c>
      <c r="F989" s="3">
        <f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>0</v>
      </c>
      <c r="J989">
        <v>0</v>
      </c>
      <c r="K989">
        <v>0</v>
      </c>
      <c r="L989">
        <v>0</v>
      </c>
      <c r="M989">
        <f>IF(N989,TRUE,AND(Q989:U989))</f>
        <v>0</v>
      </c>
      <c r="N989">
        <f>COUNTBLANK(Metadata!B989:F989)=COLUMNS(Metadata!B989:F989)</f>
        <v>0</v>
      </c>
      <c r="O989">
        <v>0</v>
      </c>
      <c r="Q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>
        <f>AND(IF(Metadata!C989="",FALSE,TRUE),exact(Metadata!C989,"human-skin"))</f>
        <v>0</v>
      </c>
      <c r="S989">
        <f>OR(AND(IF(Metadata!D989="",FALSE,TRUE),OR(exact(Metadata!D989,"missing: not collected"),exact(Metadata!D989,"missing: not provided"))),AND(IF(Metadata!D989="",FALSE,TRUE),OR(exact(Metadata!D989,"UBERON:zone of skin"),exact(Metadata!D989,"UBERON:skin of hand"),exact(Metadata!D989,"UBERON:skin of forehead"))))</f>
        <v>0</v>
      </c>
      <c r="T989">
        <f>AND(IF(Metadata!E989="",FALSE,TRUE),exact(Metadata!E989,"human skin metagenome"))</f>
        <v>0</v>
      </c>
      <c r="U989">
        <f>AND(IF(Metadata!F989="",FALSE,TRUE),exact(Metadata!F989,"539655"))</f>
        <v>0</v>
      </c>
    </row>
    <row r="990" spans="1:21">
      <c r="A990" s="4">
        <f>IF(B990=" "," ",HYPERLINK(CONCATENATE("#metadata!",ADDRESS(INDEX($L$2:$L$1001,MATCH(ROWS($J$2:J990),$J$2:$J$1001,0),0),1)),INDEX($O$2:$O$1001,MATCH(ROWS($J$2:J990),$J$2:$J$1001,0),0)))</f>
        <v>0</v>
      </c>
      <c r="B990" s="3">
        <f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>0</v>
      </c>
      <c r="C990" s="3">
        <f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>0</v>
      </c>
      <c r="D990" s="3">
        <f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>0</v>
      </c>
      <c r="E990" s="3">
        <f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>0</v>
      </c>
      <c r="F990" s="3">
        <f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>0</v>
      </c>
      <c r="J990">
        <v>0</v>
      </c>
      <c r="K990">
        <v>0</v>
      </c>
      <c r="L990">
        <v>0</v>
      </c>
      <c r="M990">
        <f>IF(N990,TRUE,AND(Q990:U990))</f>
        <v>0</v>
      </c>
      <c r="N990">
        <f>COUNTBLANK(Metadata!B990:F990)=COLUMNS(Metadata!B990:F990)</f>
        <v>0</v>
      </c>
      <c r="O990">
        <v>0</v>
      </c>
      <c r="Q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>
        <f>AND(IF(Metadata!C990="",FALSE,TRUE),exact(Metadata!C990,"human-skin"))</f>
        <v>0</v>
      </c>
      <c r="S990">
        <f>OR(AND(IF(Metadata!D990="",FALSE,TRUE),OR(exact(Metadata!D990,"missing: not collected"),exact(Metadata!D990,"missing: not provided"))),AND(IF(Metadata!D990="",FALSE,TRUE),OR(exact(Metadata!D990,"UBERON:zone of skin"),exact(Metadata!D990,"UBERON:skin of hand"),exact(Metadata!D990,"UBERON:skin of forehead"))))</f>
        <v>0</v>
      </c>
      <c r="T990">
        <f>AND(IF(Metadata!E990="",FALSE,TRUE),exact(Metadata!E990,"human skin metagenome"))</f>
        <v>0</v>
      </c>
      <c r="U990">
        <f>AND(IF(Metadata!F990="",FALSE,TRUE),exact(Metadata!F990,"539655"))</f>
        <v>0</v>
      </c>
    </row>
    <row r="991" spans="1:21">
      <c r="A991" s="4">
        <f>IF(B991=" "," ",HYPERLINK(CONCATENATE("#metadata!",ADDRESS(INDEX($L$2:$L$1001,MATCH(ROWS($J$2:J991),$J$2:$J$1001,0),0),1)),INDEX($O$2:$O$1001,MATCH(ROWS($J$2:J991),$J$2:$J$1001,0),0)))</f>
        <v>0</v>
      </c>
      <c r="B991" s="3">
        <f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>0</v>
      </c>
      <c r="C991" s="3">
        <f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>0</v>
      </c>
      <c r="D991" s="3">
        <f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>0</v>
      </c>
      <c r="E991" s="3">
        <f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>0</v>
      </c>
      <c r="F991" s="3">
        <f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>0</v>
      </c>
      <c r="J991">
        <v>0</v>
      </c>
      <c r="K991">
        <v>0</v>
      </c>
      <c r="L991">
        <v>0</v>
      </c>
      <c r="M991">
        <f>IF(N991,TRUE,AND(Q991:U991))</f>
        <v>0</v>
      </c>
      <c r="N991">
        <f>COUNTBLANK(Metadata!B991:F991)=COLUMNS(Metadata!B991:F991)</f>
        <v>0</v>
      </c>
      <c r="O991">
        <v>0</v>
      </c>
      <c r="Q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>
        <f>AND(IF(Metadata!C991="",FALSE,TRUE),exact(Metadata!C991,"human-skin"))</f>
        <v>0</v>
      </c>
      <c r="S991">
        <f>OR(AND(IF(Metadata!D991="",FALSE,TRUE),OR(exact(Metadata!D991,"missing: not collected"),exact(Metadata!D991,"missing: not provided"))),AND(IF(Metadata!D991="",FALSE,TRUE),OR(exact(Metadata!D991,"UBERON:zone of skin"),exact(Metadata!D991,"UBERON:skin of hand"),exact(Metadata!D991,"UBERON:skin of forehead"))))</f>
        <v>0</v>
      </c>
      <c r="T991">
        <f>AND(IF(Metadata!E991="",FALSE,TRUE),exact(Metadata!E991,"human skin metagenome"))</f>
        <v>0</v>
      </c>
      <c r="U991">
        <f>AND(IF(Metadata!F991="",FALSE,TRUE),exact(Metadata!F991,"539655"))</f>
        <v>0</v>
      </c>
    </row>
    <row r="992" spans="1:21">
      <c r="A992" s="4">
        <f>IF(B992=" "," ",HYPERLINK(CONCATENATE("#metadata!",ADDRESS(INDEX($L$2:$L$1001,MATCH(ROWS($J$2:J992),$J$2:$J$1001,0),0),1)),INDEX($O$2:$O$1001,MATCH(ROWS($J$2:J992),$J$2:$J$1001,0),0)))</f>
        <v>0</v>
      </c>
      <c r="B992" s="3">
        <f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>0</v>
      </c>
      <c r="C992" s="3">
        <f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>0</v>
      </c>
      <c r="D992" s="3">
        <f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>0</v>
      </c>
      <c r="E992" s="3">
        <f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>0</v>
      </c>
      <c r="F992" s="3">
        <f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>0</v>
      </c>
      <c r="J992">
        <v>0</v>
      </c>
      <c r="K992">
        <v>0</v>
      </c>
      <c r="L992">
        <v>0</v>
      </c>
      <c r="M992">
        <f>IF(N992,TRUE,AND(Q992:U992))</f>
        <v>0</v>
      </c>
      <c r="N992">
        <f>COUNTBLANK(Metadata!B992:F992)=COLUMNS(Metadata!B992:F992)</f>
        <v>0</v>
      </c>
      <c r="O992">
        <v>0</v>
      </c>
      <c r="Q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>
        <f>AND(IF(Metadata!C992="",FALSE,TRUE),exact(Metadata!C992,"human-skin"))</f>
        <v>0</v>
      </c>
      <c r="S992">
        <f>OR(AND(IF(Metadata!D992="",FALSE,TRUE),OR(exact(Metadata!D992,"missing: not collected"),exact(Metadata!D992,"missing: not provided"))),AND(IF(Metadata!D992="",FALSE,TRUE),OR(exact(Metadata!D992,"UBERON:zone of skin"),exact(Metadata!D992,"UBERON:skin of hand"),exact(Metadata!D992,"UBERON:skin of forehead"))))</f>
        <v>0</v>
      </c>
      <c r="T992">
        <f>AND(IF(Metadata!E992="",FALSE,TRUE),exact(Metadata!E992,"human skin metagenome"))</f>
        <v>0</v>
      </c>
      <c r="U992">
        <f>AND(IF(Metadata!F992="",FALSE,TRUE),exact(Metadata!F992,"539655"))</f>
        <v>0</v>
      </c>
    </row>
    <row r="993" spans="1:21">
      <c r="A993" s="4">
        <f>IF(B993=" "," ",HYPERLINK(CONCATENATE("#metadata!",ADDRESS(INDEX($L$2:$L$1001,MATCH(ROWS($J$2:J993),$J$2:$J$1001,0),0),1)),INDEX($O$2:$O$1001,MATCH(ROWS($J$2:J993),$J$2:$J$1001,0),0)))</f>
        <v>0</v>
      </c>
      <c r="B993" s="3">
        <f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>0</v>
      </c>
      <c r="C993" s="3">
        <f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>0</v>
      </c>
      <c r="D993" s="3">
        <f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>0</v>
      </c>
      <c r="E993" s="3">
        <f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>0</v>
      </c>
      <c r="F993" s="3">
        <f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>0</v>
      </c>
      <c r="J993">
        <v>0</v>
      </c>
      <c r="K993">
        <v>0</v>
      </c>
      <c r="L993">
        <v>0</v>
      </c>
      <c r="M993">
        <f>IF(N993,TRUE,AND(Q993:U993))</f>
        <v>0</v>
      </c>
      <c r="N993">
        <f>COUNTBLANK(Metadata!B993:F993)=COLUMNS(Metadata!B993:F993)</f>
        <v>0</v>
      </c>
      <c r="O993">
        <v>0</v>
      </c>
      <c r="Q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>
        <f>AND(IF(Metadata!C993="",FALSE,TRUE),exact(Metadata!C993,"human-skin"))</f>
        <v>0</v>
      </c>
      <c r="S993">
        <f>OR(AND(IF(Metadata!D993="",FALSE,TRUE),OR(exact(Metadata!D993,"missing: not collected"),exact(Metadata!D993,"missing: not provided"))),AND(IF(Metadata!D993="",FALSE,TRUE),OR(exact(Metadata!D993,"UBERON:zone of skin"),exact(Metadata!D993,"UBERON:skin of hand"),exact(Metadata!D993,"UBERON:skin of forehead"))))</f>
        <v>0</v>
      </c>
      <c r="T993">
        <f>AND(IF(Metadata!E993="",FALSE,TRUE),exact(Metadata!E993,"human skin metagenome"))</f>
        <v>0</v>
      </c>
      <c r="U993">
        <f>AND(IF(Metadata!F993="",FALSE,TRUE),exact(Metadata!F993,"539655"))</f>
        <v>0</v>
      </c>
    </row>
    <row r="994" spans="1:21">
      <c r="A994" s="4">
        <f>IF(B994=" "," ",HYPERLINK(CONCATENATE("#metadata!",ADDRESS(INDEX($L$2:$L$1001,MATCH(ROWS($J$2:J994),$J$2:$J$1001,0),0),1)),INDEX($O$2:$O$1001,MATCH(ROWS($J$2:J994),$J$2:$J$1001,0),0)))</f>
        <v>0</v>
      </c>
      <c r="B994" s="3">
        <f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>0</v>
      </c>
      <c r="C994" s="3">
        <f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>0</v>
      </c>
      <c r="D994" s="3">
        <f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>0</v>
      </c>
      <c r="E994" s="3">
        <f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>0</v>
      </c>
      <c r="F994" s="3">
        <f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>0</v>
      </c>
      <c r="J994">
        <v>0</v>
      </c>
      <c r="K994">
        <v>0</v>
      </c>
      <c r="L994">
        <v>0</v>
      </c>
      <c r="M994">
        <f>IF(N994,TRUE,AND(Q994:U994))</f>
        <v>0</v>
      </c>
      <c r="N994">
        <f>COUNTBLANK(Metadata!B994:F994)=COLUMNS(Metadata!B994:F994)</f>
        <v>0</v>
      </c>
      <c r="O994">
        <v>0</v>
      </c>
      <c r="Q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>
        <f>AND(IF(Metadata!C994="",FALSE,TRUE),exact(Metadata!C994,"human-skin"))</f>
        <v>0</v>
      </c>
      <c r="S994">
        <f>OR(AND(IF(Metadata!D994="",FALSE,TRUE),OR(exact(Metadata!D994,"missing: not collected"),exact(Metadata!D994,"missing: not provided"))),AND(IF(Metadata!D994="",FALSE,TRUE),OR(exact(Metadata!D994,"UBERON:zone of skin"),exact(Metadata!D994,"UBERON:skin of hand"),exact(Metadata!D994,"UBERON:skin of forehead"))))</f>
        <v>0</v>
      </c>
      <c r="T994">
        <f>AND(IF(Metadata!E994="",FALSE,TRUE),exact(Metadata!E994,"human skin metagenome"))</f>
        <v>0</v>
      </c>
      <c r="U994">
        <f>AND(IF(Metadata!F994="",FALSE,TRUE),exact(Metadata!F994,"539655"))</f>
        <v>0</v>
      </c>
    </row>
    <row r="995" spans="1:21">
      <c r="A995" s="4">
        <f>IF(B995=" "," ",HYPERLINK(CONCATENATE("#metadata!",ADDRESS(INDEX($L$2:$L$1001,MATCH(ROWS($J$2:J995),$J$2:$J$1001,0),0),1)),INDEX($O$2:$O$1001,MATCH(ROWS($J$2:J995),$J$2:$J$1001,0),0)))</f>
        <v>0</v>
      </c>
      <c r="B995" s="3">
        <f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>0</v>
      </c>
      <c r="C995" s="3">
        <f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>0</v>
      </c>
      <c r="D995" s="3">
        <f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>0</v>
      </c>
      <c r="E995" s="3">
        <f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>0</v>
      </c>
      <c r="F995" s="3">
        <f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>0</v>
      </c>
      <c r="J995">
        <v>0</v>
      </c>
      <c r="K995">
        <v>0</v>
      </c>
      <c r="L995">
        <v>0</v>
      </c>
      <c r="M995">
        <f>IF(N995,TRUE,AND(Q995:U995))</f>
        <v>0</v>
      </c>
      <c r="N995">
        <f>COUNTBLANK(Metadata!B995:F995)=COLUMNS(Metadata!B995:F995)</f>
        <v>0</v>
      </c>
      <c r="O995">
        <v>0</v>
      </c>
      <c r="Q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>
        <f>AND(IF(Metadata!C995="",FALSE,TRUE),exact(Metadata!C995,"human-skin"))</f>
        <v>0</v>
      </c>
      <c r="S995">
        <f>OR(AND(IF(Metadata!D995="",FALSE,TRUE),OR(exact(Metadata!D995,"missing: not collected"),exact(Metadata!D995,"missing: not provided"))),AND(IF(Metadata!D995="",FALSE,TRUE),OR(exact(Metadata!D995,"UBERON:zone of skin"),exact(Metadata!D995,"UBERON:skin of hand"),exact(Metadata!D995,"UBERON:skin of forehead"))))</f>
        <v>0</v>
      </c>
      <c r="T995">
        <f>AND(IF(Metadata!E995="",FALSE,TRUE),exact(Metadata!E995,"human skin metagenome"))</f>
        <v>0</v>
      </c>
      <c r="U995">
        <f>AND(IF(Metadata!F995="",FALSE,TRUE),exact(Metadata!F995,"539655"))</f>
        <v>0</v>
      </c>
    </row>
    <row r="996" spans="1:21">
      <c r="A996" s="4">
        <f>IF(B996=" "," ",HYPERLINK(CONCATENATE("#metadata!",ADDRESS(INDEX($L$2:$L$1001,MATCH(ROWS($J$2:J996),$J$2:$J$1001,0),0),1)),INDEX($O$2:$O$1001,MATCH(ROWS($J$2:J996),$J$2:$J$1001,0),0)))</f>
        <v>0</v>
      </c>
      <c r="B996" s="3">
        <f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>0</v>
      </c>
      <c r="C996" s="3">
        <f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>0</v>
      </c>
      <c r="D996" s="3">
        <f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>0</v>
      </c>
      <c r="E996" s="3">
        <f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>0</v>
      </c>
      <c r="F996" s="3">
        <f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>0</v>
      </c>
      <c r="J996">
        <v>0</v>
      </c>
      <c r="K996">
        <v>0</v>
      </c>
      <c r="L996">
        <v>0</v>
      </c>
      <c r="M996">
        <f>IF(N996,TRUE,AND(Q996:U996))</f>
        <v>0</v>
      </c>
      <c r="N996">
        <f>COUNTBLANK(Metadata!B996:F996)=COLUMNS(Metadata!B996:F996)</f>
        <v>0</v>
      </c>
      <c r="O996">
        <v>0</v>
      </c>
      <c r="Q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>
        <f>AND(IF(Metadata!C996="",FALSE,TRUE),exact(Metadata!C996,"human-skin"))</f>
        <v>0</v>
      </c>
      <c r="S996">
        <f>OR(AND(IF(Metadata!D996="",FALSE,TRUE),OR(exact(Metadata!D996,"missing: not collected"),exact(Metadata!D996,"missing: not provided"))),AND(IF(Metadata!D996="",FALSE,TRUE),OR(exact(Metadata!D996,"UBERON:zone of skin"),exact(Metadata!D996,"UBERON:skin of hand"),exact(Metadata!D996,"UBERON:skin of forehead"))))</f>
        <v>0</v>
      </c>
      <c r="T996">
        <f>AND(IF(Metadata!E996="",FALSE,TRUE),exact(Metadata!E996,"human skin metagenome"))</f>
        <v>0</v>
      </c>
      <c r="U996">
        <f>AND(IF(Metadata!F996="",FALSE,TRUE),exact(Metadata!F996,"539655"))</f>
        <v>0</v>
      </c>
    </row>
    <row r="997" spans="1:21">
      <c r="A997" s="4">
        <f>IF(B997=" "," ",HYPERLINK(CONCATENATE("#metadata!",ADDRESS(INDEX($L$2:$L$1001,MATCH(ROWS($J$2:J997),$J$2:$J$1001,0),0),1)),INDEX($O$2:$O$1001,MATCH(ROWS($J$2:J997),$J$2:$J$1001,0),0)))</f>
        <v>0</v>
      </c>
      <c r="B997" s="3">
        <f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>0</v>
      </c>
      <c r="C997" s="3">
        <f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>0</v>
      </c>
      <c r="D997" s="3">
        <f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>0</v>
      </c>
      <c r="E997" s="3">
        <f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>0</v>
      </c>
      <c r="F997" s="3">
        <f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>0</v>
      </c>
      <c r="J997">
        <v>0</v>
      </c>
      <c r="K997">
        <v>0</v>
      </c>
      <c r="L997">
        <v>0</v>
      </c>
      <c r="M997">
        <f>IF(N997,TRUE,AND(Q997:U997))</f>
        <v>0</v>
      </c>
      <c r="N997">
        <f>COUNTBLANK(Metadata!B997:F997)=COLUMNS(Metadata!B997:F997)</f>
        <v>0</v>
      </c>
      <c r="O997">
        <v>0</v>
      </c>
      <c r="Q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>
        <f>AND(IF(Metadata!C997="",FALSE,TRUE),exact(Metadata!C997,"human-skin"))</f>
        <v>0</v>
      </c>
      <c r="S997">
        <f>OR(AND(IF(Metadata!D997="",FALSE,TRUE),OR(exact(Metadata!D997,"missing: not collected"),exact(Metadata!D997,"missing: not provided"))),AND(IF(Metadata!D997="",FALSE,TRUE),OR(exact(Metadata!D997,"UBERON:zone of skin"),exact(Metadata!D997,"UBERON:skin of hand"),exact(Metadata!D997,"UBERON:skin of forehead"))))</f>
        <v>0</v>
      </c>
      <c r="T997">
        <f>AND(IF(Metadata!E997="",FALSE,TRUE),exact(Metadata!E997,"human skin metagenome"))</f>
        <v>0</v>
      </c>
      <c r="U997">
        <f>AND(IF(Metadata!F997="",FALSE,TRUE),exact(Metadata!F997,"539655"))</f>
        <v>0</v>
      </c>
    </row>
    <row r="998" spans="1:21">
      <c r="A998" s="4">
        <f>IF(B998=" "," ",HYPERLINK(CONCATENATE("#metadata!",ADDRESS(INDEX($L$2:$L$1001,MATCH(ROWS($J$2:J998),$J$2:$J$1001,0),0),1)),INDEX($O$2:$O$1001,MATCH(ROWS($J$2:J998),$J$2:$J$1001,0),0)))</f>
        <v>0</v>
      </c>
      <c r="B998" s="3">
        <f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>0</v>
      </c>
      <c r="C998" s="3">
        <f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>0</v>
      </c>
      <c r="D998" s="3">
        <f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>0</v>
      </c>
      <c r="E998" s="3">
        <f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>0</v>
      </c>
      <c r="F998" s="3">
        <f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>0</v>
      </c>
      <c r="J998">
        <v>0</v>
      </c>
      <c r="K998">
        <v>0</v>
      </c>
      <c r="L998">
        <v>0</v>
      </c>
      <c r="M998">
        <f>IF(N998,TRUE,AND(Q998:U998))</f>
        <v>0</v>
      </c>
      <c r="N998">
        <f>COUNTBLANK(Metadata!B998:F998)=COLUMNS(Metadata!B998:F998)</f>
        <v>0</v>
      </c>
      <c r="O998">
        <v>0</v>
      </c>
      <c r="Q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>
        <f>AND(IF(Metadata!C998="",FALSE,TRUE),exact(Metadata!C998,"human-skin"))</f>
        <v>0</v>
      </c>
      <c r="S998">
        <f>OR(AND(IF(Metadata!D998="",FALSE,TRUE),OR(exact(Metadata!D998,"missing: not collected"),exact(Metadata!D998,"missing: not provided"))),AND(IF(Metadata!D998="",FALSE,TRUE),OR(exact(Metadata!D998,"UBERON:zone of skin"),exact(Metadata!D998,"UBERON:skin of hand"),exact(Metadata!D998,"UBERON:skin of forehead"))))</f>
        <v>0</v>
      </c>
      <c r="T998">
        <f>AND(IF(Metadata!E998="",FALSE,TRUE),exact(Metadata!E998,"human skin metagenome"))</f>
        <v>0</v>
      </c>
      <c r="U998">
        <f>AND(IF(Metadata!F998="",FALSE,TRUE),exact(Metadata!F998,"539655"))</f>
        <v>0</v>
      </c>
    </row>
    <row r="999" spans="1:21">
      <c r="A999" s="4">
        <f>IF(B999=" "," ",HYPERLINK(CONCATENATE("#metadata!",ADDRESS(INDEX($L$2:$L$1001,MATCH(ROWS($J$2:J999),$J$2:$J$1001,0),0),1)),INDEX($O$2:$O$1001,MATCH(ROWS($J$2:J999),$J$2:$J$1001,0),0)))</f>
        <v>0</v>
      </c>
      <c r="B999" s="3">
        <f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>0</v>
      </c>
      <c r="C999" s="3">
        <f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>0</v>
      </c>
      <c r="D999" s="3">
        <f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>0</v>
      </c>
      <c r="E999" s="3">
        <f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>0</v>
      </c>
      <c r="F999" s="3">
        <f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>0</v>
      </c>
      <c r="J999">
        <v>0</v>
      </c>
      <c r="K999">
        <v>0</v>
      </c>
      <c r="L999">
        <v>0</v>
      </c>
      <c r="M999">
        <f>IF(N999,TRUE,AND(Q999:U999))</f>
        <v>0</v>
      </c>
      <c r="N999">
        <f>COUNTBLANK(Metadata!B999:F999)=COLUMNS(Metadata!B999:F999)</f>
        <v>0</v>
      </c>
      <c r="O999">
        <v>0</v>
      </c>
      <c r="Q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>
        <f>AND(IF(Metadata!C999="",FALSE,TRUE),exact(Metadata!C999,"human-skin"))</f>
        <v>0</v>
      </c>
      <c r="S999">
        <f>OR(AND(IF(Metadata!D999="",FALSE,TRUE),OR(exact(Metadata!D999,"missing: not collected"),exact(Metadata!D999,"missing: not provided"))),AND(IF(Metadata!D999="",FALSE,TRUE),OR(exact(Metadata!D999,"UBERON:zone of skin"),exact(Metadata!D999,"UBERON:skin of hand"),exact(Metadata!D999,"UBERON:skin of forehead"))))</f>
        <v>0</v>
      </c>
      <c r="T999">
        <f>AND(IF(Metadata!E999="",FALSE,TRUE),exact(Metadata!E999,"human skin metagenome"))</f>
        <v>0</v>
      </c>
      <c r="U999">
        <f>AND(IF(Metadata!F999="",FALSE,TRUE),exact(Metadata!F999,"539655"))</f>
        <v>0</v>
      </c>
    </row>
    <row r="1000" spans="1:21">
      <c r="A1000" s="4">
        <f>IF(B1000=" "," ",HYPERLINK(CONCATENATE("#metadata!",ADDRESS(INDEX($L$2:$L$1001,MATCH(ROWS($J$2:J1000),$J$2:$J$1001,0),0),1)),INDEX($O$2:$O$1001,MATCH(ROWS($J$2:J1000),$J$2:$J$1001,0),0)))</f>
        <v>0</v>
      </c>
      <c r="B1000" s="3">
        <f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>0</v>
      </c>
      <c r="C1000" s="3">
        <f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>0</v>
      </c>
      <c r="D1000" s="3">
        <f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>0</v>
      </c>
      <c r="E1000" s="3">
        <f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>0</v>
      </c>
      <c r="F1000" s="3">
        <f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>0</v>
      </c>
      <c r="J1000">
        <v>0</v>
      </c>
      <c r="K1000">
        <v>0</v>
      </c>
      <c r="L1000">
        <v>0</v>
      </c>
      <c r="M1000">
        <f>IF(N1000,TRUE,AND(Q1000:U1000))</f>
        <v>0</v>
      </c>
      <c r="N1000">
        <f>COUNTBLANK(Metadata!B1000:F1000)=COLUMNS(Metadata!B1000:F1000)</f>
        <v>0</v>
      </c>
      <c r="O1000">
        <v>0</v>
      </c>
      <c r="Q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>
        <f>AND(IF(Metadata!C1000="",FALSE,TRUE),exact(Metadata!C1000,"human-skin"))</f>
        <v>0</v>
      </c>
      <c r="S1000">
        <f>OR(AND(IF(Metadata!D1000="",FALSE,TRUE),OR(exact(Metadata!D1000,"missing: not collected"),exact(Metadata!D1000,"missing: not provided"))),AND(IF(Metadata!D1000="",FALSE,TRUE),OR(exact(Metadata!D1000,"UBERON:zone of skin"),exact(Metadata!D1000,"UBERON:skin of hand"),exact(Metadata!D1000,"UBERON:skin of forehead"))))</f>
        <v>0</v>
      </c>
      <c r="T1000">
        <f>AND(IF(Metadata!E1000="",FALSE,TRUE),exact(Metadata!E1000,"human skin metagenome"))</f>
        <v>0</v>
      </c>
      <c r="U1000">
        <f>AND(IF(Metadata!F1000="",FALSE,TRUE),exact(Metadata!F1000,"539655"))</f>
        <v>0</v>
      </c>
    </row>
    <row r="1001" spans="1:21">
      <c r="A1001" s="4">
        <f>IF(B1001=" "," ",HYPERLINK(CONCATENATE("#metadata!",ADDRESS(INDEX($L$2:$L$1001,MATCH(ROWS($J$2:J1001),$J$2:$J$1001,0),0),1)),INDEX($O$2:$O$1001,MATCH(ROWS($J$2:J1001),$J$2:$J$1001,0),0)))</f>
        <v>0</v>
      </c>
      <c r="B1001" s="3">
        <f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>0</v>
      </c>
      <c r="C1001" s="3">
        <f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>0</v>
      </c>
      <c r="D1001" s="3">
        <f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>0</v>
      </c>
      <c r="E1001" s="3">
        <f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>0</v>
      </c>
      <c r="F1001" s="3">
        <f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>0</v>
      </c>
      <c r="J1001">
        <v>0</v>
      </c>
      <c r="K1001">
        <v>0</v>
      </c>
      <c r="L1001">
        <v>0</v>
      </c>
      <c r="M1001">
        <f>IF(N1001,TRUE,AND(Q1001:U1001))</f>
        <v>0</v>
      </c>
      <c r="N1001">
        <f>COUNTBLANK(Metadata!B1001:F1001)=COLUMNS(Metadata!B1001:F1001)</f>
        <v>0</v>
      </c>
      <c r="O1001">
        <v>0</v>
      </c>
      <c r="Q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>
        <f>AND(IF(Metadata!C1001="",FALSE,TRUE),exact(Metadata!C1001,"human-skin"))</f>
        <v>0</v>
      </c>
      <c r="S1001">
        <f>OR(AND(IF(Metadata!D1001="",FALSE,TRUE),OR(exact(Metadata!D1001,"missing: not collected"),exact(Metadata!D1001,"missing: not provided"))),AND(IF(Metadata!D1001="",FALSE,TRUE),OR(exact(Metadata!D1001,"UBERON:zone of skin"),exact(Metadata!D1001,"UBERON:skin of hand"),exact(Metadata!D1001,"UBERON:skin of forehead"))))</f>
        <v>0</v>
      </c>
      <c r="T1001">
        <f>AND(IF(Metadata!E1001="",FALSE,TRUE),exact(Metadata!E1001,"human skin metagenome"))</f>
        <v>0</v>
      </c>
      <c r="U1001">
        <f>AND(IF(Metadata!F1001="",FALSE,TRUE),exact(Metadata!F1001,"539655"))</f>
        <v>0</v>
      </c>
    </row>
    <row r="1003" spans="1:21">
      <c r="P1003" s="2" t="s">
        <v>12</v>
      </c>
      <c r="Q1003">
        <f t="array" ref="Q1003">AND(IF($N2:$N1001,TRUE,Q2:Q1001))</f>
        <v>0</v>
      </c>
      <c r="R1003">
        <f t="array" ref="R1003">AND(IF($N2:$N1001,TRUE,R2:R1001))</f>
        <v>0</v>
      </c>
      <c r="S1003">
        <f t="array" ref="S1003">AND(IF($N2:$N1001,TRUE,S2:S1001))</f>
        <v>0</v>
      </c>
      <c r="T1003">
        <f t="array" ref="T1003">AND(IF($N2:$N1001,TRUE,T2:T1001))</f>
        <v>0</v>
      </c>
      <c r="U1003">
        <f t="array" ref="U1003">AND(IF($N2:$N1001,TRUE,U2:U1001))</f>
        <v>0</v>
      </c>
    </row>
    <row r="1004" spans="1:21">
      <c r="P1004" s="2" t="s">
        <v>13</v>
      </c>
      <c r="Q1004">
        <f t="array" ref="Q1004:U1004">COLUMN(Metadata!B1004:F1004)</f>
        <v>0</v>
      </c>
      <c r="R1004">
        <v>0</v>
      </c>
      <c r="S1004">
        <v>0</v>
      </c>
      <c r="T1004">
        <v>0</v>
      </c>
      <c r="U1004">
        <v>0</v>
      </c>
    </row>
    <row r="1005" spans="1:21">
      <c r="P1005" s="2" t="s">
        <v>14</v>
      </c>
      <c r="Q1005">
        <f t="array" ref="Q1005:U1005">INT(Q1003:U1003)*100000+$Q$1004:$U$1004</f>
        <v>0</v>
      </c>
      <c r="R1005">
        <v>0</v>
      </c>
      <c r="S1005">
        <v>0</v>
      </c>
      <c r="T1005">
        <v>0</v>
      </c>
      <c r="U1005">
        <v>0</v>
      </c>
    </row>
    <row r="1006" spans="1:21">
      <c r="P1006" s="2" t="s">
        <v>15</v>
      </c>
      <c r="Q1006">
        <f t="array" ref="Q1006:U1006">COUNTIF($Q1005:$U1005,"&lt;="&amp;Q$1005:U1005)</f>
        <v>0</v>
      </c>
      <c r="R1006">
        <v>0</v>
      </c>
      <c r="S1006">
        <v>0</v>
      </c>
      <c r="T1006">
        <v>0</v>
      </c>
      <c r="U1006">
        <v>0</v>
      </c>
    </row>
  </sheetData>
  <sheetProtection sheet="1" objects="1" scenarios="1"/>
  <conditionalFormatting sqref="B2:F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2" t="s">
        <v>1</v>
      </c>
      <c r="B2" t="s">
        <v>18</v>
      </c>
    </row>
    <row r="3" spans="1:2">
      <c r="A3" s="2" t="s">
        <v>3</v>
      </c>
      <c r="B3" t="s">
        <v>19</v>
      </c>
    </row>
    <row r="4" spans="1:2">
      <c r="A4" s="2" t="s">
        <v>4</v>
      </c>
      <c r="B4" t="s">
        <v>20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2018-04-25T18:35:59Z</dcterms:created>
  <dcterms:modified xsi:type="dcterms:W3CDTF">2018-04-25T18:35:59Z</dcterms:modified>
</cp:coreProperties>
</file>